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7.07/"/>
    </mc:Choice>
  </mc:AlternateContent>
  <xr:revisionPtr revIDLastSave="0" documentId="8_{3FE669D9-19B3-4F58-902B-40E11904AE63}" xr6:coauthVersionLast="47" xr6:coauthVersionMax="47" xr10:uidLastSave="{00000000-0000-0000-0000-000000000000}"/>
  <bookViews>
    <workbookView xWindow="29400" yWindow="0" windowWidth="38400" windowHeight="21600" tabRatio="703" firstSheet="9" activeTab="9" xr2:uid="{4BE93CBF-7E4E-4187-BB02-E7C4FA4B0F62}"/>
  </bookViews>
  <sheets>
    <sheet name="Accueil" sheetId="81" r:id="rId1"/>
    <sheet name="0-Présentation typeaction" sheetId="51" r:id="rId2"/>
    <sheet name="1.1-Investissements" sheetId="80" r:id="rId3"/>
    <sheet name="1.2-Amortissements" sheetId="67" r:id="rId4"/>
    <sheet name="2-Contributions en nature" sheetId="87" r:id="rId5"/>
    <sheet name="3-Frais de personnel" sheetId="79" r:id="rId6"/>
    <sheet name="4-TF coûts indirects" sheetId="88" r:id="rId7"/>
    <sheet name="5-Déplacements &amp; hébergements" sheetId="89" r:id="rId8"/>
    <sheet name="6-Coûts participation agri" sheetId="90" r:id="rId9"/>
    <sheet name="Syn pf Bénéficiaire" sheetId="84" r:id="rId10"/>
    <sheet name="Syn pf Instructeur" sheetId="85" state="hidden" r:id="rId11"/>
    <sheet name="Annexe fi DJ" sheetId="77" state="hidden" r:id="rId12"/>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Accueil!$B$1:$Y$44</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1" i="77" l="1"/>
  <c r="K72" i="77"/>
  <c r="K73" i="77"/>
  <c r="K74" i="77"/>
  <c r="K75" i="77"/>
  <c r="K76" i="77"/>
  <c r="K77" i="77"/>
  <c r="K78" i="77"/>
  <c r="K79" i="77"/>
  <c r="H71" i="77"/>
  <c r="H72" i="77"/>
  <c r="H73" i="77"/>
  <c r="H74" i="77"/>
  <c r="H75" i="77"/>
  <c r="H76" i="77"/>
  <c r="H77" i="77"/>
  <c r="H78" i="77"/>
  <c r="H79" i="77"/>
  <c r="Z6" i="84"/>
  <c r="Z5" i="84"/>
  <c r="X10" i="84"/>
  <c r="X9" i="84"/>
  <c r="X8" i="84"/>
  <c r="X6" i="84"/>
  <c r="F40" i="77"/>
  <c r="O109" i="85" l="1"/>
  <c r="O110" i="85"/>
  <c r="O111" i="85"/>
  <c r="O112" i="85"/>
  <c r="O113" i="85"/>
  <c r="O114" i="85"/>
  <c r="O115" i="85"/>
  <c r="O116" i="85"/>
  <c r="O117" i="85"/>
  <c r="O118" i="85"/>
  <c r="O108" i="85"/>
  <c r="G109" i="84"/>
  <c r="G110" i="84"/>
  <c r="G111" i="84"/>
  <c r="G112" i="84"/>
  <c r="G113" i="84"/>
  <c r="G114" i="84"/>
  <c r="L114" i="85" s="1"/>
  <c r="G115" i="84"/>
  <c r="L115" i="85" s="1"/>
  <c r="G116" i="84"/>
  <c r="L116" i="85" s="1"/>
  <c r="G117" i="84"/>
  <c r="G118" i="84"/>
  <c r="G108" i="84"/>
  <c r="M109" i="85"/>
  <c r="M110" i="85"/>
  <c r="M111" i="85"/>
  <c r="M112" i="85"/>
  <c r="M113" i="85"/>
  <c r="M114" i="85"/>
  <c r="M115" i="85"/>
  <c r="M116" i="85"/>
  <c r="M117" i="85"/>
  <c r="M118" i="85"/>
  <c r="M108" i="85"/>
  <c r="K109" i="85"/>
  <c r="K110" i="85"/>
  <c r="K111" i="85"/>
  <c r="K112" i="85"/>
  <c r="K113" i="85"/>
  <c r="K114" i="85"/>
  <c r="K115" i="85"/>
  <c r="K116" i="85"/>
  <c r="K117" i="85"/>
  <c r="K118" i="85"/>
  <c r="K108" i="85"/>
  <c r="I109" i="85"/>
  <c r="I110" i="85"/>
  <c r="I111" i="85"/>
  <c r="I112" i="85"/>
  <c r="I113" i="85"/>
  <c r="I114" i="85"/>
  <c r="I115" i="85"/>
  <c r="I116" i="85"/>
  <c r="I117" i="85"/>
  <c r="I118" i="85"/>
  <c r="I108" i="85"/>
  <c r="G109" i="85"/>
  <c r="G110" i="85"/>
  <c r="G111" i="85"/>
  <c r="G112" i="85"/>
  <c r="G113" i="85"/>
  <c r="G114" i="85"/>
  <c r="G115" i="85"/>
  <c r="G116" i="85"/>
  <c r="G117" i="85"/>
  <c r="G118" i="85"/>
  <c r="G108" i="85"/>
  <c r="E109" i="85"/>
  <c r="E110" i="85"/>
  <c r="E111" i="85"/>
  <c r="E112" i="85"/>
  <c r="E113" i="85"/>
  <c r="E114" i="85"/>
  <c r="E115" i="85"/>
  <c r="E116" i="85"/>
  <c r="E117" i="85"/>
  <c r="E118" i="85"/>
  <c r="E108" i="85"/>
  <c r="C109" i="85"/>
  <c r="C110" i="85"/>
  <c r="C111" i="85"/>
  <c r="C112" i="85"/>
  <c r="C113" i="85"/>
  <c r="C114" i="85"/>
  <c r="C115" i="85"/>
  <c r="C116" i="85"/>
  <c r="C117" i="85"/>
  <c r="C118" i="85"/>
  <c r="C108" i="85"/>
  <c r="N109" i="85"/>
  <c r="N110" i="85"/>
  <c r="N111" i="85"/>
  <c r="N112" i="85"/>
  <c r="N113" i="85"/>
  <c r="N114" i="85"/>
  <c r="N115" i="85"/>
  <c r="N116" i="85"/>
  <c r="N117" i="85"/>
  <c r="N118" i="85"/>
  <c r="N108" i="85"/>
  <c r="N107" i="85"/>
  <c r="L109" i="85"/>
  <c r="L110" i="85"/>
  <c r="L111" i="85"/>
  <c r="L112" i="85"/>
  <c r="L113" i="85"/>
  <c r="L117" i="85"/>
  <c r="L118" i="85"/>
  <c r="L108" i="85"/>
  <c r="L107" i="85"/>
  <c r="J109" i="85"/>
  <c r="J110" i="85"/>
  <c r="J111" i="85"/>
  <c r="J112" i="85"/>
  <c r="J113" i="85"/>
  <c r="J114" i="85"/>
  <c r="J115" i="85"/>
  <c r="J116" i="85"/>
  <c r="J117" i="85"/>
  <c r="J118" i="85"/>
  <c r="J108" i="85"/>
  <c r="J107" i="85"/>
  <c r="H109" i="85"/>
  <c r="H110" i="85"/>
  <c r="H111" i="85"/>
  <c r="H112" i="85"/>
  <c r="H113" i="85"/>
  <c r="H114" i="85"/>
  <c r="H115" i="85"/>
  <c r="H116" i="85"/>
  <c r="H117" i="85"/>
  <c r="H118" i="85"/>
  <c r="H108" i="85"/>
  <c r="H107" i="85"/>
  <c r="F109" i="85"/>
  <c r="F110" i="85"/>
  <c r="F111" i="85"/>
  <c r="F112" i="85"/>
  <c r="F113" i="85"/>
  <c r="F114" i="85"/>
  <c r="F115" i="85"/>
  <c r="F116" i="85"/>
  <c r="F117" i="85"/>
  <c r="F118" i="85"/>
  <c r="F108" i="85"/>
  <c r="F107" i="85"/>
  <c r="D109" i="85"/>
  <c r="D110" i="85"/>
  <c r="D111" i="85"/>
  <c r="D112" i="85"/>
  <c r="D113" i="85"/>
  <c r="D114" i="85"/>
  <c r="D115" i="85"/>
  <c r="D116" i="85"/>
  <c r="D117" i="85"/>
  <c r="D118" i="85"/>
  <c r="D108" i="85"/>
  <c r="D107" i="85"/>
  <c r="B109" i="85"/>
  <c r="B110" i="85"/>
  <c r="B111" i="85"/>
  <c r="B112" i="85"/>
  <c r="B113" i="85"/>
  <c r="B114" i="85"/>
  <c r="B115" i="85"/>
  <c r="B116" i="85"/>
  <c r="B117" i="85"/>
  <c r="B118" i="85"/>
  <c r="B108" i="85"/>
  <c r="B107" i="85"/>
  <c r="F25" i="85"/>
  <c r="O98" i="85"/>
  <c r="O99" i="85" s="1"/>
  <c r="O92" i="85"/>
  <c r="O93" i="85" s="1"/>
  <c r="O86" i="85"/>
  <c r="O87" i="85" s="1"/>
  <c r="O80" i="85"/>
  <c r="O81" i="85" s="1"/>
  <c r="O74" i="85"/>
  <c r="O75" i="85" s="1"/>
  <c r="O68" i="85"/>
  <c r="O69" i="85" s="1"/>
  <c r="O62" i="85"/>
  <c r="O63" i="85" s="1"/>
  <c r="O56" i="85"/>
  <c r="O57" i="85" s="1"/>
  <c r="O50" i="85"/>
  <c r="O51" i="85" s="1"/>
  <c r="O44" i="85"/>
  <c r="O45" i="85" s="1"/>
  <c r="O38" i="85"/>
  <c r="O39" i="85" s="1"/>
  <c r="O98" i="84"/>
  <c r="O99" i="84" s="1"/>
  <c r="O92" i="84"/>
  <c r="O93" i="84" s="1"/>
  <c r="O86" i="84"/>
  <c r="O87" i="84" s="1"/>
  <c r="O80" i="84"/>
  <c r="O81" i="84" s="1"/>
  <c r="O74" i="84"/>
  <c r="O75" i="84" s="1"/>
  <c r="O68" i="84"/>
  <c r="O69" i="84" s="1"/>
  <c r="O62" i="84"/>
  <c r="O63" i="84" s="1"/>
  <c r="O56" i="84"/>
  <c r="O57" i="84" s="1"/>
  <c r="O50" i="84"/>
  <c r="O51" i="84" s="1"/>
  <c r="O44" i="84"/>
  <c r="O45" i="84" s="1"/>
  <c r="O38" i="84"/>
  <c r="L37" i="84"/>
  <c r="L37" i="85"/>
  <c r="G37" i="85"/>
  <c r="J37" i="85" s="1"/>
  <c r="C98" i="85"/>
  <c r="G98" i="85" s="1"/>
  <c r="J98" i="85" s="1"/>
  <c r="C97" i="85"/>
  <c r="C92" i="85"/>
  <c r="G92" i="85" s="1"/>
  <c r="J92" i="85" s="1"/>
  <c r="C91" i="85"/>
  <c r="G91" i="85" s="1"/>
  <c r="J91" i="85" s="1"/>
  <c r="C86" i="85"/>
  <c r="F86" i="85" s="1"/>
  <c r="C85" i="85"/>
  <c r="G85" i="85" s="1"/>
  <c r="J85" i="85" s="1"/>
  <c r="C80" i="85"/>
  <c r="L80" i="85" s="1"/>
  <c r="C79" i="85"/>
  <c r="C74" i="85"/>
  <c r="F74" i="85" s="1"/>
  <c r="C73" i="85"/>
  <c r="G73" i="85" s="1"/>
  <c r="J73" i="85" s="1"/>
  <c r="C68" i="85"/>
  <c r="L68" i="85" s="1"/>
  <c r="C67" i="85"/>
  <c r="C62" i="85"/>
  <c r="H62" i="85" s="1"/>
  <c r="C61" i="85"/>
  <c r="C56" i="85"/>
  <c r="H56" i="85" s="1"/>
  <c r="C55" i="85"/>
  <c r="G55" i="85" s="1"/>
  <c r="J55" i="85" s="1"/>
  <c r="C50" i="85"/>
  <c r="F50" i="85" s="1"/>
  <c r="C49" i="85"/>
  <c r="C44" i="85"/>
  <c r="C43" i="85"/>
  <c r="G43" i="85" s="1"/>
  <c r="J43" i="85" s="1"/>
  <c r="C38" i="85"/>
  <c r="C39" i="85" s="1"/>
  <c r="C37" i="85"/>
  <c r="F37" i="85" s="1"/>
  <c r="P10" i="84"/>
  <c r="M10" i="84"/>
  <c r="C26" i="85"/>
  <c r="I26" i="84"/>
  <c r="I16" i="85"/>
  <c r="H16" i="85"/>
  <c r="G16" i="85"/>
  <c r="I15" i="85"/>
  <c r="H15" i="85"/>
  <c r="G15" i="85"/>
  <c r="I14" i="85"/>
  <c r="H14" i="85"/>
  <c r="G14" i="85"/>
  <c r="D15" i="85"/>
  <c r="E15" i="85"/>
  <c r="F15" i="85"/>
  <c r="D16" i="85"/>
  <c r="E16" i="85"/>
  <c r="F16" i="85"/>
  <c r="E14" i="85"/>
  <c r="F14" i="85"/>
  <c r="D14" i="85"/>
  <c r="D8" i="84"/>
  <c r="H109" i="84"/>
  <c r="H110" i="84"/>
  <c r="H111" i="84"/>
  <c r="H112" i="84"/>
  <c r="H113" i="84"/>
  <c r="H114" i="84"/>
  <c r="H115" i="84"/>
  <c r="H116" i="84"/>
  <c r="H117" i="84"/>
  <c r="H118" i="84"/>
  <c r="H108" i="84"/>
  <c r="F109" i="84"/>
  <c r="F110" i="84"/>
  <c r="F111" i="84"/>
  <c r="F112" i="84"/>
  <c r="F113" i="84"/>
  <c r="F114" i="84"/>
  <c r="F115" i="84"/>
  <c r="F116" i="84"/>
  <c r="F117" i="84"/>
  <c r="F118" i="84"/>
  <c r="F108" i="84"/>
  <c r="E109" i="84"/>
  <c r="E110" i="84"/>
  <c r="E111" i="84"/>
  <c r="E112" i="84"/>
  <c r="E113" i="84"/>
  <c r="E114" i="84"/>
  <c r="E115" i="84"/>
  <c r="E116" i="84"/>
  <c r="E117" i="84"/>
  <c r="E118" i="84"/>
  <c r="E108" i="84"/>
  <c r="D109" i="84"/>
  <c r="D110" i="84"/>
  <c r="D111" i="84"/>
  <c r="D112" i="84"/>
  <c r="D113" i="84"/>
  <c r="D114" i="84"/>
  <c r="D115" i="84"/>
  <c r="D116" i="84"/>
  <c r="D117" i="84"/>
  <c r="D118" i="84"/>
  <c r="D108" i="84"/>
  <c r="C109" i="84"/>
  <c r="C110" i="84"/>
  <c r="C111" i="84"/>
  <c r="C112" i="84"/>
  <c r="C113" i="84"/>
  <c r="C114" i="84"/>
  <c r="C115" i="84"/>
  <c r="C116" i="84"/>
  <c r="C117" i="84"/>
  <c r="C118" i="84"/>
  <c r="C108" i="84"/>
  <c r="B109" i="84"/>
  <c r="B110" i="84"/>
  <c r="B111" i="84"/>
  <c r="B112" i="84"/>
  <c r="B113" i="84"/>
  <c r="B114" i="84"/>
  <c r="B115" i="84"/>
  <c r="B116" i="84"/>
  <c r="B117" i="84"/>
  <c r="B118" i="84"/>
  <c r="B108" i="84"/>
  <c r="B106" i="84"/>
  <c r="C98" i="84"/>
  <c r="G98" i="84" s="1"/>
  <c r="J98" i="84" s="1"/>
  <c r="C97" i="84"/>
  <c r="C92" i="84"/>
  <c r="G92" i="84" s="1"/>
  <c r="J92" i="84" s="1"/>
  <c r="C91" i="84"/>
  <c r="L91" i="84" s="1"/>
  <c r="C86" i="84"/>
  <c r="C85" i="84"/>
  <c r="C80" i="84"/>
  <c r="F80" i="84" s="1"/>
  <c r="C79" i="84"/>
  <c r="L79" i="84" s="1"/>
  <c r="C74" i="84"/>
  <c r="C73" i="84"/>
  <c r="L73" i="84" s="1"/>
  <c r="C67" i="84"/>
  <c r="C68" i="84"/>
  <c r="G68" i="84" s="1"/>
  <c r="K68" i="84" s="1"/>
  <c r="C62" i="84"/>
  <c r="L62" i="84" s="1"/>
  <c r="C61" i="84"/>
  <c r="L61" i="84" s="1"/>
  <c r="C56" i="84"/>
  <c r="L56" i="84" s="1"/>
  <c r="C55" i="84"/>
  <c r="G55" i="84" s="1"/>
  <c r="K55" i="84" s="1"/>
  <c r="C50" i="84"/>
  <c r="C49" i="84"/>
  <c r="L49" i="84" s="1"/>
  <c r="C44" i="84"/>
  <c r="C43" i="84"/>
  <c r="C38" i="84"/>
  <c r="F38" i="84" s="1"/>
  <c r="C37" i="84"/>
  <c r="L98" i="85" l="1"/>
  <c r="C99" i="85"/>
  <c r="L99" i="85" s="1"/>
  <c r="G97" i="85"/>
  <c r="J97" i="85" s="1"/>
  <c r="L97" i="85"/>
  <c r="L91" i="85"/>
  <c r="L92" i="85"/>
  <c r="C93" i="85"/>
  <c r="L93" i="85" s="1"/>
  <c r="L85" i="85"/>
  <c r="C87" i="85"/>
  <c r="C81" i="85"/>
  <c r="L81" i="85" s="1"/>
  <c r="G79" i="85"/>
  <c r="J79" i="85" s="1"/>
  <c r="L79" i="85"/>
  <c r="G80" i="85"/>
  <c r="J80" i="85" s="1"/>
  <c r="L73" i="85"/>
  <c r="C75" i="85"/>
  <c r="C69" i="85"/>
  <c r="L69" i="85" s="1"/>
  <c r="L67" i="85"/>
  <c r="G67" i="85"/>
  <c r="J67" i="85" s="1"/>
  <c r="G68" i="85"/>
  <c r="J68" i="85" s="1"/>
  <c r="C63" i="85"/>
  <c r="L63" i="85" s="1"/>
  <c r="G62" i="85"/>
  <c r="J62" i="85" s="1"/>
  <c r="L61" i="85"/>
  <c r="G61" i="85"/>
  <c r="J61" i="85" s="1"/>
  <c r="L62" i="85"/>
  <c r="G56" i="85"/>
  <c r="J56" i="85" s="1"/>
  <c r="L56" i="85"/>
  <c r="K92" i="85"/>
  <c r="C57" i="85"/>
  <c r="L57" i="85" s="1"/>
  <c r="L55" i="85"/>
  <c r="C51" i="85"/>
  <c r="G49" i="85"/>
  <c r="J49" i="85" s="1"/>
  <c r="L49" i="85"/>
  <c r="L43" i="85"/>
  <c r="C45" i="85"/>
  <c r="F98" i="85"/>
  <c r="H97" i="85"/>
  <c r="F97" i="85"/>
  <c r="F99" i="85" s="1"/>
  <c r="H91" i="85"/>
  <c r="F91" i="85"/>
  <c r="K91" i="85"/>
  <c r="H92" i="85"/>
  <c r="F92" i="85"/>
  <c r="F93" i="85" s="1"/>
  <c r="H85" i="85"/>
  <c r="F85" i="85"/>
  <c r="F87" i="85" s="1"/>
  <c r="H80" i="85"/>
  <c r="F80" i="85"/>
  <c r="K80" i="85"/>
  <c r="M80" i="85" s="1"/>
  <c r="H79" i="85"/>
  <c r="F79" i="85"/>
  <c r="F81" i="85" s="1"/>
  <c r="H73" i="85"/>
  <c r="F73" i="85"/>
  <c r="F75" i="85" s="1"/>
  <c r="H67" i="85"/>
  <c r="F67" i="85"/>
  <c r="F61" i="85"/>
  <c r="F62" i="85"/>
  <c r="F55" i="85"/>
  <c r="H55" i="85"/>
  <c r="F38" i="85"/>
  <c r="H49" i="85"/>
  <c r="F49" i="85"/>
  <c r="F51" i="85" s="1"/>
  <c r="F43" i="85"/>
  <c r="K43" i="85"/>
  <c r="H43" i="85"/>
  <c r="F39" i="85"/>
  <c r="H37" i="85"/>
  <c r="F56" i="85"/>
  <c r="F57" i="85" s="1"/>
  <c r="H68" i="85"/>
  <c r="H61" i="85"/>
  <c r="K98" i="85"/>
  <c r="M98" i="85" s="1"/>
  <c r="F44" i="85"/>
  <c r="F68" i="85"/>
  <c r="O102" i="85"/>
  <c r="H98" i="85"/>
  <c r="G37" i="84"/>
  <c r="K37" i="84" s="1"/>
  <c r="G17" i="85"/>
  <c r="L97" i="84"/>
  <c r="L98" i="84"/>
  <c r="G97" i="84"/>
  <c r="K97" i="84" s="1"/>
  <c r="L92" i="84"/>
  <c r="G91" i="84"/>
  <c r="K91" i="84" s="1"/>
  <c r="G85" i="84"/>
  <c r="K85" i="84" s="1"/>
  <c r="L85" i="84"/>
  <c r="G80" i="84"/>
  <c r="K80" i="84" s="1"/>
  <c r="L80" i="84"/>
  <c r="G79" i="84"/>
  <c r="K79" i="84" s="1"/>
  <c r="G73" i="84"/>
  <c r="K73" i="84" s="1"/>
  <c r="L68" i="84"/>
  <c r="L67" i="84"/>
  <c r="G67" i="84"/>
  <c r="J67" i="84" s="1"/>
  <c r="G62" i="84"/>
  <c r="J62" i="84" s="1"/>
  <c r="G61" i="84"/>
  <c r="J61" i="84" s="1"/>
  <c r="G56" i="84"/>
  <c r="J56" i="84" s="1"/>
  <c r="L55" i="84"/>
  <c r="G49" i="84"/>
  <c r="J49" i="84" s="1"/>
  <c r="J97" i="84"/>
  <c r="L43" i="84"/>
  <c r="G43" i="84"/>
  <c r="J55" i="84"/>
  <c r="K98" i="84"/>
  <c r="K92" i="84"/>
  <c r="J68" i="84"/>
  <c r="G99" i="84"/>
  <c r="F97" i="84"/>
  <c r="F85" i="84"/>
  <c r="F79" i="84"/>
  <c r="F81" i="84" s="1"/>
  <c r="F73" i="84"/>
  <c r="F67" i="84"/>
  <c r="F61" i="84"/>
  <c r="F55" i="84"/>
  <c r="F49" i="84"/>
  <c r="H97" i="84"/>
  <c r="F98" i="84"/>
  <c r="H91" i="84"/>
  <c r="F91" i="84"/>
  <c r="F92" i="84"/>
  <c r="F86" i="84"/>
  <c r="H85" i="84"/>
  <c r="H79" i="84"/>
  <c r="H80" i="84"/>
  <c r="H73" i="84"/>
  <c r="F74" i="84"/>
  <c r="H68" i="84"/>
  <c r="H67" i="84"/>
  <c r="F68" i="84"/>
  <c r="F62" i="84"/>
  <c r="H62" i="84"/>
  <c r="H61" i="84"/>
  <c r="F56" i="84"/>
  <c r="H56" i="84"/>
  <c r="H55" i="84"/>
  <c r="H49" i="84"/>
  <c r="F50" i="84"/>
  <c r="F43" i="84"/>
  <c r="F44" i="84"/>
  <c r="H43" i="84"/>
  <c r="O39" i="84"/>
  <c r="H37" i="84"/>
  <c r="F37" i="84"/>
  <c r="F39" i="84" s="1"/>
  <c r="N99" i="85" l="1"/>
  <c r="N97" i="85"/>
  <c r="N98" i="85"/>
  <c r="M92" i="85"/>
  <c r="N92" i="85"/>
  <c r="N93" i="85"/>
  <c r="N91" i="85"/>
  <c r="K79" i="85"/>
  <c r="M79" i="85" s="1"/>
  <c r="M81" i="85" s="1"/>
  <c r="N80" i="85"/>
  <c r="N81" i="85"/>
  <c r="N79" i="85"/>
  <c r="K67" i="85"/>
  <c r="M67" i="85" s="1"/>
  <c r="F69" i="85"/>
  <c r="K62" i="85"/>
  <c r="M62" i="85" s="1"/>
  <c r="N56" i="85"/>
  <c r="N55" i="85"/>
  <c r="N57" i="85"/>
  <c r="C102" i="85"/>
  <c r="F45" i="85"/>
  <c r="F26" i="85"/>
  <c r="J37" i="84"/>
  <c r="K97" i="85"/>
  <c r="G99" i="85"/>
  <c r="K99" i="85" s="1"/>
  <c r="M91" i="85"/>
  <c r="G93" i="85"/>
  <c r="K85" i="85"/>
  <c r="G81" i="85"/>
  <c r="G57" i="85"/>
  <c r="K55" i="85"/>
  <c r="F63" i="85"/>
  <c r="M43" i="85"/>
  <c r="K68" i="85"/>
  <c r="G69" i="85"/>
  <c r="K49" i="85"/>
  <c r="K73" i="85"/>
  <c r="K37" i="85"/>
  <c r="H57" i="85"/>
  <c r="K56" i="85"/>
  <c r="F102" i="85"/>
  <c r="G63" i="85"/>
  <c r="K61" i="85"/>
  <c r="F75" i="84"/>
  <c r="F51" i="84"/>
  <c r="F99" i="84"/>
  <c r="N97" i="84"/>
  <c r="N98" i="84"/>
  <c r="N99" i="84"/>
  <c r="J91" i="84"/>
  <c r="G93" i="84"/>
  <c r="K93" i="84" s="1"/>
  <c r="F93" i="84"/>
  <c r="J85" i="84"/>
  <c r="F87" i="84"/>
  <c r="J79" i="84"/>
  <c r="G81" i="84"/>
  <c r="K81" i="84" s="1"/>
  <c r="J80" i="84"/>
  <c r="N80" i="84"/>
  <c r="N81" i="84"/>
  <c r="N79" i="84"/>
  <c r="J73" i="84"/>
  <c r="G69" i="84"/>
  <c r="K69" i="84" s="1"/>
  <c r="K67" i="84"/>
  <c r="M67" i="84" s="1"/>
  <c r="G57" i="84"/>
  <c r="J57" i="84" s="1"/>
  <c r="K56" i="84"/>
  <c r="M56" i="84" s="1"/>
  <c r="K62" i="84"/>
  <c r="M62" i="84" s="1"/>
  <c r="F69" i="84"/>
  <c r="G63" i="84"/>
  <c r="K63" i="84" s="1"/>
  <c r="K61" i="84"/>
  <c r="M61" i="84" s="1"/>
  <c r="K49" i="84"/>
  <c r="M49" i="84" s="1"/>
  <c r="J43" i="84"/>
  <c r="K43" i="84"/>
  <c r="M43" i="84" s="1"/>
  <c r="K99" i="84"/>
  <c r="J99" i="84"/>
  <c r="O102" i="84"/>
  <c r="F63" i="84"/>
  <c r="F57" i="84"/>
  <c r="M68" i="84"/>
  <c r="M97" i="84"/>
  <c r="M98" i="84"/>
  <c r="H98" i="84"/>
  <c r="M91" i="84"/>
  <c r="M92" i="84"/>
  <c r="H92" i="84"/>
  <c r="M85" i="84"/>
  <c r="M79" i="84"/>
  <c r="M80" i="84"/>
  <c r="M73" i="84"/>
  <c r="M55" i="84"/>
  <c r="F45" i="84"/>
  <c r="M37" i="84"/>
  <c r="P79" i="85" l="1"/>
  <c r="M93" i="85"/>
  <c r="D44" i="85"/>
  <c r="P97" i="85"/>
  <c r="D61" i="85"/>
  <c r="D39" i="85"/>
  <c r="G38" i="85" s="1"/>
  <c r="G39" i="85" s="1"/>
  <c r="H39" i="85" s="1"/>
  <c r="D87" i="85"/>
  <c r="G86" i="85" s="1"/>
  <c r="G87" i="85" s="1"/>
  <c r="D79" i="85"/>
  <c r="D80" i="85"/>
  <c r="D91" i="85"/>
  <c r="D67" i="85"/>
  <c r="D97" i="85"/>
  <c r="D99" i="85"/>
  <c r="D51" i="85"/>
  <c r="G50" i="85" s="1"/>
  <c r="H50" i="85" s="1"/>
  <c r="D98" i="85"/>
  <c r="D38" i="85"/>
  <c r="N69" i="85"/>
  <c r="N67" i="85"/>
  <c r="P67" i="85" s="1"/>
  <c r="N68" i="85"/>
  <c r="P68" i="85" s="1"/>
  <c r="D55" i="85"/>
  <c r="D75" i="85"/>
  <c r="G74" i="85" s="1"/>
  <c r="H74" i="85" s="1"/>
  <c r="D62" i="85"/>
  <c r="D69" i="85"/>
  <c r="D73" i="85"/>
  <c r="D63" i="85"/>
  <c r="D92" i="85"/>
  <c r="D93" i="85"/>
  <c r="N61" i="85"/>
  <c r="P61" i="85" s="1"/>
  <c r="N63" i="85"/>
  <c r="N62" i="85"/>
  <c r="P62" i="85" s="1"/>
  <c r="P91" i="85"/>
  <c r="D85" i="85"/>
  <c r="D56" i="85"/>
  <c r="D57" i="85"/>
  <c r="D81" i="85"/>
  <c r="P80" i="85"/>
  <c r="P92" i="85"/>
  <c r="D43" i="85"/>
  <c r="D68" i="85"/>
  <c r="D74" i="85"/>
  <c r="P98" i="85"/>
  <c r="D45" i="85"/>
  <c r="G44" i="85" s="1"/>
  <c r="G45" i="85" s="1"/>
  <c r="D37" i="85"/>
  <c r="D49" i="85"/>
  <c r="D86" i="85"/>
  <c r="D50" i="85"/>
  <c r="M97" i="85"/>
  <c r="M99" i="85" s="1"/>
  <c r="M85" i="85"/>
  <c r="M73" i="85"/>
  <c r="M68" i="85"/>
  <c r="M69" i="85" s="1"/>
  <c r="M61" i="85"/>
  <c r="M63" i="85" s="1"/>
  <c r="M56" i="85"/>
  <c r="P56" i="85"/>
  <c r="M55" i="85"/>
  <c r="P55" i="85"/>
  <c r="M49" i="85"/>
  <c r="M37" i="85"/>
  <c r="H99" i="85"/>
  <c r="J99" i="85"/>
  <c r="P99" i="85" s="1"/>
  <c r="H93" i="85"/>
  <c r="J93" i="85"/>
  <c r="H81" i="85"/>
  <c r="J81" i="85"/>
  <c r="J69" i="85"/>
  <c r="J63" i="85"/>
  <c r="J57" i="85"/>
  <c r="K57" i="84"/>
  <c r="K81" i="85"/>
  <c r="K57" i="85"/>
  <c r="K93" i="85"/>
  <c r="K63" i="85"/>
  <c r="H63" i="85"/>
  <c r="H44" i="85"/>
  <c r="K69" i="85"/>
  <c r="H69" i="85"/>
  <c r="J81" i="84"/>
  <c r="J93" i="84"/>
  <c r="N93" i="84"/>
  <c r="N91" i="84"/>
  <c r="N92" i="84"/>
  <c r="J63" i="84"/>
  <c r="J69" i="84"/>
  <c r="N69" i="84"/>
  <c r="N68" i="84"/>
  <c r="N67" i="84"/>
  <c r="N62" i="84"/>
  <c r="N63" i="84"/>
  <c r="N61" i="84"/>
  <c r="F102" i="84"/>
  <c r="N56" i="84"/>
  <c r="N57" i="84"/>
  <c r="N55" i="84"/>
  <c r="M81" i="84"/>
  <c r="M63" i="84"/>
  <c r="M69" i="84"/>
  <c r="M57" i="84"/>
  <c r="M99" i="84"/>
  <c r="M93" i="84"/>
  <c r="G75" i="85" l="1"/>
  <c r="H86" i="85"/>
  <c r="G51" i="85"/>
  <c r="H38" i="85"/>
  <c r="M57" i="85"/>
  <c r="D102" i="85"/>
  <c r="P69" i="85"/>
  <c r="P81" i="85"/>
  <c r="P63" i="85"/>
  <c r="P57" i="85"/>
  <c r="P93" i="85"/>
  <c r="H51" i="85"/>
  <c r="H87" i="85"/>
  <c r="G102" i="85"/>
  <c r="H75" i="85"/>
  <c r="H45" i="85"/>
  <c r="C26" i="84"/>
  <c r="F26" i="84" s="1"/>
  <c r="C27" i="84" l="1"/>
  <c r="F27" i="84" s="1"/>
  <c r="J15" i="90"/>
  <c r="L15" i="90"/>
  <c r="L19" i="90"/>
  <c r="AF10" i="89"/>
  <c r="AF11" i="89"/>
  <c r="AF12" i="89"/>
  <c r="AF13" i="89"/>
  <c r="AF14" i="89"/>
  <c r="AF15" i="89"/>
  <c r="AF16" i="89"/>
  <c r="AF17" i="89"/>
  <c r="AF18" i="89"/>
  <c r="AF19" i="89"/>
  <c r="AF20" i="89"/>
  <c r="AF21" i="89"/>
  <c r="AF22" i="89"/>
  <c r="AF23" i="89"/>
  <c r="AF24" i="89"/>
  <c r="AF25" i="89"/>
  <c r="AF26" i="89"/>
  <c r="AF27" i="89"/>
  <c r="AF28" i="89"/>
  <c r="AF29" i="89"/>
  <c r="AF30" i="89"/>
  <c r="AF31" i="89"/>
  <c r="AF32" i="89"/>
  <c r="AF33" i="89"/>
  <c r="AF34" i="89"/>
  <c r="AF35" i="89"/>
  <c r="AF36" i="89"/>
  <c r="AF37" i="89"/>
  <c r="AF38" i="89"/>
  <c r="AF39" i="89"/>
  <c r="AF40" i="89"/>
  <c r="AF41" i="89"/>
  <c r="AF42" i="89"/>
  <c r="AF43" i="89"/>
  <c r="AF44" i="89"/>
  <c r="AF45" i="89"/>
  <c r="AF46" i="89"/>
  <c r="AF47" i="89"/>
  <c r="AF48" i="89"/>
  <c r="AF49" i="89"/>
  <c r="AG12" i="89"/>
  <c r="AB10" i="89" a="1"/>
  <c r="AB10" i="89" s="1"/>
  <c r="AG10" i="89" s="1"/>
  <c r="AA10" i="89"/>
  <c r="AD11" i="89" a="1"/>
  <c r="AD11" i="89" s="1"/>
  <c r="BN11" i="89" s="1"/>
  <c r="AD12" i="89" a="1"/>
  <c r="AD12" i="89" s="1"/>
  <c r="BN12" i="89" s="1"/>
  <c r="AD13" i="89" a="1"/>
  <c r="AD13" i="89" s="1"/>
  <c r="BN13" i="89" s="1"/>
  <c r="AD14" i="89" a="1"/>
  <c r="AD14" i="89" s="1"/>
  <c r="BN14" i="89" s="1"/>
  <c r="AD15" i="89" a="1"/>
  <c r="AD15" i="89" s="1"/>
  <c r="BN15" i="89" s="1"/>
  <c r="AD16" i="89" a="1"/>
  <c r="AD16" i="89" s="1"/>
  <c r="BN16" i="89" s="1"/>
  <c r="AD17" i="89" a="1"/>
  <c r="AD17" i="89"/>
  <c r="BN17" i="89" s="1"/>
  <c r="AD18" i="89" a="1"/>
  <c r="AD18" i="89" s="1"/>
  <c r="BN18" i="89" s="1"/>
  <c r="AD19" i="89" a="1"/>
  <c r="AD19" i="89" s="1"/>
  <c r="BN19" i="89" s="1"/>
  <c r="AD20" i="89" a="1"/>
  <c r="AD20" i="89" s="1"/>
  <c r="BN20" i="89" s="1"/>
  <c r="AD21" i="89" a="1"/>
  <c r="AD21" i="89" s="1"/>
  <c r="BN21" i="89" s="1"/>
  <c r="AD22" i="89" a="1"/>
  <c r="AD22" i="89" s="1"/>
  <c r="BN22" i="89" s="1"/>
  <c r="AD23" i="89" a="1"/>
  <c r="AD23" i="89" s="1"/>
  <c r="BN23" i="89" s="1"/>
  <c r="AD24" i="89" a="1"/>
  <c r="AD24" i="89"/>
  <c r="BN24" i="89" s="1"/>
  <c r="AD25" i="89" a="1"/>
  <c r="AD25" i="89"/>
  <c r="BN25" i="89" s="1"/>
  <c r="AD26" i="89" a="1"/>
  <c r="AD26" i="89" s="1"/>
  <c r="BN26" i="89" s="1"/>
  <c r="AD27" i="89" a="1"/>
  <c r="AD27" i="89" s="1"/>
  <c r="BN27" i="89" s="1"/>
  <c r="AD28" i="89" a="1"/>
  <c r="AD28" i="89" s="1"/>
  <c r="BN28" i="89" s="1"/>
  <c r="AD29" i="89" a="1"/>
  <c r="AD29" i="89" s="1"/>
  <c r="BN29" i="89" s="1"/>
  <c r="AD30" i="89" a="1"/>
  <c r="AD30" i="89" s="1"/>
  <c r="BN30" i="89" s="1"/>
  <c r="AD31" i="89" a="1"/>
  <c r="AD31" i="89" s="1"/>
  <c r="BN31" i="89" s="1"/>
  <c r="AD32" i="89" a="1"/>
  <c r="AD32" i="89" s="1"/>
  <c r="BN32" i="89" s="1"/>
  <c r="AD33" i="89" a="1"/>
  <c r="AD33" i="89"/>
  <c r="AD34" i="89" a="1"/>
  <c r="AD34" i="89" s="1"/>
  <c r="BN34" i="89" s="1"/>
  <c r="AD35" i="89" a="1"/>
  <c r="AD35" i="89" s="1"/>
  <c r="BN35" i="89" s="1"/>
  <c r="AD36" i="89" a="1"/>
  <c r="AD36" i="89" s="1"/>
  <c r="BN36" i="89" s="1"/>
  <c r="AD37" i="89" a="1"/>
  <c r="AD37" i="89" s="1"/>
  <c r="BN37" i="89" s="1"/>
  <c r="AD38" i="89" a="1"/>
  <c r="AD38" i="89" s="1"/>
  <c r="BN38" i="89" s="1"/>
  <c r="AD39" i="89" a="1"/>
  <c r="AD39" i="89" s="1"/>
  <c r="BN39" i="89" s="1"/>
  <c r="AD40" i="89" a="1"/>
  <c r="AD40" i="89" s="1"/>
  <c r="BN40" i="89" s="1"/>
  <c r="AD41" i="89" a="1"/>
  <c r="AD41" i="89" s="1"/>
  <c r="BN41" i="89" s="1"/>
  <c r="AD42" i="89" a="1"/>
  <c r="AD42" i="89"/>
  <c r="BN42" i="89" s="1"/>
  <c r="AD43" i="89" a="1"/>
  <c r="AD43" i="89" s="1"/>
  <c r="BN43" i="89" s="1"/>
  <c r="AD44" i="89" a="1"/>
  <c r="AD44" i="89" s="1"/>
  <c r="BN44" i="89" s="1"/>
  <c r="AD45" i="89" a="1"/>
  <c r="AD45" i="89" s="1"/>
  <c r="BN45" i="89" s="1"/>
  <c r="AD46" i="89" a="1"/>
  <c r="AD46" i="89"/>
  <c r="BN46" i="89" s="1"/>
  <c r="AD47" i="89" a="1"/>
  <c r="AD47" i="89" s="1"/>
  <c r="BN47" i="89" s="1"/>
  <c r="AD48" i="89" a="1"/>
  <c r="AD48" i="89" s="1"/>
  <c r="BN48" i="89" s="1"/>
  <c r="AD49" i="89" a="1"/>
  <c r="AD49" i="89" s="1"/>
  <c r="BN49" i="89" s="1"/>
  <c r="AD10" i="89" a="1"/>
  <c r="AD10" i="89" s="1"/>
  <c r="AA28" i="89"/>
  <c r="BJ28" i="89" s="1"/>
  <c r="AA11" i="89"/>
  <c r="AA12" i="89"/>
  <c r="AA13" i="89"/>
  <c r="BJ13" i="89" s="1"/>
  <c r="AA14" i="89"/>
  <c r="AA15" i="89"/>
  <c r="AA16" i="89"/>
  <c r="AA17" i="89"/>
  <c r="AA18" i="89"/>
  <c r="AA19" i="89"/>
  <c r="AA20" i="89"/>
  <c r="BJ20" i="89" s="1"/>
  <c r="AA21" i="89"/>
  <c r="AA22" i="89"/>
  <c r="BJ22" i="89" s="1"/>
  <c r="AA23" i="89"/>
  <c r="BJ23" i="89" s="1"/>
  <c r="AA24" i="89"/>
  <c r="BJ24" i="89" s="1"/>
  <c r="AA25" i="89"/>
  <c r="BJ25" i="89" s="1"/>
  <c r="AA26" i="89"/>
  <c r="BJ26" i="89" s="1"/>
  <c r="AA27" i="89"/>
  <c r="AA29" i="89"/>
  <c r="AA30" i="89"/>
  <c r="AA31" i="89"/>
  <c r="AA32" i="89"/>
  <c r="AA33" i="89"/>
  <c r="AA34" i="89"/>
  <c r="BJ34" i="89" s="1"/>
  <c r="AA35" i="89"/>
  <c r="AA36" i="89"/>
  <c r="BJ36" i="89" s="1"/>
  <c r="AA37" i="89"/>
  <c r="BJ37" i="89" s="1"/>
  <c r="AA38" i="89"/>
  <c r="BJ38" i="89" s="1"/>
  <c r="AA39" i="89"/>
  <c r="BJ39" i="89" s="1"/>
  <c r="AA40" i="89"/>
  <c r="BJ40" i="89" s="1"/>
  <c r="AA41" i="89"/>
  <c r="BJ41" i="89" s="1"/>
  <c r="AA42" i="89"/>
  <c r="BJ42" i="89" s="1"/>
  <c r="AA43" i="89"/>
  <c r="BJ43" i="89" s="1"/>
  <c r="AA44" i="89"/>
  <c r="AA45" i="89"/>
  <c r="AA46" i="89"/>
  <c r="AA47" i="89"/>
  <c r="AA48" i="89"/>
  <c r="AA49" i="89"/>
  <c r="AB11" i="89" a="1"/>
  <c r="AB11" i="89" s="1"/>
  <c r="AB12" i="89" a="1"/>
  <c r="AB12" i="89" s="1"/>
  <c r="BL12" i="89" s="1"/>
  <c r="AB13" i="89" a="1"/>
  <c r="AB13" i="89" s="1"/>
  <c r="BL13" i="89" s="1"/>
  <c r="AB14" i="89" a="1"/>
  <c r="AB14" i="89" s="1"/>
  <c r="BL14" i="89" s="1"/>
  <c r="AB15" i="89" a="1"/>
  <c r="AB15" i="89" s="1"/>
  <c r="BL15" i="89" s="1"/>
  <c r="AB16" i="89" a="1"/>
  <c r="AB16" i="89"/>
  <c r="BL16" i="89" s="1"/>
  <c r="AB17" i="89" a="1"/>
  <c r="AB17" i="89" s="1"/>
  <c r="BL17" i="89" s="1"/>
  <c r="AB18" i="89" a="1"/>
  <c r="AB18" i="89" s="1"/>
  <c r="BL18" i="89" s="1"/>
  <c r="AB19" i="89" a="1"/>
  <c r="AB19" i="89" s="1"/>
  <c r="BL19" i="89" s="1"/>
  <c r="AB20" i="89" a="1"/>
  <c r="AB20" i="89" s="1"/>
  <c r="BL20" i="89" s="1"/>
  <c r="AB21" i="89" a="1"/>
  <c r="AB21" i="89" s="1"/>
  <c r="BL21" i="89" s="1"/>
  <c r="AB22" i="89" a="1"/>
  <c r="AB22" i="89" s="1"/>
  <c r="BL22" i="89" s="1"/>
  <c r="AB23" i="89" a="1"/>
  <c r="AB23" i="89" s="1"/>
  <c r="BL23" i="89" s="1"/>
  <c r="AB24" i="89" a="1"/>
  <c r="AB24" i="89" s="1"/>
  <c r="BL24" i="89" s="1"/>
  <c r="AB25" i="89" a="1"/>
  <c r="AB25" i="89" s="1"/>
  <c r="BL25" i="89" s="1"/>
  <c r="AB26" i="89" a="1"/>
  <c r="AB26" i="89" s="1"/>
  <c r="BL26" i="89" s="1"/>
  <c r="AB27" i="89" a="1"/>
  <c r="AB27" i="89" s="1"/>
  <c r="BL27" i="89" s="1"/>
  <c r="AB28" i="89" a="1"/>
  <c r="AB28" i="89" s="1"/>
  <c r="BL28" i="89" s="1"/>
  <c r="AB29" i="89" a="1"/>
  <c r="AB29" i="89" s="1"/>
  <c r="BL29" i="89" s="1"/>
  <c r="AB30" i="89" a="1"/>
  <c r="AB30" i="89" s="1"/>
  <c r="BL30" i="89" s="1"/>
  <c r="AB31" i="89" a="1"/>
  <c r="AB31" i="89" s="1"/>
  <c r="BL31" i="89" s="1"/>
  <c r="AB32" i="89" a="1"/>
  <c r="AB32" i="89" s="1"/>
  <c r="BL32" i="89" s="1"/>
  <c r="AB33" i="89" a="1"/>
  <c r="AB33" i="89" s="1"/>
  <c r="BL33" i="89" s="1"/>
  <c r="AB34" i="89" a="1"/>
  <c r="AB34" i="89" s="1"/>
  <c r="BL34" i="89" s="1"/>
  <c r="AB35" i="89" a="1"/>
  <c r="AB35" i="89" s="1"/>
  <c r="BL35" i="89" s="1"/>
  <c r="AB36" i="89" a="1"/>
  <c r="AB36" i="89" s="1"/>
  <c r="BL36" i="89" s="1"/>
  <c r="AB37" i="89" a="1"/>
  <c r="AB37" i="89" s="1"/>
  <c r="BL37" i="89" s="1"/>
  <c r="AB38" i="89" a="1"/>
  <c r="AB38" i="89" s="1"/>
  <c r="BL38" i="89" s="1"/>
  <c r="AB39" i="89" a="1"/>
  <c r="AB39" i="89" s="1"/>
  <c r="BL39" i="89" s="1"/>
  <c r="AB40" i="89" a="1"/>
  <c r="AB40" i="89" s="1"/>
  <c r="BL40" i="89" s="1"/>
  <c r="AB41" i="89" a="1"/>
  <c r="AB41" i="89" s="1"/>
  <c r="BL41" i="89" s="1"/>
  <c r="AB42" i="89" a="1"/>
  <c r="AB42" i="89" s="1"/>
  <c r="BL42" i="89" s="1"/>
  <c r="AB43" i="89" a="1"/>
  <c r="AB43" i="89" s="1"/>
  <c r="BL43" i="89" s="1"/>
  <c r="AB44" i="89" a="1"/>
  <c r="AB44" i="89" s="1"/>
  <c r="BL44" i="89" s="1"/>
  <c r="AB45" i="89" a="1"/>
  <c r="AB45" i="89" s="1"/>
  <c r="BL45" i="89" s="1"/>
  <c r="AB46" i="89" a="1"/>
  <c r="AB46" i="89" s="1"/>
  <c r="BL46" i="89" s="1"/>
  <c r="AB47" i="89" a="1"/>
  <c r="AB47" i="89" s="1"/>
  <c r="BL47" i="89" s="1"/>
  <c r="AB48" i="89" a="1"/>
  <c r="AB48" i="89"/>
  <c r="BL48" i="89" s="1"/>
  <c r="AB49" i="89" a="1"/>
  <c r="AB49" i="89" s="1"/>
  <c r="BL49" i="89" s="1"/>
  <c r="BO11" i="89"/>
  <c r="BO12" i="89"/>
  <c r="BO13" i="89"/>
  <c r="BO14" i="89"/>
  <c r="BO15" i="89"/>
  <c r="BO16" i="89"/>
  <c r="BO17" i="89"/>
  <c r="BO18" i="89"/>
  <c r="BO19" i="89"/>
  <c r="BO20" i="89"/>
  <c r="BO21" i="89"/>
  <c r="BO22" i="89"/>
  <c r="BO23" i="89"/>
  <c r="BO24" i="89"/>
  <c r="BO25" i="89"/>
  <c r="BO26" i="89"/>
  <c r="BO27" i="89"/>
  <c r="BO28" i="89"/>
  <c r="BO29" i="89"/>
  <c r="BO30" i="89"/>
  <c r="BO31" i="89"/>
  <c r="BO32" i="89"/>
  <c r="BO33" i="89"/>
  <c r="BO34" i="89"/>
  <c r="BO35" i="89"/>
  <c r="BO36" i="89"/>
  <c r="BO37" i="89"/>
  <c r="BO38" i="89"/>
  <c r="BO39" i="89"/>
  <c r="BO40" i="89"/>
  <c r="BO41" i="89"/>
  <c r="BO42" i="89"/>
  <c r="BO43" i="89"/>
  <c r="BO44" i="89"/>
  <c r="BO45" i="89"/>
  <c r="BO46" i="89"/>
  <c r="BN33" i="89"/>
  <c r="BM11" i="89"/>
  <c r="BM12" i="89"/>
  <c r="BM13" i="89"/>
  <c r="BM14" i="89"/>
  <c r="BM15" i="89"/>
  <c r="BM16" i="89"/>
  <c r="BM17" i="89"/>
  <c r="BM18" i="89"/>
  <c r="BM19" i="89"/>
  <c r="BM20" i="89"/>
  <c r="BM21" i="89"/>
  <c r="BM22" i="89"/>
  <c r="BM23" i="89"/>
  <c r="BM24" i="89"/>
  <c r="BM25" i="89"/>
  <c r="BM26" i="89"/>
  <c r="BM27" i="89"/>
  <c r="BM28" i="89"/>
  <c r="BM29" i="89"/>
  <c r="BM30" i="89"/>
  <c r="BM31" i="89"/>
  <c r="BM32" i="89"/>
  <c r="BM33" i="89"/>
  <c r="BM34" i="89"/>
  <c r="BM35" i="89"/>
  <c r="BM36" i="89"/>
  <c r="BM37" i="89"/>
  <c r="BM38" i="89"/>
  <c r="BM39" i="89"/>
  <c r="BM40" i="89"/>
  <c r="BM41" i="89"/>
  <c r="BM42" i="89"/>
  <c r="BM43" i="89"/>
  <c r="BM44" i="89"/>
  <c r="BM45" i="89"/>
  <c r="BM46" i="89"/>
  <c r="BM47" i="89"/>
  <c r="BK11" i="89"/>
  <c r="BK12" i="89"/>
  <c r="BK13" i="89"/>
  <c r="BK14" i="89"/>
  <c r="BK15" i="89"/>
  <c r="BK16" i="89"/>
  <c r="BK17" i="89"/>
  <c r="BK18" i="89"/>
  <c r="BK19" i="89"/>
  <c r="BK20" i="89"/>
  <c r="BK21" i="89"/>
  <c r="BK22" i="89"/>
  <c r="BK23" i="89"/>
  <c r="BK24" i="89"/>
  <c r="BK25" i="89"/>
  <c r="BK26" i="89"/>
  <c r="BK27" i="89"/>
  <c r="BK28" i="89"/>
  <c r="BK29" i="89"/>
  <c r="BK30" i="89"/>
  <c r="BK31" i="89"/>
  <c r="BK32" i="89"/>
  <c r="BK33" i="89"/>
  <c r="BK34" i="89"/>
  <c r="BK35" i="89"/>
  <c r="BK36" i="89"/>
  <c r="BK37" i="89"/>
  <c r="BK38" i="89"/>
  <c r="BK39" i="89"/>
  <c r="BK40" i="89"/>
  <c r="BK41" i="89"/>
  <c r="BK42" i="89"/>
  <c r="BK43" i="89"/>
  <c r="BK44" i="89"/>
  <c r="BK45" i="89"/>
  <c r="BK46" i="89"/>
  <c r="BK47" i="89"/>
  <c r="BK48" i="89"/>
  <c r="BK49" i="89"/>
  <c r="BJ18" i="89"/>
  <c r="BJ11" i="89"/>
  <c r="BJ12" i="89"/>
  <c r="BJ14" i="89"/>
  <c r="BJ15" i="89"/>
  <c r="BJ16" i="89"/>
  <c r="BJ17" i="89"/>
  <c r="BJ19" i="89"/>
  <c r="BJ21" i="89"/>
  <c r="BJ27" i="89"/>
  <c r="BJ29" i="89"/>
  <c r="BJ30" i="89"/>
  <c r="BJ31" i="89"/>
  <c r="BJ32" i="89"/>
  <c r="BJ33" i="89"/>
  <c r="BJ35" i="89"/>
  <c r="BJ44" i="89"/>
  <c r="BJ45" i="89"/>
  <c r="BJ46" i="89"/>
  <c r="BJ47" i="89"/>
  <c r="BJ48" i="89"/>
  <c r="BJ49" i="89"/>
  <c r="AF11" i="79" a="1"/>
  <c r="AF11" i="79"/>
  <c r="AF12" i="79" a="1"/>
  <c r="AF12" i="79"/>
  <c r="AF13" i="79" a="1"/>
  <c r="AF13" i="79" s="1"/>
  <c r="AF14" i="79" a="1"/>
  <c r="AF14" i="79" s="1"/>
  <c r="AF15" i="79" a="1"/>
  <c r="AF15" i="79" s="1"/>
  <c r="AF16" i="79" a="1"/>
  <c r="AF16" i="79" s="1"/>
  <c r="AF17" i="79" a="1"/>
  <c r="AF17" i="79"/>
  <c r="AF18" i="79" a="1"/>
  <c r="AF18" i="79"/>
  <c r="AF19" i="79" a="1"/>
  <c r="AF19" i="79"/>
  <c r="AF20" i="79" a="1"/>
  <c r="AF20" i="79"/>
  <c r="AF21" i="79" a="1"/>
  <c r="AF21" i="79" s="1"/>
  <c r="AF22" i="79" a="1"/>
  <c r="AF22" i="79" s="1"/>
  <c r="AF23" i="79" a="1"/>
  <c r="AF23" i="79" s="1"/>
  <c r="AF24" i="79" a="1"/>
  <c r="AF24" i="79" s="1"/>
  <c r="AF25" i="79" a="1"/>
  <c r="AF25" i="79"/>
  <c r="AF26" i="79" a="1"/>
  <c r="AF26" i="79"/>
  <c r="AF27" i="79" a="1"/>
  <c r="AF27" i="79"/>
  <c r="AF28" i="79" a="1"/>
  <c r="AF28" i="79"/>
  <c r="AF29" i="79" a="1"/>
  <c r="AF29" i="79" s="1"/>
  <c r="AF30" i="79" a="1"/>
  <c r="AF30" i="79" s="1"/>
  <c r="AF31" i="79" a="1"/>
  <c r="AF31" i="79" s="1"/>
  <c r="AF32" i="79" a="1"/>
  <c r="AF32" i="79" s="1"/>
  <c r="AF33" i="79" a="1"/>
  <c r="AF33" i="79"/>
  <c r="AF34" i="79" a="1"/>
  <c r="AF34" i="79"/>
  <c r="AF35" i="79" a="1"/>
  <c r="AF35" i="79"/>
  <c r="AF36" i="79" a="1"/>
  <c r="AF36" i="79"/>
  <c r="AF37" i="79" a="1"/>
  <c r="AF37" i="79" s="1"/>
  <c r="AF38" i="79" a="1"/>
  <c r="AF38" i="79" s="1"/>
  <c r="AF39" i="79" a="1"/>
  <c r="AF39" i="79" s="1"/>
  <c r="AF40" i="79" a="1"/>
  <c r="AF40" i="79" s="1"/>
  <c r="AF41" i="79" a="1"/>
  <c r="AF41" i="79"/>
  <c r="AF42" i="79" a="1"/>
  <c r="AF42" i="79"/>
  <c r="AF43" i="79" a="1"/>
  <c r="AF43" i="79"/>
  <c r="AF44" i="79" a="1"/>
  <c r="AF44" i="79"/>
  <c r="AF45" i="79" a="1"/>
  <c r="AF45" i="79" s="1"/>
  <c r="AF46" i="79" a="1"/>
  <c r="AF46" i="79" s="1"/>
  <c r="AF47" i="79" a="1"/>
  <c r="AF47" i="79" s="1"/>
  <c r="AF48" i="79" a="1"/>
  <c r="AF48" i="79" s="1"/>
  <c r="AF49" i="79" a="1"/>
  <c r="AF49" i="79"/>
  <c r="AF50" i="79" a="1"/>
  <c r="AF50" i="79"/>
  <c r="AF51" i="79" a="1"/>
  <c r="AF51" i="79"/>
  <c r="AF52" i="79" a="1"/>
  <c r="AF52" i="79"/>
  <c r="AF53" i="79" a="1"/>
  <c r="AF53" i="79" s="1"/>
  <c r="AF54" i="79" a="1"/>
  <c r="AF54" i="79" s="1"/>
  <c r="AF55" i="79" a="1"/>
  <c r="AF55" i="79" s="1"/>
  <c r="AF56" i="79" a="1"/>
  <c r="AF56" i="79" s="1"/>
  <c r="AF57" i="79" a="1"/>
  <c r="AF57" i="79"/>
  <c r="AF58" i="79" a="1"/>
  <c r="AF58" i="79"/>
  <c r="AF59" i="79" a="1"/>
  <c r="AF59" i="79"/>
  <c r="AF60" i="79" a="1"/>
  <c r="AF60" i="79"/>
  <c r="AF61" i="79" a="1"/>
  <c r="AF61" i="79" s="1"/>
  <c r="AF62" i="79" a="1"/>
  <c r="AF62" i="79" s="1"/>
  <c r="AF63" i="79" a="1"/>
  <c r="AF63" i="79" s="1"/>
  <c r="AF64" i="79" a="1"/>
  <c r="AF64" i="79" s="1"/>
  <c r="AF65" i="79" a="1"/>
  <c r="AF65" i="79"/>
  <c r="AF66" i="79" a="1"/>
  <c r="AF66" i="79"/>
  <c r="AF67" i="79" a="1"/>
  <c r="AF67" i="79"/>
  <c r="AF68" i="79" a="1"/>
  <c r="AF68" i="79"/>
  <c r="AF69" i="79" a="1"/>
  <c r="AF69" i="79" s="1"/>
  <c r="AF70" i="79" a="1"/>
  <c r="AF70" i="79" s="1"/>
  <c r="AF71" i="79" a="1"/>
  <c r="AF71" i="79" s="1"/>
  <c r="AF72" i="79" a="1"/>
  <c r="AF72" i="79" s="1"/>
  <c r="AF73" i="79" a="1"/>
  <c r="AF73" i="79"/>
  <c r="AF74" i="79" a="1"/>
  <c r="AF74" i="79"/>
  <c r="AF75" i="79" a="1"/>
  <c r="AF75" i="79"/>
  <c r="AF76" i="79" a="1"/>
  <c r="AF76" i="79"/>
  <c r="AF77" i="79" a="1"/>
  <c r="AF77" i="79" s="1"/>
  <c r="AF78" i="79" a="1"/>
  <c r="AF78" i="79" s="1"/>
  <c r="AF79" i="79" a="1"/>
  <c r="AF79" i="79" s="1"/>
  <c r="AF80" i="79" a="1"/>
  <c r="AF80" i="79" s="1"/>
  <c r="AF81" i="79" a="1"/>
  <c r="AF81" i="79"/>
  <c r="AF82" i="79" a="1"/>
  <c r="AF82" i="79"/>
  <c r="AF83" i="79" a="1"/>
  <c r="AF83" i="79"/>
  <c r="AF84" i="79" a="1"/>
  <c r="AF84" i="79" s="1"/>
  <c r="AF85" i="79" a="1"/>
  <c r="AF85" i="79" s="1"/>
  <c r="AF86" i="79" a="1"/>
  <c r="AF86" i="79" s="1"/>
  <c r="AF87" i="79" a="1"/>
  <c r="AF87" i="79" s="1"/>
  <c r="AF88" i="79" a="1"/>
  <c r="AF88" i="79" s="1"/>
  <c r="AF89" i="79" a="1"/>
  <c r="AF89" i="79"/>
  <c r="AF90" i="79" a="1"/>
  <c r="AF90" i="79"/>
  <c r="AF91" i="79" a="1"/>
  <c r="AF91" i="79"/>
  <c r="AF92" i="79" a="1"/>
  <c r="AF92" i="79" s="1"/>
  <c r="AF93" i="79" a="1"/>
  <c r="AF93" i="79" s="1"/>
  <c r="AF94" i="79" a="1"/>
  <c r="AF94" i="79" s="1"/>
  <c r="AF95" i="79" a="1"/>
  <c r="AF95" i="79" s="1"/>
  <c r="AF96" i="79" a="1"/>
  <c r="AF96" i="79" s="1"/>
  <c r="AF97" i="79" a="1"/>
  <c r="AF97" i="79"/>
  <c r="AF98" i="79" a="1"/>
  <c r="AF98" i="79"/>
  <c r="AF99" i="79" a="1"/>
  <c r="AF99" i="79" s="1"/>
  <c r="AF100" i="79" a="1"/>
  <c r="AF100" i="79" s="1"/>
  <c r="AF101" i="79" a="1"/>
  <c r="AF101" i="79" s="1"/>
  <c r="AF102" i="79" a="1"/>
  <c r="AF102" i="79" s="1"/>
  <c r="AF103" i="79" a="1"/>
  <c r="AF103" i="79" s="1"/>
  <c r="AF104" i="79" a="1"/>
  <c r="AF104" i="79" s="1"/>
  <c r="AF105" i="79" a="1"/>
  <c r="AF105" i="79" s="1"/>
  <c r="AF106" i="79" a="1"/>
  <c r="AF106" i="79" s="1"/>
  <c r="AF107" i="79" a="1"/>
  <c r="AF107" i="79" s="1"/>
  <c r="AF108" i="79" a="1"/>
  <c r="AF108" i="79" s="1"/>
  <c r="AF109" i="79" a="1"/>
  <c r="AF109" i="79" s="1"/>
  <c r="AF10" i="79" a="1"/>
  <c r="AF10" i="79" s="1"/>
  <c r="D17" i="85" l="1"/>
  <c r="BL11" i="89"/>
  <c r="BP11" i="89"/>
  <c r="V10" i="89" a="1"/>
  <c r="V10" i="89" s="1"/>
  <c r="F13" i="77"/>
  <c r="F15" i="77"/>
  <c r="J17" i="77"/>
  <c r="H17" i="77"/>
  <c r="F17" i="77"/>
  <c r="L15" i="77"/>
  <c r="J15" i="77"/>
  <c r="H15" i="77"/>
  <c r="L13" i="77"/>
  <c r="J13" i="77"/>
  <c r="H13" i="77"/>
  <c r="F91" i="77"/>
  <c r="F88" i="77"/>
  <c r="F89" i="77"/>
  <c r="F90" i="77"/>
  <c r="F82" i="77"/>
  <c r="F83" i="77"/>
  <c r="F84" i="77"/>
  <c r="F85" i="77"/>
  <c r="F71" i="77"/>
  <c r="F72" i="77"/>
  <c r="F73" i="77"/>
  <c r="F74" i="77"/>
  <c r="F75" i="77"/>
  <c r="F76" i="77"/>
  <c r="F77" i="77"/>
  <c r="F78" i="77"/>
  <c r="F79" i="77"/>
  <c r="E71" i="77"/>
  <c r="E72" i="77"/>
  <c r="E73" i="77"/>
  <c r="E74" i="77"/>
  <c r="E75" i="77"/>
  <c r="E76" i="77"/>
  <c r="E77" i="77"/>
  <c r="E78" i="77"/>
  <c r="E79" i="77"/>
  <c r="F87" i="77"/>
  <c r="F81" i="77"/>
  <c r="F70" i="77"/>
  <c r="F65" i="77"/>
  <c r="F66" i="77"/>
  <c r="F67" i="77"/>
  <c r="F68" i="77"/>
  <c r="F64" i="77"/>
  <c r="F59" i="77"/>
  <c r="F60" i="77"/>
  <c r="F61" i="77"/>
  <c r="F62" i="77"/>
  <c r="F58" i="77"/>
  <c r="F53" i="77"/>
  <c r="F54" i="77"/>
  <c r="F55" i="77"/>
  <c r="F56" i="77"/>
  <c r="F52" i="77"/>
  <c r="F47" i="77"/>
  <c r="F48" i="77"/>
  <c r="F49" i="77"/>
  <c r="F50" i="77"/>
  <c r="F46" i="77"/>
  <c r="N85" i="85" l="1"/>
  <c r="P85" i="85" s="1"/>
  <c r="N49" i="85"/>
  <c r="P49" i="85" s="1"/>
  <c r="N43" i="85"/>
  <c r="P43" i="85" s="1"/>
  <c r="N37" i="85"/>
  <c r="P37" i="85" s="1"/>
  <c r="N73" i="85"/>
  <c r="P73" i="85" s="1"/>
  <c r="F8" i="84"/>
  <c r="J11" i="79"/>
  <c r="S27" i="84" l="1"/>
  <c r="D106" i="84"/>
  <c r="J18" i="88"/>
  <c r="E20" i="88"/>
  <c r="F20" i="88" s="1"/>
  <c r="H20" i="88" s="1"/>
  <c r="N11" i="88"/>
  <c r="N12" i="88"/>
  <c r="N13" i="88"/>
  <c r="N14" i="88"/>
  <c r="N15" i="88"/>
  <c r="N16" i="88"/>
  <c r="N17" i="88"/>
  <c r="N18" i="88"/>
  <c r="N19" i="88"/>
  <c r="N20" i="88"/>
  <c r="K11" i="88"/>
  <c r="K12" i="88"/>
  <c r="K13" i="88"/>
  <c r="K14" i="88"/>
  <c r="K15" i="88"/>
  <c r="K16" i="88"/>
  <c r="K17" i="88"/>
  <c r="K18" i="88"/>
  <c r="K19" i="88"/>
  <c r="K20" i="88"/>
  <c r="J11" i="88"/>
  <c r="J12" i="88"/>
  <c r="J13" i="88"/>
  <c r="J14" i="88"/>
  <c r="J15" i="88"/>
  <c r="J16" i="88"/>
  <c r="J17" i="88"/>
  <c r="J19" i="88"/>
  <c r="J20" i="88"/>
  <c r="E12" i="88"/>
  <c r="F12" i="88" s="1"/>
  <c r="H12" i="88" s="1"/>
  <c r="E13" i="88"/>
  <c r="F13" i="88" s="1"/>
  <c r="H13" i="88" s="1"/>
  <c r="E14" i="88"/>
  <c r="F14" i="88" s="1"/>
  <c r="H14" i="88" s="1"/>
  <c r="E15" i="88"/>
  <c r="F15" i="88" s="1"/>
  <c r="H15" i="88" s="1"/>
  <c r="E16" i="88"/>
  <c r="F16" i="88" s="1"/>
  <c r="H16" i="88" s="1"/>
  <c r="E17" i="88"/>
  <c r="F17" i="88" s="1"/>
  <c r="H17" i="88" s="1"/>
  <c r="E18" i="88"/>
  <c r="F18" i="88" s="1"/>
  <c r="H18" i="88" s="1"/>
  <c r="E19" i="88"/>
  <c r="F19" i="88" s="1"/>
  <c r="H19" i="88" s="1"/>
  <c r="J10" i="88"/>
  <c r="K10" i="88"/>
  <c r="N10" i="88"/>
  <c r="P11" i="67"/>
  <c r="J11" i="87"/>
  <c r="X11" i="80" a="1"/>
  <c r="X11" i="80" s="1"/>
  <c r="W11" i="80" a="1"/>
  <c r="W11" i="80" s="1"/>
  <c r="U11" i="80"/>
  <c r="R11" i="80"/>
  <c r="O11" i="80"/>
  <c r="G87" i="77"/>
  <c r="L13" i="90"/>
  <c r="D17" i="51"/>
  <c r="Y11" i="80" l="1"/>
  <c r="J10" i="79" l="1"/>
  <c r="AC11" i="80"/>
  <c r="AC12" i="80"/>
  <c r="AC13" i="80"/>
  <c r="AC14" i="80"/>
  <c r="AC15" i="80"/>
  <c r="AC16" i="80"/>
  <c r="AC17" i="80"/>
  <c r="AC18" i="80"/>
  <c r="AC19" i="80"/>
  <c r="AC20" i="80"/>
  <c r="AC21" i="80"/>
  <c r="AC22" i="80"/>
  <c r="AC23" i="80"/>
  <c r="AC24" i="80"/>
  <c r="AC25" i="80"/>
  <c r="AC26" i="80"/>
  <c r="AC27" i="80"/>
  <c r="AC28" i="80"/>
  <c r="AC29" i="80"/>
  <c r="AC30" i="80"/>
  <c r="AC31" i="80"/>
  <c r="AC32" i="80"/>
  <c r="AC33" i="80"/>
  <c r="AC34" i="80"/>
  <c r="AC35" i="80"/>
  <c r="AC36" i="80"/>
  <c r="AC37" i="80"/>
  <c r="AC38" i="80"/>
  <c r="AC39" i="80"/>
  <c r="AC40" i="80"/>
  <c r="AC41" i="80"/>
  <c r="AC42" i="80"/>
  <c r="AC43" i="80"/>
  <c r="AC44" i="80"/>
  <c r="AC45" i="80"/>
  <c r="AC46" i="80"/>
  <c r="AC47" i="80"/>
  <c r="AC48" i="80"/>
  <c r="AC49" i="80"/>
  <c r="AC50" i="80"/>
  <c r="AC51" i="80"/>
  <c r="AC52" i="80"/>
  <c r="AC53" i="80"/>
  <c r="AC54" i="80"/>
  <c r="AC55" i="80"/>
  <c r="AC56" i="80"/>
  <c r="AC57" i="80"/>
  <c r="AC58" i="80"/>
  <c r="AC59" i="80"/>
  <c r="AC60" i="80"/>
  <c r="AC61" i="80"/>
  <c r="AC62" i="80"/>
  <c r="AC63" i="80"/>
  <c r="AC64" i="80"/>
  <c r="AC65" i="80"/>
  <c r="AC66" i="80"/>
  <c r="AC67" i="80"/>
  <c r="AC68" i="80"/>
  <c r="AC69" i="80"/>
  <c r="AC70" i="80"/>
  <c r="AC71" i="80"/>
  <c r="AC72" i="80"/>
  <c r="AC73" i="80"/>
  <c r="AC74" i="80"/>
  <c r="AC75" i="80"/>
  <c r="AC76" i="80"/>
  <c r="AC77" i="80"/>
  <c r="AC78" i="80"/>
  <c r="AC79" i="80"/>
  <c r="AC80" i="80"/>
  <c r="AC81" i="80"/>
  <c r="AC82" i="80"/>
  <c r="AC83" i="80"/>
  <c r="AC84" i="80"/>
  <c r="AC85" i="80"/>
  <c r="AC86" i="80"/>
  <c r="AC87" i="80"/>
  <c r="AC88" i="80"/>
  <c r="AC89" i="80"/>
  <c r="AC90" i="80"/>
  <c r="AC91" i="80"/>
  <c r="AC92" i="80"/>
  <c r="AC93" i="80"/>
  <c r="AC94" i="80"/>
  <c r="AC95" i="80"/>
  <c r="AC96" i="80"/>
  <c r="AC97" i="80"/>
  <c r="AC98" i="80"/>
  <c r="AC99" i="80"/>
  <c r="AC100" i="80"/>
  <c r="AC101" i="80"/>
  <c r="AC102" i="80"/>
  <c r="AC103" i="80"/>
  <c r="AC104" i="80"/>
  <c r="AC105" i="80"/>
  <c r="AC106" i="80"/>
  <c r="AC107" i="80"/>
  <c r="AC108" i="80"/>
  <c r="AC109" i="80"/>
  <c r="AC10" i="80"/>
  <c r="Y10" i="79"/>
  <c r="X12" i="79"/>
  <c r="X13" i="79"/>
  <c r="X14" i="79"/>
  <c r="X15" i="79"/>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U11" i="79" l="1"/>
  <c r="U12" i="79"/>
  <c r="U13" i="79"/>
  <c r="U14" i="79"/>
  <c r="U15" i="79"/>
  <c r="U16" i="79"/>
  <c r="U17" i="79"/>
  <c r="U18" i="79"/>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0"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S10" i="67" l="1"/>
  <c r="J52" i="77" s="1"/>
  <c r="S11" i="67"/>
  <c r="S12" i="67"/>
  <c r="S13" i="67"/>
  <c r="S14" i="67"/>
  <c r="S15" i="67"/>
  <c r="S16" i="67"/>
  <c r="S17" i="67"/>
  <c r="S18" i="67"/>
  <c r="S19" i="67"/>
  <c r="S20" i="67"/>
  <c r="S21" i="67"/>
  <c r="S22" i="67"/>
  <c r="S23" i="67"/>
  <c r="S24" i="67"/>
  <c r="S25" i="67"/>
  <c r="S26" i="67"/>
  <c r="S27" i="67"/>
  <c r="S28" i="67"/>
  <c r="S29" i="67"/>
  <c r="S30" i="67"/>
  <c r="S31" i="67"/>
  <c r="S32" i="67"/>
  <c r="S33" i="67"/>
  <c r="S34" i="67"/>
  <c r="S35" i="67"/>
  <c r="S36" i="67"/>
  <c r="S37" i="67"/>
  <c r="S38" i="67"/>
  <c r="S39" i="67"/>
  <c r="S40" i="67"/>
  <c r="S41" i="67"/>
  <c r="S42" i="67"/>
  <c r="S43" i="67"/>
  <c r="S44" i="67"/>
  <c r="S45" i="67"/>
  <c r="S46" i="67"/>
  <c r="S47" i="67"/>
  <c r="S48" i="67"/>
  <c r="S49" i="67"/>
  <c r="S50" i="67"/>
  <c r="S51" i="67"/>
  <c r="S52" i="67"/>
  <c r="S53" i="67"/>
  <c r="S54" i="67"/>
  <c r="S55" i="67"/>
  <c r="S56" i="67"/>
  <c r="S57" i="67"/>
  <c r="S58" i="67"/>
  <c r="S59" i="67"/>
  <c r="S60" i="67"/>
  <c r="S61" i="67"/>
  <c r="S62" i="67"/>
  <c r="S63" i="67"/>
  <c r="S64" i="67"/>
  <c r="S65" i="67"/>
  <c r="S66" i="67"/>
  <c r="S67" i="67"/>
  <c r="S68" i="67"/>
  <c r="S69" i="67"/>
  <c r="S70" i="67"/>
  <c r="S71" i="67"/>
  <c r="S72" i="67"/>
  <c r="S73" i="67"/>
  <c r="S74" i="67"/>
  <c r="S75" i="67"/>
  <c r="S76" i="67"/>
  <c r="S77" i="67"/>
  <c r="S78" i="67"/>
  <c r="S79" i="67"/>
  <c r="S80" i="67"/>
  <c r="S81" i="67"/>
  <c r="S82" i="67"/>
  <c r="S83" i="67"/>
  <c r="S84" i="67"/>
  <c r="S85" i="67"/>
  <c r="S86" i="67"/>
  <c r="S87" i="67"/>
  <c r="S88" i="67"/>
  <c r="S89" i="67"/>
  <c r="S90" i="67"/>
  <c r="S91" i="67"/>
  <c r="S92" i="67"/>
  <c r="S93" i="67"/>
  <c r="S94" i="67"/>
  <c r="S95" i="67"/>
  <c r="S96" i="67"/>
  <c r="S97" i="67"/>
  <c r="S98" i="67"/>
  <c r="S99" i="67"/>
  <c r="S100" i="67"/>
  <c r="S101" i="67"/>
  <c r="S102" i="67"/>
  <c r="S103" i="67"/>
  <c r="S104" i="67"/>
  <c r="S105" i="67"/>
  <c r="S106" i="67"/>
  <c r="S107" i="67"/>
  <c r="S108" i="67"/>
  <c r="S109" i="67"/>
  <c r="X10" i="80" l="1" a="1"/>
  <c r="X10" i="80" s="1"/>
  <c r="W109" i="80" a="1"/>
  <c r="W109" i="80" s="1"/>
  <c r="W108" i="80" a="1"/>
  <c r="W108" i="80" s="1"/>
  <c r="W107" i="80" a="1"/>
  <c r="W107" i="80" s="1"/>
  <c r="W106" i="80" a="1"/>
  <c r="W106" i="80" s="1"/>
  <c r="W105" i="80" a="1"/>
  <c r="W105" i="80" s="1"/>
  <c r="W104" i="80" a="1"/>
  <c r="W104" i="80" s="1"/>
  <c r="W103" i="80" a="1"/>
  <c r="W103" i="80" s="1"/>
  <c r="W102" i="80" a="1"/>
  <c r="W102" i="80" s="1"/>
  <c r="W101" i="80" a="1"/>
  <c r="W101" i="80" s="1"/>
  <c r="W100" i="80" a="1"/>
  <c r="W100" i="80" s="1"/>
  <c r="W99" i="80" a="1"/>
  <c r="W99" i="80" s="1"/>
  <c r="W98" i="80" a="1"/>
  <c r="W98" i="80" s="1"/>
  <c r="W97" i="80" a="1"/>
  <c r="W97" i="80" s="1"/>
  <c r="W96" i="80" a="1"/>
  <c r="W96" i="80" s="1"/>
  <c r="W95" i="80" a="1"/>
  <c r="W95" i="80" s="1"/>
  <c r="W94" i="80" a="1"/>
  <c r="W94" i="80" s="1"/>
  <c r="W93" i="80" a="1"/>
  <c r="W93" i="80" s="1"/>
  <c r="W92" i="80" a="1"/>
  <c r="W92" i="80" s="1"/>
  <c r="W91" i="80" a="1"/>
  <c r="W91" i="80" s="1"/>
  <c r="W90" i="80" a="1"/>
  <c r="W90" i="80" s="1"/>
  <c r="W89" i="80" a="1"/>
  <c r="W89" i="80" s="1"/>
  <c r="W88" i="80" a="1"/>
  <c r="W88" i="80" s="1"/>
  <c r="W87" i="80" a="1"/>
  <c r="W87" i="80" s="1"/>
  <c r="W86" i="80" a="1"/>
  <c r="W86" i="80" s="1"/>
  <c r="W85" i="80" a="1"/>
  <c r="W85" i="80" s="1"/>
  <c r="W84" i="80" a="1"/>
  <c r="W84" i="80" s="1"/>
  <c r="W83" i="80" a="1"/>
  <c r="W83" i="80" s="1"/>
  <c r="W82" i="80" a="1"/>
  <c r="W82" i="80" s="1"/>
  <c r="W81" i="80" a="1"/>
  <c r="W81" i="80" s="1"/>
  <c r="W80" i="80" a="1"/>
  <c r="W80" i="80" s="1"/>
  <c r="W79" i="80" a="1"/>
  <c r="W79" i="80" s="1"/>
  <c r="W78" i="80" a="1"/>
  <c r="W78" i="80" s="1"/>
  <c r="W77" i="80" a="1"/>
  <c r="W77" i="80" s="1"/>
  <c r="W76" i="80" a="1"/>
  <c r="W76" i="80" s="1"/>
  <c r="W75" i="80" a="1"/>
  <c r="W75" i="80" s="1"/>
  <c r="W74" i="80" a="1"/>
  <c r="W74" i="80" s="1"/>
  <c r="W73" i="80" a="1"/>
  <c r="W73" i="80" s="1"/>
  <c r="W72" i="80" a="1"/>
  <c r="W72" i="80" s="1"/>
  <c r="W71" i="80" a="1"/>
  <c r="W71" i="80" s="1"/>
  <c r="W70" i="80" a="1"/>
  <c r="W70" i="80" s="1"/>
  <c r="W69" i="80" a="1"/>
  <c r="W69" i="80" s="1"/>
  <c r="W68" i="80" a="1"/>
  <c r="W68" i="80" s="1"/>
  <c r="W67" i="80" a="1"/>
  <c r="W67" i="80" s="1"/>
  <c r="W66" i="80" a="1"/>
  <c r="W66" i="80" s="1"/>
  <c r="W65" i="80" a="1"/>
  <c r="W65" i="80" s="1"/>
  <c r="W64" i="80" a="1"/>
  <c r="W64" i="80" s="1"/>
  <c r="W63" i="80" a="1"/>
  <c r="W63" i="80" s="1"/>
  <c r="W62" i="80" a="1"/>
  <c r="W62" i="80" s="1"/>
  <c r="W61" i="80" a="1"/>
  <c r="W61" i="80" s="1"/>
  <c r="W60" i="80" a="1"/>
  <c r="W60" i="80" s="1"/>
  <c r="W59" i="80" a="1"/>
  <c r="W59" i="80" s="1"/>
  <c r="W58" i="80" a="1"/>
  <c r="W58" i="80" s="1"/>
  <c r="W57" i="80" a="1"/>
  <c r="W57" i="80" s="1"/>
  <c r="W56" i="80" a="1"/>
  <c r="W56" i="80" s="1"/>
  <c r="W55" i="80" a="1"/>
  <c r="W55" i="80" s="1"/>
  <c r="W54" i="80" a="1"/>
  <c r="W54" i="80" s="1"/>
  <c r="W53" i="80" a="1"/>
  <c r="W53" i="80" s="1"/>
  <c r="W52" i="80" a="1"/>
  <c r="W52" i="80" s="1"/>
  <c r="W51" i="80" a="1"/>
  <c r="W51" i="80" s="1"/>
  <c r="W50" i="80" a="1"/>
  <c r="W50" i="80" s="1"/>
  <c r="W49" i="80" a="1"/>
  <c r="W49" i="80" s="1"/>
  <c r="W48" i="80" a="1"/>
  <c r="W48" i="80" s="1"/>
  <c r="W47" i="80" a="1"/>
  <c r="W47" i="80" s="1"/>
  <c r="W46" i="80" a="1"/>
  <c r="W46" i="80" s="1"/>
  <c r="W45" i="80" a="1"/>
  <c r="W45" i="80" s="1"/>
  <c r="W44" i="80" a="1"/>
  <c r="W44" i="80" s="1"/>
  <c r="W43" i="80" a="1"/>
  <c r="W43" i="80" s="1"/>
  <c r="W42" i="80" a="1"/>
  <c r="W42" i="80" s="1"/>
  <c r="W41" i="80" a="1"/>
  <c r="W41" i="80" s="1"/>
  <c r="W40" i="80" a="1"/>
  <c r="W40" i="80" s="1"/>
  <c r="W39" i="80" a="1"/>
  <c r="W39" i="80" s="1"/>
  <c r="W38" i="80" a="1"/>
  <c r="W38" i="80" s="1"/>
  <c r="W37" i="80" a="1"/>
  <c r="W37" i="80" s="1"/>
  <c r="W36" i="80" a="1"/>
  <c r="W36" i="80" s="1"/>
  <c r="W35" i="80" a="1"/>
  <c r="W35" i="80" s="1"/>
  <c r="W34" i="80" a="1"/>
  <c r="W34" i="80" s="1"/>
  <c r="W33" i="80" a="1"/>
  <c r="W33" i="80" s="1"/>
  <c r="W32" i="80" a="1"/>
  <c r="W32" i="80" s="1"/>
  <c r="W31" i="80" a="1"/>
  <c r="W31" i="80" s="1"/>
  <c r="W30" i="80" a="1"/>
  <c r="W30" i="80" s="1"/>
  <c r="W29" i="80" a="1"/>
  <c r="W29" i="80" s="1"/>
  <c r="W28" i="80" a="1"/>
  <c r="W28" i="80" s="1"/>
  <c r="W27" i="80" a="1"/>
  <c r="W27" i="80" s="1"/>
  <c r="W26" i="80" a="1"/>
  <c r="W26" i="80" s="1"/>
  <c r="W25" i="80" a="1"/>
  <c r="W25" i="80" s="1"/>
  <c r="W24" i="80" a="1"/>
  <c r="W24" i="80" s="1"/>
  <c r="W23" i="80" a="1"/>
  <c r="W23" i="80" s="1"/>
  <c r="W22" i="80" a="1"/>
  <c r="W22" i="80" s="1"/>
  <c r="W21" i="80" a="1"/>
  <c r="W21" i="80" s="1"/>
  <c r="W20" i="80" a="1"/>
  <c r="W20" i="80" s="1"/>
  <c r="W19" i="80" a="1"/>
  <c r="W19" i="80" s="1"/>
  <c r="W18" i="80" a="1"/>
  <c r="W18" i="80" s="1"/>
  <c r="W17" i="80" a="1"/>
  <c r="W17" i="80" s="1"/>
  <c r="W16" i="80" a="1"/>
  <c r="W16" i="80" s="1"/>
  <c r="W15" i="80" a="1"/>
  <c r="W15" i="80" s="1"/>
  <c r="W14" i="80" a="1"/>
  <c r="W14" i="80" s="1"/>
  <c r="W13" i="80" a="1"/>
  <c r="W13" i="80" s="1"/>
  <c r="W12" i="80" a="1"/>
  <c r="W12" i="80" s="1"/>
  <c r="U10" i="80"/>
  <c r="W10" i="80" a="1"/>
  <c r="W10" i="80" s="1"/>
  <c r="W9" i="80" a="1"/>
  <c r="W9" i="80" s="1"/>
  <c r="AB10" i="80"/>
  <c r="AB9" i="80"/>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8" i="51"/>
  <c r="AC14" i="90" l="1"/>
  <c r="AC16" i="90"/>
  <c r="AC17" i="90"/>
  <c r="AC18" i="90"/>
  <c r="AC20" i="90"/>
  <c r="AC21" i="90"/>
  <c r="AC22" i="90"/>
  <c r="AC23" i="90"/>
  <c r="AC24" i="90"/>
  <c r="AC25" i="90"/>
  <c r="AC26" i="90"/>
  <c r="AC27" i="90"/>
  <c r="AC28" i="90"/>
  <c r="AC29" i="90"/>
  <c r="AC30" i="90"/>
  <c r="AC31" i="90"/>
  <c r="AC32" i="90"/>
  <c r="AC33" i="90"/>
  <c r="AC34" i="90"/>
  <c r="AC35" i="90"/>
  <c r="AC36" i="90"/>
  <c r="AC37" i="90"/>
  <c r="AC38" i="90"/>
  <c r="AC39" i="90"/>
  <c r="AC40" i="90"/>
  <c r="AC41" i="90"/>
  <c r="AC42" i="90"/>
  <c r="AC43" i="90"/>
  <c r="AC44" i="90"/>
  <c r="AC45" i="90"/>
  <c r="AC46" i="90"/>
  <c r="AC47" i="90"/>
  <c r="AC48" i="90"/>
  <c r="AC49" i="90"/>
  <c r="AC50" i="90"/>
  <c r="AC51" i="90"/>
  <c r="AC52" i="90"/>
  <c r="BL10" i="89"/>
  <c r="BK10" i="89"/>
  <c r="BJ10" i="89"/>
  <c r="G46" i="77"/>
  <c r="J46" i="77" s="1"/>
  <c r="K88" i="77" l="1"/>
  <c r="K90" i="77"/>
  <c r="K91" i="77"/>
  <c r="H88" i="77"/>
  <c r="H89" i="77"/>
  <c r="H90" i="77"/>
  <c r="H91" i="77"/>
  <c r="H87" i="77"/>
  <c r="G88" i="77"/>
  <c r="G89" i="77"/>
  <c r="G90" i="77"/>
  <c r="G91" i="77"/>
  <c r="E88" i="77"/>
  <c r="E89" i="77"/>
  <c r="E90" i="77"/>
  <c r="E91" i="77"/>
  <c r="E87" i="77"/>
  <c r="H82" i="77"/>
  <c r="H83" i="77"/>
  <c r="H84" i="77"/>
  <c r="H85" i="77"/>
  <c r="H81" i="77"/>
  <c r="G82" i="77"/>
  <c r="G83" i="77"/>
  <c r="G84" i="77"/>
  <c r="G85" i="77"/>
  <c r="G81" i="77"/>
  <c r="E82" i="77"/>
  <c r="E83" i="77"/>
  <c r="E84" i="77"/>
  <c r="E85" i="77"/>
  <c r="E81" i="77"/>
  <c r="H70" i="77"/>
  <c r="E70" i="77"/>
  <c r="I65" i="77"/>
  <c r="I66" i="77"/>
  <c r="I67" i="77"/>
  <c r="I68" i="77"/>
  <c r="I64" i="77"/>
  <c r="H65" i="77"/>
  <c r="H66" i="77"/>
  <c r="H67" i="77"/>
  <c r="H68" i="77"/>
  <c r="H64" i="77"/>
  <c r="G65" i="77"/>
  <c r="G66" i="77"/>
  <c r="G67" i="77"/>
  <c r="G68" i="77"/>
  <c r="G64" i="77"/>
  <c r="E65" i="77"/>
  <c r="E66" i="77"/>
  <c r="E67" i="77"/>
  <c r="E68" i="77"/>
  <c r="E64" i="77"/>
  <c r="I59" i="77"/>
  <c r="I60" i="77"/>
  <c r="I61" i="77"/>
  <c r="I62" i="77"/>
  <c r="I58" i="77"/>
  <c r="H59" i="77"/>
  <c r="H60" i="77"/>
  <c r="H61" i="77"/>
  <c r="H62" i="77"/>
  <c r="H58" i="77"/>
  <c r="G59" i="77"/>
  <c r="G60" i="77"/>
  <c r="G61" i="77"/>
  <c r="G62" i="77"/>
  <c r="G58" i="77"/>
  <c r="E59" i="77"/>
  <c r="E60" i="77"/>
  <c r="E61" i="77"/>
  <c r="E62" i="77"/>
  <c r="E58" i="77"/>
  <c r="I53" i="77"/>
  <c r="I54" i="77"/>
  <c r="I55" i="77"/>
  <c r="I56" i="77"/>
  <c r="I52" i="77"/>
  <c r="H53" i="77"/>
  <c r="H54" i="77"/>
  <c r="H55" i="77"/>
  <c r="H56" i="77"/>
  <c r="H52" i="77"/>
  <c r="G53" i="77"/>
  <c r="J53" i="77" s="1"/>
  <c r="G54" i="77"/>
  <c r="J54" i="77" s="1"/>
  <c r="G55" i="77"/>
  <c r="J55" i="77" s="1"/>
  <c r="G56" i="77"/>
  <c r="J56" i="77" s="1"/>
  <c r="G52" i="77"/>
  <c r="E53" i="77"/>
  <c r="E54" i="77"/>
  <c r="E55" i="77"/>
  <c r="E56" i="77"/>
  <c r="E52" i="77"/>
  <c r="E47" i="77"/>
  <c r="E46" i="77"/>
  <c r="I47" i="77"/>
  <c r="I48" i="77"/>
  <c r="I49" i="77"/>
  <c r="I50" i="77"/>
  <c r="I46" i="77"/>
  <c r="G47" i="77"/>
  <c r="J47" i="77" s="1"/>
  <c r="G48" i="77"/>
  <c r="J48" i="77" s="1"/>
  <c r="G49" i="77"/>
  <c r="J49" i="77" s="1"/>
  <c r="G50" i="77"/>
  <c r="J50" i="77" s="1"/>
  <c r="BN10" i="89" l="1"/>
  <c r="Z11" i="67" l="1"/>
  <c r="P9" i="67"/>
  <c r="P10" i="67"/>
  <c r="AB10" i="67"/>
  <c r="AC10" i="67"/>
  <c r="AC9" i="67"/>
  <c r="Y10" i="67"/>
  <c r="Y9" i="67"/>
  <c r="X9" i="67"/>
  <c r="AK10" i="89" l="1"/>
  <c r="W10" i="79"/>
  <c r="V10" i="79"/>
  <c r="X10" i="79" s="1"/>
  <c r="AD10" i="79" s="1"/>
  <c r="AA10" i="79"/>
  <c r="Z10" i="79"/>
  <c r="X10" i="67"/>
  <c r="AD9" i="67"/>
  <c r="J14" i="87"/>
  <c r="M11" i="87"/>
  <c r="L11" i="87"/>
  <c r="O9" i="87"/>
  <c r="Q9" i="87"/>
  <c r="P9" i="87"/>
  <c r="J15" i="87"/>
  <c r="E53" i="90"/>
  <c r="AA52" i="90"/>
  <c r="Y52" i="90"/>
  <c r="W52" i="90"/>
  <c r="U52" i="90"/>
  <c r="T52" i="90"/>
  <c r="S52" i="90"/>
  <c r="R52" i="90"/>
  <c r="Q52" i="90"/>
  <c r="P52" i="90"/>
  <c r="L52" i="90"/>
  <c r="Z52" i="90" s="1"/>
  <c r="J52" i="90"/>
  <c r="X52" i="90" s="1"/>
  <c r="H52" i="90"/>
  <c r="V52" i="90" s="1"/>
  <c r="AA51" i="90"/>
  <c r="Y51" i="90"/>
  <c r="W51" i="90"/>
  <c r="U51" i="90"/>
  <c r="T51" i="90"/>
  <c r="S51" i="90"/>
  <c r="R51" i="90"/>
  <c r="Q51" i="90"/>
  <c r="P51" i="90"/>
  <c r="L51" i="90"/>
  <c r="Z51" i="90" s="1"/>
  <c r="J51" i="90"/>
  <c r="X51" i="90" s="1"/>
  <c r="H51" i="90"/>
  <c r="AA50" i="90"/>
  <c r="Y50" i="90"/>
  <c r="W50" i="90"/>
  <c r="U50" i="90"/>
  <c r="T50" i="90"/>
  <c r="S50" i="90"/>
  <c r="R50" i="90"/>
  <c r="Q50" i="90"/>
  <c r="P50" i="90"/>
  <c r="L50" i="90"/>
  <c r="Z50" i="90" s="1"/>
  <c r="J50" i="90"/>
  <c r="X50" i="90" s="1"/>
  <c r="H50" i="90"/>
  <c r="V50" i="90" s="1"/>
  <c r="AA49" i="90"/>
  <c r="Y49" i="90"/>
  <c r="W49" i="90"/>
  <c r="U49" i="90"/>
  <c r="T49" i="90"/>
  <c r="S49" i="90"/>
  <c r="R49" i="90"/>
  <c r="Q49" i="90"/>
  <c r="P49" i="90"/>
  <c r="L49" i="90"/>
  <c r="Z49" i="90" s="1"/>
  <c r="J49" i="90"/>
  <c r="X49" i="90" s="1"/>
  <c r="H49" i="90"/>
  <c r="V49" i="90" s="1"/>
  <c r="AA48" i="90"/>
  <c r="Y48" i="90"/>
  <c r="W48" i="90"/>
  <c r="U48" i="90"/>
  <c r="T48" i="90"/>
  <c r="S48" i="90"/>
  <c r="R48" i="90"/>
  <c r="Q48" i="90"/>
  <c r="P48" i="90"/>
  <c r="L48" i="90"/>
  <c r="Z48" i="90" s="1"/>
  <c r="J48" i="90"/>
  <c r="X48" i="90" s="1"/>
  <c r="H48" i="90"/>
  <c r="AA47" i="90"/>
  <c r="Y47" i="90"/>
  <c r="W47" i="90"/>
  <c r="U47" i="90"/>
  <c r="T47" i="90"/>
  <c r="S47" i="90"/>
  <c r="R47" i="90"/>
  <c r="Q47" i="90"/>
  <c r="P47" i="90"/>
  <c r="L47" i="90"/>
  <c r="Z47" i="90" s="1"/>
  <c r="J47" i="90"/>
  <c r="X47" i="90" s="1"/>
  <c r="H47" i="90"/>
  <c r="M47" i="90" s="1"/>
  <c r="AA46" i="90"/>
  <c r="Y46" i="90"/>
  <c r="W46" i="90"/>
  <c r="U46" i="90"/>
  <c r="T46" i="90"/>
  <c r="S46" i="90"/>
  <c r="R46" i="90"/>
  <c r="Q46" i="90"/>
  <c r="P46" i="90"/>
  <c r="L46" i="90"/>
  <c r="Z46" i="90" s="1"/>
  <c r="J46" i="90"/>
  <c r="X46" i="90" s="1"/>
  <c r="H46" i="90"/>
  <c r="V46" i="90" s="1"/>
  <c r="AA45" i="90"/>
  <c r="Y45" i="90"/>
  <c r="W45" i="90"/>
  <c r="U45" i="90"/>
  <c r="T45" i="90"/>
  <c r="S45" i="90"/>
  <c r="R45" i="90"/>
  <c r="Q45" i="90"/>
  <c r="P45" i="90"/>
  <c r="L45" i="90"/>
  <c r="Z45" i="90" s="1"/>
  <c r="J45" i="90"/>
  <c r="X45" i="90" s="1"/>
  <c r="H45" i="90"/>
  <c r="AA44" i="90"/>
  <c r="Y44" i="90"/>
  <c r="W44" i="90"/>
  <c r="U44" i="90"/>
  <c r="T44" i="90"/>
  <c r="S44" i="90"/>
  <c r="R44" i="90"/>
  <c r="Q44" i="90"/>
  <c r="P44" i="90"/>
  <c r="L44" i="90"/>
  <c r="Z44" i="90" s="1"/>
  <c r="J44" i="90"/>
  <c r="X44" i="90" s="1"/>
  <c r="H44" i="90"/>
  <c r="AA43" i="90"/>
  <c r="Y43" i="90"/>
  <c r="W43" i="90"/>
  <c r="U43" i="90"/>
  <c r="T43" i="90"/>
  <c r="S43" i="90"/>
  <c r="R43" i="90"/>
  <c r="Q43" i="90"/>
  <c r="P43" i="90"/>
  <c r="L43" i="90"/>
  <c r="Z43" i="90" s="1"/>
  <c r="J43" i="90"/>
  <c r="X43" i="90" s="1"/>
  <c r="H43" i="90"/>
  <c r="V43" i="90" s="1"/>
  <c r="AA42" i="90"/>
  <c r="Y42" i="90"/>
  <c r="W42" i="90"/>
  <c r="U42" i="90"/>
  <c r="T42" i="90"/>
  <c r="S42" i="90"/>
  <c r="R42" i="90"/>
  <c r="Q42" i="90"/>
  <c r="P42" i="90"/>
  <c r="L42" i="90"/>
  <c r="Z42" i="90" s="1"/>
  <c r="J42" i="90"/>
  <c r="X42" i="90" s="1"/>
  <c r="H42" i="90"/>
  <c r="AA41" i="90"/>
  <c r="Y41" i="90"/>
  <c r="W41" i="90"/>
  <c r="U41" i="90"/>
  <c r="T41" i="90"/>
  <c r="S41" i="90"/>
  <c r="R41" i="90"/>
  <c r="Q41" i="90"/>
  <c r="P41" i="90"/>
  <c r="L41" i="90"/>
  <c r="Z41" i="90" s="1"/>
  <c r="J41" i="90"/>
  <c r="X41" i="90" s="1"/>
  <c r="H41" i="90"/>
  <c r="V41" i="90" s="1"/>
  <c r="AA40" i="90"/>
  <c r="Y40" i="90"/>
  <c r="W40" i="90"/>
  <c r="U40" i="90"/>
  <c r="T40" i="90"/>
  <c r="S40" i="90"/>
  <c r="R40" i="90"/>
  <c r="Q40" i="90"/>
  <c r="P40" i="90"/>
  <c r="L40" i="90"/>
  <c r="Z40" i="90" s="1"/>
  <c r="J40" i="90"/>
  <c r="X40" i="90" s="1"/>
  <c r="H40" i="90"/>
  <c r="V40" i="90" s="1"/>
  <c r="AA39" i="90"/>
  <c r="Y39" i="90"/>
  <c r="W39" i="90"/>
  <c r="U39" i="90"/>
  <c r="T39" i="90"/>
  <c r="S39" i="90"/>
  <c r="R39" i="90"/>
  <c r="Q39" i="90"/>
  <c r="P39" i="90"/>
  <c r="L39" i="90"/>
  <c r="Z39" i="90" s="1"/>
  <c r="J39" i="90"/>
  <c r="X39" i="90" s="1"/>
  <c r="H39" i="90"/>
  <c r="V39" i="90" s="1"/>
  <c r="AA38" i="90"/>
  <c r="Y38" i="90"/>
  <c r="W38" i="90"/>
  <c r="V38" i="90"/>
  <c r="U38" i="90"/>
  <c r="T38" i="90"/>
  <c r="S38" i="90"/>
  <c r="R38" i="90"/>
  <c r="Q38" i="90"/>
  <c r="P38" i="90"/>
  <c r="L38" i="90"/>
  <c r="Z38" i="90" s="1"/>
  <c r="J38" i="90"/>
  <c r="X38" i="90" s="1"/>
  <c r="H38" i="90"/>
  <c r="AA37" i="90"/>
  <c r="Y37" i="90"/>
  <c r="W37" i="90"/>
  <c r="U37" i="90"/>
  <c r="T37" i="90"/>
  <c r="S37" i="90"/>
  <c r="R37" i="90"/>
  <c r="Q37" i="90"/>
  <c r="P37" i="90"/>
  <c r="L37" i="90"/>
  <c r="Z37" i="90" s="1"/>
  <c r="J37" i="90"/>
  <c r="X37" i="90" s="1"/>
  <c r="H37" i="90"/>
  <c r="V37" i="90" s="1"/>
  <c r="AA36" i="90"/>
  <c r="Y36" i="90"/>
  <c r="W36" i="90"/>
  <c r="U36" i="90"/>
  <c r="T36" i="90"/>
  <c r="S36" i="90"/>
  <c r="R36" i="90"/>
  <c r="Q36" i="90"/>
  <c r="P36" i="90"/>
  <c r="L36" i="90"/>
  <c r="Z36" i="90" s="1"/>
  <c r="J36" i="90"/>
  <c r="X36" i="90" s="1"/>
  <c r="H36" i="90"/>
  <c r="V36" i="90" s="1"/>
  <c r="AA35" i="90"/>
  <c r="Y35" i="90"/>
  <c r="W35" i="90"/>
  <c r="U35" i="90"/>
  <c r="T35" i="90"/>
  <c r="S35" i="90"/>
  <c r="R35" i="90"/>
  <c r="Q35" i="90"/>
  <c r="P35" i="90"/>
  <c r="L35" i="90"/>
  <c r="Z35" i="90" s="1"/>
  <c r="J35" i="90"/>
  <c r="X35" i="90" s="1"/>
  <c r="H35" i="90"/>
  <c r="AA34" i="90"/>
  <c r="Y34" i="90"/>
  <c r="W34" i="90"/>
  <c r="U34" i="90"/>
  <c r="T34" i="90"/>
  <c r="S34" i="90"/>
  <c r="R34" i="90"/>
  <c r="Q34" i="90"/>
  <c r="P34" i="90"/>
  <c r="L34" i="90"/>
  <c r="Z34" i="90" s="1"/>
  <c r="J34" i="90"/>
  <c r="X34" i="90" s="1"/>
  <c r="H34" i="90"/>
  <c r="V34" i="90" s="1"/>
  <c r="AA33" i="90"/>
  <c r="Y33" i="90"/>
  <c r="W33" i="90"/>
  <c r="U33" i="90"/>
  <c r="T33" i="90"/>
  <c r="S33" i="90"/>
  <c r="R33" i="90"/>
  <c r="Q33" i="90"/>
  <c r="P33" i="90"/>
  <c r="L33" i="90"/>
  <c r="Z33" i="90" s="1"/>
  <c r="J33" i="90"/>
  <c r="X33" i="90" s="1"/>
  <c r="H33" i="90"/>
  <c r="V33" i="90" s="1"/>
  <c r="AA32" i="90"/>
  <c r="Y32" i="90"/>
  <c r="W32" i="90"/>
  <c r="U32" i="90"/>
  <c r="T32" i="90"/>
  <c r="S32" i="90"/>
  <c r="R32" i="90"/>
  <c r="Q32" i="90"/>
  <c r="P32" i="90"/>
  <c r="L32" i="90"/>
  <c r="Z32" i="90" s="1"/>
  <c r="J32" i="90"/>
  <c r="X32" i="90" s="1"/>
  <c r="H32" i="90"/>
  <c r="AA31" i="90"/>
  <c r="Y31" i="90"/>
  <c r="W31" i="90"/>
  <c r="U31" i="90"/>
  <c r="T31" i="90"/>
  <c r="S31" i="90"/>
  <c r="R31" i="90"/>
  <c r="Q31" i="90"/>
  <c r="P31" i="90"/>
  <c r="L31" i="90"/>
  <c r="Z31" i="90" s="1"/>
  <c r="J31" i="90"/>
  <c r="X31" i="90" s="1"/>
  <c r="H31" i="90"/>
  <c r="V31" i="90" s="1"/>
  <c r="AA30" i="90"/>
  <c r="Y30" i="90"/>
  <c r="W30" i="90"/>
  <c r="U30" i="90"/>
  <c r="T30" i="90"/>
  <c r="S30" i="90"/>
  <c r="R30" i="90"/>
  <c r="Q30" i="90"/>
  <c r="P30" i="90"/>
  <c r="L30" i="90"/>
  <c r="Z30" i="90" s="1"/>
  <c r="J30" i="90"/>
  <c r="X30" i="90" s="1"/>
  <c r="H30" i="90"/>
  <c r="V30" i="90" s="1"/>
  <c r="AA29" i="90"/>
  <c r="Y29" i="90"/>
  <c r="W29" i="90"/>
  <c r="U29" i="90"/>
  <c r="T29" i="90"/>
  <c r="S29" i="90"/>
  <c r="R29" i="90"/>
  <c r="Q29" i="90"/>
  <c r="P29" i="90"/>
  <c r="L29" i="90"/>
  <c r="Z29" i="90" s="1"/>
  <c r="J29" i="90"/>
  <c r="X29" i="90" s="1"/>
  <c r="H29" i="90"/>
  <c r="AA28" i="90"/>
  <c r="Y28" i="90"/>
  <c r="W28" i="90"/>
  <c r="U28" i="90"/>
  <c r="T28" i="90"/>
  <c r="S28" i="90"/>
  <c r="R28" i="90"/>
  <c r="Q28" i="90"/>
  <c r="P28" i="90"/>
  <c r="L28" i="90"/>
  <c r="Z28" i="90" s="1"/>
  <c r="J28" i="90"/>
  <c r="X28" i="90" s="1"/>
  <c r="H28" i="90"/>
  <c r="AA27" i="90"/>
  <c r="Y27" i="90"/>
  <c r="W27" i="90"/>
  <c r="U27" i="90"/>
  <c r="T27" i="90"/>
  <c r="S27" i="90"/>
  <c r="R27" i="90"/>
  <c r="Q27" i="90"/>
  <c r="P27" i="90"/>
  <c r="L27" i="90"/>
  <c r="Z27" i="90" s="1"/>
  <c r="J27" i="90"/>
  <c r="X27" i="90" s="1"/>
  <c r="H27" i="90"/>
  <c r="V27" i="90" s="1"/>
  <c r="AA26" i="90"/>
  <c r="Y26" i="90"/>
  <c r="W26" i="90"/>
  <c r="U26" i="90"/>
  <c r="T26" i="90"/>
  <c r="S26" i="90"/>
  <c r="R26" i="90"/>
  <c r="Q26" i="90"/>
  <c r="P26" i="90"/>
  <c r="L26" i="90"/>
  <c r="Z26" i="90" s="1"/>
  <c r="J26" i="90"/>
  <c r="X26" i="90" s="1"/>
  <c r="H26" i="90"/>
  <c r="V26" i="90" s="1"/>
  <c r="AA25" i="90"/>
  <c r="Y25" i="90"/>
  <c r="W25" i="90"/>
  <c r="U25" i="90"/>
  <c r="T25" i="90"/>
  <c r="S25" i="90"/>
  <c r="R25" i="90"/>
  <c r="Q25" i="90"/>
  <c r="P25" i="90"/>
  <c r="L25" i="90"/>
  <c r="Z25" i="90" s="1"/>
  <c r="J25" i="90"/>
  <c r="X25" i="90" s="1"/>
  <c r="H25" i="90"/>
  <c r="V25" i="90" s="1"/>
  <c r="AA24" i="90"/>
  <c r="Y24" i="90"/>
  <c r="W24" i="90"/>
  <c r="U24" i="90"/>
  <c r="T24" i="90"/>
  <c r="S24" i="90"/>
  <c r="R24" i="90"/>
  <c r="Q24" i="90"/>
  <c r="P24" i="90"/>
  <c r="L24" i="90"/>
  <c r="Z24" i="90" s="1"/>
  <c r="J24" i="90"/>
  <c r="X24" i="90" s="1"/>
  <c r="H24" i="90"/>
  <c r="V24" i="90" s="1"/>
  <c r="AA23" i="90"/>
  <c r="Y23" i="90"/>
  <c r="W23" i="90"/>
  <c r="U23" i="90"/>
  <c r="T23" i="90"/>
  <c r="S23" i="90"/>
  <c r="R23" i="90"/>
  <c r="Q23" i="90"/>
  <c r="P23" i="90"/>
  <c r="L23" i="90"/>
  <c r="Z23" i="90" s="1"/>
  <c r="J23" i="90"/>
  <c r="X23" i="90" s="1"/>
  <c r="H23" i="90"/>
  <c r="V23" i="90" s="1"/>
  <c r="AA22" i="90"/>
  <c r="Y22" i="90"/>
  <c r="W22" i="90"/>
  <c r="U22" i="90"/>
  <c r="T22" i="90"/>
  <c r="S22" i="90"/>
  <c r="R22" i="90"/>
  <c r="Q22" i="90"/>
  <c r="P22" i="90"/>
  <c r="L22" i="90"/>
  <c r="Z22" i="90" s="1"/>
  <c r="J22" i="90"/>
  <c r="X22" i="90" s="1"/>
  <c r="H22" i="90"/>
  <c r="V22" i="90" s="1"/>
  <c r="AA21" i="90"/>
  <c r="Y21" i="90"/>
  <c r="W21" i="90"/>
  <c r="U21" i="90"/>
  <c r="T21" i="90"/>
  <c r="S21" i="90"/>
  <c r="R21" i="90"/>
  <c r="Q21" i="90"/>
  <c r="P21" i="90"/>
  <c r="L21" i="90"/>
  <c r="Z21" i="90" s="1"/>
  <c r="J21" i="90"/>
  <c r="X21" i="90" s="1"/>
  <c r="H21" i="90"/>
  <c r="V21" i="90" s="1"/>
  <c r="AA20" i="90"/>
  <c r="Y20" i="90"/>
  <c r="W20" i="90"/>
  <c r="U20" i="90"/>
  <c r="T20" i="90"/>
  <c r="S20" i="90"/>
  <c r="R20" i="90"/>
  <c r="Q20" i="90"/>
  <c r="P20" i="90"/>
  <c r="L20" i="90"/>
  <c r="Z20" i="90" s="1"/>
  <c r="J20" i="90"/>
  <c r="X20" i="90" s="1"/>
  <c r="H20" i="90"/>
  <c r="V20" i="90" s="1"/>
  <c r="AA19" i="90"/>
  <c r="Y19" i="90"/>
  <c r="W19" i="90"/>
  <c r="U19" i="90"/>
  <c r="T19" i="90"/>
  <c r="S19" i="90"/>
  <c r="R19" i="90"/>
  <c r="Q19" i="90"/>
  <c r="P19" i="90"/>
  <c r="Z19" i="90"/>
  <c r="AC19" i="90" s="1"/>
  <c r="J19" i="90"/>
  <c r="X19" i="90" s="1"/>
  <c r="H19" i="90"/>
  <c r="AA18" i="90"/>
  <c r="Y18" i="90"/>
  <c r="W18" i="90"/>
  <c r="U18" i="90"/>
  <c r="T18" i="90"/>
  <c r="S18" i="90"/>
  <c r="R18" i="90"/>
  <c r="Q18" i="90"/>
  <c r="P18" i="90"/>
  <c r="L18" i="90"/>
  <c r="Z18" i="90" s="1"/>
  <c r="J18" i="90"/>
  <c r="X18" i="90" s="1"/>
  <c r="H18" i="90"/>
  <c r="V18" i="90" s="1"/>
  <c r="AA17" i="90"/>
  <c r="Y17" i="90"/>
  <c r="W17" i="90"/>
  <c r="U17" i="90"/>
  <c r="T17" i="90"/>
  <c r="S17" i="90"/>
  <c r="R17" i="90"/>
  <c r="Q17" i="90"/>
  <c r="P17" i="90"/>
  <c r="L17" i="90"/>
  <c r="Z17" i="90" s="1"/>
  <c r="J17" i="90"/>
  <c r="X17" i="90" s="1"/>
  <c r="H17" i="90"/>
  <c r="V17" i="90" s="1"/>
  <c r="AA16" i="90"/>
  <c r="Y16" i="90"/>
  <c r="W16" i="90"/>
  <c r="U16" i="90"/>
  <c r="T16" i="90"/>
  <c r="S16" i="90"/>
  <c r="R16" i="90"/>
  <c r="Q16" i="90"/>
  <c r="P16" i="90"/>
  <c r="L16" i="90"/>
  <c r="Z16" i="90" s="1"/>
  <c r="J16" i="90"/>
  <c r="X16" i="90" s="1"/>
  <c r="H16" i="90"/>
  <c r="AA15" i="90"/>
  <c r="Y15" i="90"/>
  <c r="W15" i="90"/>
  <c r="U15" i="90"/>
  <c r="T15" i="90"/>
  <c r="S15" i="90"/>
  <c r="R15" i="90"/>
  <c r="Q15" i="90"/>
  <c r="P15" i="90"/>
  <c r="Z15" i="90"/>
  <c r="X15" i="90"/>
  <c r="H15" i="90"/>
  <c r="V15" i="90" s="1"/>
  <c r="AA14" i="90"/>
  <c r="Y14" i="90"/>
  <c r="W14" i="90"/>
  <c r="U14" i="90"/>
  <c r="T14" i="90"/>
  <c r="S14" i="90"/>
  <c r="R14" i="90"/>
  <c r="Q14" i="90"/>
  <c r="P14" i="90"/>
  <c r="L14" i="90"/>
  <c r="Z14" i="90" s="1"/>
  <c r="J14" i="90"/>
  <c r="X14" i="90" s="1"/>
  <c r="H14" i="90"/>
  <c r="V14" i="90" s="1"/>
  <c r="AA13" i="90"/>
  <c r="Y13" i="90"/>
  <c r="W13" i="90"/>
  <c r="U13" i="90"/>
  <c r="T13" i="90"/>
  <c r="S13" i="90"/>
  <c r="R13" i="90"/>
  <c r="Q13" i="90"/>
  <c r="P13" i="90"/>
  <c r="Z13" i="90"/>
  <c r="AC13" i="90" s="1"/>
  <c r="J13" i="90"/>
  <c r="X13" i="90" s="1"/>
  <c r="H13" i="90"/>
  <c r="BV49" i="89"/>
  <c r="BB49" i="89"/>
  <c r="AZ49" i="89"/>
  <c r="AY49" i="89"/>
  <c r="AW49" i="89"/>
  <c r="AV49" i="89"/>
  <c r="AT49" i="89"/>
  <c r="BH49" i="89" s="1" a="1"/>
  <c r="BH49" i="89" s="1"/>
  <c r="AS49" i="89"/>
  <c r="BD49" i="89" s="1"/>
  <c r="BF49" i="89" s="1"/>
  <c r="AR49" i="89"/>
  <c r="AQ49" i="89"/>
  <c r="AP49" i="89"/>
  <c r="AO49" i="89"/>
  <c r="AN49" i="89"/>
  <c r="AM49" i="89"/>
  <c r="AK49" i="89"/>
  <c r="AJ49" i="89"/>
  <c r="AI49" i="89"/>
  <c r="BQ49" i="89" s="1"/>
  <c r="AG49" i="89"/>
  <c r="BP49" i="89"/>
  <c r="W49" i="89" a="1"/>
  <c r="W49" i="89" s="1"/>
  <c r="V49" i="89" a="1"/>
  <c r="V49" i="89" s="1"/>
  <c r="T49" i="89"/>
  <c r="Q49" i="89"/>
  <c r="N49" i="89"/>
  <c r="BV48" i="89"/>
  <c r="BB48" i="89"/>
  <c r="AZ48" i="89"/>
  <c r="AY48" i="89"/>
  <c r="AW48" i="89"/>
  <c r="AV48" i="89"/>
  <c r="AT48" i="89"/>
  <c r="BE48" i="89" s="1"/>
  <c r="AS48" i="89"/>
  <c r="BG48" i="89" s="1" a="1"/>
  <c r="BG48" i="89" s="1"/>
  <c r="AR48" i="89"/>
  <c r="AQ48" i="89"/>
  <c r="AP48" i="89"/>
  <c r="AO48" i="89"/>
  <c r="AN48" i="89"/>
  <c r="AM48" i="89"/>
  <c r="AK48" i="89"/>
  <c r="AJ48" i="89"/>
  <c r="AI48" i="89"/>
  <c r="BQ48" i="89" s="1"/>
  <c r="AG48" i="89"/>
  <c r="BP48" i="89"/>
  <c r="W48" i="89" a="1"/>
  <c r="W48" i="89" s="1"/>
  <c r="V48" i="89" a="1"/>
  <c r="V48" i="89" s="1"/>
  <c r="T48" i="89"/>
  <c r="Q48" i="89"/>
  <c r="N48" i="89"/>
  <c r="BV47" i="89"/>
  <c r="BB47" i="89"/>
  <c r="AZ47" i="89"/>
  <c r="AY47" i="89"/>
  <c r="AW47" i="89"/>
  <c r="AV47" i="89"/>
  <c r="AT47" i="89"/>
  <c r="BE47" i="89" s="1"/>
  <c r="AS47" i="89"/>
  <c r="AR47" i="89"/>
  <c r="AQ47" i="89"/>
  <c r="AP47" i="89"/>
  <c r="AO47" i="89"/>
  <c r="AN47" i="89"/>
  <c r="AM47" i="89"/>
  <c r="AK47" i="89"/>
  <c r="AJ47" i="89"/>
  <c r="AI47" i="89"/>
  <c r="BQ47" i="89" s="1"/>
  <c r="AG47" i="89"/>
  <c r="BP47" i="89"/>
  <c r="W47" i="89" a="1"/>
  <c r="W47" i="89" s="1"/>
  <c r="V47" i="89" a="1"/>
  <c r="V47" i="89" s="1"/>
  <c r="T47" i="89"/>
  <c r="Q47" i="89"/>
  <c r="N47" i="89"/>
  <c r="BV46" i="89"/>
  <c r="BB46" i="89"/>
  <c r="AZ46" i="89"/>
  <c r="AY46" i="89"/>
  <c r="AW46" i="89"/>
  <c r="AV46" i="89"/>
  <c r="AT46" i="89"/>
  <c r="BH46" i="89" s="1" a="1"/>
  <c r="BH46" i="89" s="1"/>
  <c r="AS46" i="89"/>
  <c r="BG46" i="89" s="1" a="1"/>
  <c r="BG46" i="89" s="1"/>
  <c r="AR46" i="89"/>
  <c r="AQ46" i="89"/>
  <c r="AP46" i="89"/>
  <c r="AO46" i="89"/>
  <c r="AN46" i="89"/>
  <c r="AM46" i="89"/>
  <c r="AK46" i="89"/>
  <c r="AJ46" i="89"/>
  <c r="AI46" i="89"/>
  <c r="BQ46" i="89" s="1"/>
  <c r="AG46" i="89"/>
  <c r="BP46" i="89"/>
  <c r="W46" i="89" a="1"/>
  <c r="W46" i="89" s="1"/>
  <c r="V46" i="89" a="1"/>
  <c r="V46" i="89" s="1"/>
  <c r="T46" i="89"/>
  <c r="Q46" i="89"/>
  <c r="N46" i="89"/>
  <c r="BV45" i="89"/>
  <c r="BB45" i="89"/>
  <c r="AZ45" i="89"/>
  <c r="AY45" i="89"/>
  <c r="AW45" i="89"/>
  <c r="AV45" i="89"/>
  <c r="AT45" i="89"/>
  <c r="BH45" i="89" s="1" a="1"/>
  <c r="BH45" i="89" s="1"/>
  <c r="AS45" i="89"/>
  <c r="AR45" i="89"/>
  <c r="AQ45" i="89"/>
  <c r="AP45" i="89"/>
  <c r="AO45" i="89"/>
  <c r="AN45" i="89"/>
  <c r="AM45" i="89"/>
  <c r="AK45" i="89"/>
  <c r="AJ45" i="89"/>
  <c r="AI45" i="89"/>
  <c r="BQ45" i="89" s="1"/>
  <c r="AG45" i="89"/>
  <c r="BP45" i="89"/>
  <c r="W45" i="89" a="1"/>
  <c r="W45" i="89" s="1"/>
  <c r="V45" i="89" a="1"/>
  <c r="V45" i="89" s="1"/>
  <c r="T45" i="89"/>
  <c r="Q45" i="89"/>
  <c r="N45" i="89"/>
  <c r="BV44" i="89"/>
  <c r="BB44" i="89"/>
  <c r="AZ44" i="89"/>
  <c r="AY44" i="89"/>
  <c r="AW44" i="89"/>
  <c r="AV44" i="89"/>
  <c r="AT44" i="89"/>
  <c r="BH44" i="89" s="1" a="1"/>
  <c r="BH44" i="89" s="1"/>
  <c r="AS44" i="89"/>
  <c r="BD44" i="89" s="1"/>
  <c r="BF44" i="89" s="1"/>
  <c r="AR44" i="89"/>
  <c r="AQ44" i="89"/>
  <c r="AP44" i="89"/>
  <c r="AO44" i="89"/>
  <c r="AN44" i="89"/>
  <c r="AM44" i="89"/>
  <c r="AK44" i="89"/>
  <c r="AJ44" i="89"/>
  <c r="AI44" i="89"/>
  <c r="BQ44" i="89" s="1"/>
  <c r="AG44" i="89"/>
  <c r="BP44" i="89"/>
  <c r="W44" i="89" a="1"/>
  <c r="W44" i="89" s="1"/>
  <c r="V44" i="89" a="1"/>
  <c r="V44" i="89" s="1"/>
  <c r="T44" i="89"/>
  <c r="Q44" i="89"/>
  <c r="N44" i="89"/>
  <c r="BV43" i="89"/>
  <c r="BB43" i="89"/>
  <c r="AZ43" i="89"/>
  <c r="AY43" i="89"/>
  <c r="AW43" i="89"/>
  <c r="AV43" i="89"/>
  <c r="AT43" i="89"/>
  <c r="AS43" i="89"/>
  <c r="BG43" i="89" s="1" a="1"/>
  <c r="BG43" i="89" s="1"/>
  <c r="AR43" i="89"/>
  <c r="AQ43" i="89"/>
  <c r="AP43" i="89"/>
  <c r="AO43" i="89"/>
  <c r="AN43" i="89"/>
  <c r="AM43" i="89"/>
  <c r="AK43" i="89"/>
  <c r="AJ43" i="89"/>
  <c r="AI43" i="89"/>
  <c r="BQ43" i="89" s="1"/>
  <c r="AG43" i="89"/>
  <c r="BP43" i="89"/>
  <c r="W43" i="89" a="1"/>
  <c r="W43" i="89" s="1"/>
  <c r="V43" i="89" a="1"/>
  <c r="V43" i="89" s="1"/>
  <c r="T43" i="89"/>
  <c r="Q43" i="89"/>
  <c r="N43" i="89"/>
  <c r="BV42" i="89"/>
  <c r="BB42" i="89"/>
  <c r="AZ42" i="89"/>
  <c r="AY42" i="89"/>
  <c r="AW42" i="89"/>
  <c r="AV42" i="89"/>
  <c r="AT42" i="89"/>
  <c r="BH42" i="89" s="1" a="1"/>
  <c r="BH42" i="89" s="1"/>
  <c r="AS42" i="89"/>
  <c r="AR42" i="89"/>
  <c r="AQ42" i="89"/>
  <c r="AP42" i="89"/>
  <c r="AO42" i="89"/>
  <c r="AN42" i="89"/>
  <c r="AM42" i="89"/>
  <c r="AK42" i="89"/>
  <c r="AJ42" i="89"/>
  <c r="AI42" i="89"/>
  <c r="BQ42" i="89" s="1"/>
  <c r="AG42" i="89"/>
  <c r="BP42" i="89"/>
  <c r="W42" i="89" a="1"/>
  <c r="W42" i="89" s="1"/>
  <c r="V42" i="89" a="1"/>
  <c r="V42" i="89" s="1"/>
  <c r="T42" i="89"/>
  <c r="Q42" i="89"/>
  <c r="N42" i="89"/>
  <c r="BV41" i="89"/>
  <c r="BB41" i="89"/>
  <c r="AZ41" i="89"/>
  <c r="AY41" i="89"/>
  <c r="AW41" i="89"/>
  <c r="AV41" i="89"/>
  <c r="AT41" i="89"/>
  <c r="BH41" i="89" s="1" a="1"/>
  <c r="BH41" i="89" s="1"/>
  <c r="AS41" i="89"/>
  <c r="BD41" i="89" s="1"/>
  <c r="BF41" i="89" s="1"/>
  <c r="AR41" i="89"/>
  <c r="AQ41" i="89"/>
  <c r="AP41" i="89"/>
  <c r="AO41" i="89"/>
  <c r="AN41" i="89"/>
  <c r="AM41" i="89"/>
  <c r="AK41" i="89"/>
  <c r="AJ41" i="89"/>
  <c r="AI41" i="89"/>
  <c r="BQ41" i="89" s="1"/>
  <c r="AG41" i="89"/>
  <c r="BP41" i="89"/>
  <c r="W41" i="89" a="1"/>
  <c r="W41" i="89" s="1"/>
  <c r="V41" i="89" a="1"/>
  <c r="V41" i="89" s="1"/>
  <c r="T41" i="89"/>
  <c r="Q41" i="89"/>
  <c r="N41" i="89"/>
  <c r="BV40" i="89"/>
  <c r="BB40" i="89"/>
  <c r="AZ40" i="89"/>
  <c r="AY40" i="89"/>
  <c r="AW40" i="89"/>
  <c r="AV40" i="89"/>
  <c r="AT40" i="89"/>
  <c r="BE40" i="89" s="1"/>
  <c r="AS40" i="89"/>
  <c r="BG40" i="89" s="1" a="1"/>
  <c r="BG40" i="89" s="1"/>
  <c r="AR40" i="89"/>
  <c r="AQ40" i="89"/>
  <c r="AP40" i="89"/>
  <c r="AO40" i="89"/>
  <c r="AN40" i="89"/>
  <c r="AM40" i="89"/>
  <c r="AK40" i="89"/>
  <c r="AJ40" i="89"/>
  <c r="AI40" i="89"/>
  <c r="BQ40" i="89" s="1"/>
  <c r="AG40" i="89"/>
  <c r="BP40" i="89"/>
  <c r="W40" i="89" a="1"/>
  <c r="W40" i="89" s="1"/>
  <c r="V40" i="89" a="1"/>
  <c r="V40" i="89" s="1"/>
  <c r="T40" i="89"/>
  <c r="Q40" i="89"/>
  <c r="N40" i="89"/>
  <c r="BV39" i="89"/>
  <c r="BB39" i="89"/>
  <c r="AZ39" i="89"/>
  <c r="AY39" i="89"/>
  <c r="AW39" i="89"/>
  <c r="AV39" i="89"/>
  <c r="AT39" i="89"/>
  <c r="BE39" i="89" s="1"/>
  <c r="AS39" i="89"/>
  <c r="AR39" i="89"/>
  <c r="AQ39" i="89"/>
  <c r="AP39" i="89"/>
  <c r="AO39" i="89"/>
  <c r="AN39" i="89"/>
  <c r="AM39" i="89"/>
  <c r="AK39" i="89"/>
  <c r="AJ39" i="89"/>
  <c r="AI39" i="89"/>
  <c r="BQ39" i="89" s="1"/>
  <c r="AG39" i="89"/>
  <c r="BP39" i="89"/>
  <c r="W39" i="89" a="1"/>
  <c r="W39" i="89" s="1"/>
  <c r="V39" i="89" a="1"/>
  <c r="V39" i="89" s="1"/>
  <c r="T39" i="89"/>
  <c r="Q39" i="89"/>
  <c r="N39" i="89"/>
  <c r="BV38" i="89"/>
  <c r="BB38" i="89"/>
  <c r="AZ38" i="89"/>
  <c r="AY38" i="89"/>
  <c r="AW38" i="89"/>
  <c r="AV38" i="89"/>
  <c r="AT38" i="89"/>
  <c r="BH38" i="89" s="1" a="1"/>
  <c r="BH38" i="89" s="1"/>
  <c r="AS38" i="89"/>
  <c r="BD38" i="89" s="1"/>
  <c r="BF38" i="89" s="1"/>
  <c r="AR38" i="89"/>
  <c r="AQ38" i="89"/>
  <c r="AP38" i="89"/>
  <c r="AO38" i="89"/>
  <c r="AN38" i="89"/>
  <c r="AM38" i="89"/>
  <c r="AK38" i="89"/>
  <c r="AJ38" i="89"/>
  <c r="AI38" i="89"/>
  <c r="BQ38" i="89" s="1"/>
  <c r="AG38" i="89"/>
  <c r="BP38" i="89"/>
  <c r="W38" i="89" a="1"/>
  <c r="W38" i="89" s="1"/>
  <c r="V38" i="89" a="1"/>
  <c r="V38" i="89" s="1"/>
  <c r="T38" i="89"/>
  <c r="Q38" i="89"/>
  <c r="N38" i="89"/>
  <c r="BV37" i="89"/>
  <c r="BB37" i="89"/>
  <c r="AZ37" i="89"/>
  <c r="AY37" i="89"/>
  <c r="AW37" i="89"/>
  <c r="AV37" i="89"/>
  <c r="AT37" i="89"/>
  <c r="BH37" i="89" s="1" a="1"/>
  <c r="BH37" i="89" s="1"/>
  <c r="AS37" i="89"/>
  <c r="AR37" i="89"/>
  <c r="AQ37" i="89"/>
  <c r="AP37" i="89"/>
  <c r="AO37" i="89"/>
  <c r="AN37" i="89"/>
  <c r="AM37" i="89"/>
  <c r="AK37" i="89"/>
  <c r="AJ37" i="89"/>
  <c r="AI37" i="89"/>
  <c r="BQ37" i="89" s="1"/>
  <c r="AG37" i="89"/>
  <c r="BP37" i="89"/>
  <c r="W37" i="89" a="1"/>
  <c r="W37" i="89" s="1"/>
  <c r="V37" i="89" a="1"/>
  <c r="V37" i="89" s="1"/>
  <c r="T37" i="89"/>
  <c r="Q37" i="89"/>
  <c r="N37" i="89"/>
  <c r="BV36" i="89"/>
  <c r="BB36" i="89"/>
  <c r="AZ36" i="89"/>
  <c r="AY36" i="89"/>
  <c r="AW36" i="89"/>
  <c r="AV36" i="89"/>
  <c r="AT36" i="89"/>
  <c r="AS36" i="89"/>
  <c r="BD36" i="89" s="1"/>
  <c r="BF36" i="89" s="1"/>
  <c r="AR36" i="89"/>
  <c r="AQ36" i="89"/>
  <c r="AP36" i="89"/>
  <c r="AO36" i="89"/>
  <c r="AN36" i="89"/>
  <c r="AM36" i="89"/>
  <c r="AK36" i="89"/>
  <c r="AJ36" i="89"/>
  <c r="AI36" i="89"/>
  <c r="BQ36" i="89" s="1"/>
  <c r="AG36" i="89"/>
  <c r="BP36" i="89"/>
  <c r="W36" i="89" a="1"/>
  <c r="W36" i="89" s="1"/>
  <c r="V36" i="89" a="1"/>
  <c r="V36" i="89" s="1"/>
  <c r="T36" i="89"/>
  <c r="Q36" i="89"/>
  <c r="N36" i="89"/>
  <c r="BV35" i="89"/>
  <c r="BB35" i="89"/>
  <c r="AZ35" i="89"/>
  <c r="AY35" i="89"/>
  <c r="AW35" i="89"/>
  <c r="AV35" i="89"/>
  <c r="AT35" i="89"/>
  <c r="AS35" i="89"/>
  <c r="BD35" i="89" s="1"/>
  <c r="BF35" i="89" s="1"/>
  <c r="AR35" i="89"/>
  <c r="AQ35" i="89"/>
  <c r="AP35" i="89"/>
  <c r="AO35" i="89"/>
  <c r="AN35" i="89"/>
  <c r="AM35" i="89"/>
  <c r="AK35" i="89"/>
  <c r="AJ35" i="89"/>
  <c r="AI35" i="89"/>
  <c r="BQ35" i="89" s="1"/>
  <c r="AG35" i="89"/>
  <c r="BP35" i="89"/>
  <c r="W35" i="89" a="1"/>
  <c r="W35" i="89" s="1"/>
  <c r="V35" i="89" a="1"/>
  <c r="V35" i="89" s="1"/>
  <c r="T35" i="89"/>
  <c r="Q35" i="89"/>
  <c r="N35" i="89"/>
  <c r="BV34" i="89"/>
  <c r="BB34" i="89"/>
  <c r="AZ34" i="89"/>
  <c r="AY34" i="89"/>
  <c r="AW34" i="89"/>
  <c r="AV34" i="89"/>
  <c r="AT34" i="89"/>
  <c r="BH34" i="89" s="1" a="1"/>
  <c r="BH34" i="89" s="1"/>
  <c r="AS34" i="89"/>
  <c r="BG34" i="89" s="1" a="1"/>
  <c r="BG34" i="89" s="1"/>
  <c r="AR34" i="89"/>
  <c r="AQ34" i="89"/>
  <c r="AP34" i="89"/>
  <c r="AO34" i="89"/>
  <c r="AN34" i="89"/>
  <c r="AM34" i="89"/>
  <c r="AK34" i="89"/>
  <c r="AJ34" i="89"/>
  <c r="AI34" i="89"/>
  <c r="BQ34" i="89" s="1"/>
  <c r="AG34" i="89"/>
  <c r="BP34" i="89"/>
  <c r="W34" i="89" a="1"/>
  <c r="W34" i="89" s="1"/>
  <c r="V34" i="89" a="1"/>
  <c r="V34" i="89" s="1"/>
  <c r="T34" i="89"/>
  <c r="Q34" i="89"/>
  <c r="N34" i="89"/>
  <c r="BV33" i="89"/>
  <c r="BB33" i="89"/>
  <c r="AZ33" i="89"/>
  <c r="AY33" i="89"/>
  <c r="AW33" i="89"/>
  <c r="AV33" i="89"/>
  <c r="AT33" i="89"/>
  <c r="BH33" i="89" s="1" a="1"/>
  <c r="BH33" i="89" s="1"/>
  <c r="AS33" i="89"/>
  <c r="BD33" i="89" s="1"/>
  <c r="BF33" i="89" s="1"/>
  <c r="AR33" i="89"/>
  <c r="AQ33" i="89"/>
  <c r="AP33" i="89"/>
  <c r="AO33" i="89"/>
  <c r="AN33" i="89"/>
  <c r="AM33" i="89"/>
  <c r="AK33" i="89"/>
  <c r="AJ33" i="89"/>
  <c r="AI33" i="89"/>
  <c r="BQ33" i="89" s="1"/>
  <c r="AG33" i="89"/>
  <c r="BP33" i="89"/>
  <c r="W33" i="89" a="1"/>
  <c r="W33" i="89" s="1"/>
  <c r="V33" i="89" a="1"/>
  <c r="V33" i="89" s="1"/>
  <c r="T33" i="89"/>
  <c r="Q33" i="89"/>
  <c r="N33" i="89"/>
  <c r="BV32" i="89"/>
  <c r="BB32" i="89"/>
  <c r="AZ32" i="89"/>
  <c r="AY32" i="89"/>
  <c r="AW32" i="89"/>
  <c r="AV32" i="89"/>
  <c r="AT32" i="89"/>
  <c r="BE32" i="89" s="1"/>
  <c r="AS32" i="89"/>
  <c r="AR32" i="89"/>
  <c r="AQ32" i="89"/>
  <c r="AP32" i="89"/>
  <c r="AO32" i="89"/>
  <c r="AN32" i="89"/>
  <c r="AM32" i="89"/>
  <c r="AK32" i="89"/>
  <c r="AJ32" i="89"/>
  <c r="AI32" i="89"/>
  <c r="BQ32" i="89" s="1"/>
  <c r="AG32" i="89"/>
  <c r="BP32" i="89"/>
  <c r="W32" i="89" a="1"/>
  <c r="W32" i="89" s="1"/>
  <c r="V32" i="89" a="1"/>
  <c r="V32" i="89" s="1"/>
  <c r="T32" i="89"/>
  <c r="Q32" i="89"/>
  <c r="N32" i="89"/>
  <c r="BV31" i="89"/>
  <c r="BB31" i="89"/>
  <c r="AZ31" i="89"/>
  <c r="AY31" i="89"/>
  <c r="AW31" i="89"/>
  <c r="AV31" i="89"/>
  <c r="AT31" i="89"/>
  <c r="BE31" i="89" s="1"/>
  <c r="AS31" i="89"/>
  <c r="AR31" i="89"/>
  <c r="AQ31" i="89"/>
  <c r="AP31" i="89"/>
  <c r="AO31" i="89"/>
  <c r="AN31" i="89"/>
  <c r="AM31" i="89"/>
  <c r="AK31" i="89"/>
  <c r="AJ31" i="89"/>
  <c r="AI31" i="89"/>
  <c r="BQ31" i="89" s="1"/>
  <c r="AG31" i="89"/>
  <c r="BP31" i="89"/>
  <c r="W31" i="89" a="1"/>
  <c r="W31" i="89" s="1"/>
  <c r="V31" i="89" a="1"/>
  <c r="V31" i="89" s="1"/>
  <c r="T31" i="89"/>
  <c r="Q31" i="89"/>
  <c r="N31" i="89"/>
  <c r="BV30" i="89"/>
  <c r="BB30" i="89"/>
  <c r="AZ30" i="89"/>
  <c r="AY30" i="89"/>
  <c r="AW30" i="89"/>
  <c r="AV30" i="89"/>
  <c r="AT30" i="89"/>
  <c r="BH30" i="89" s="1" a="1"/>
  <c r="BH30" i="89" s="1"/>
  <c r="AS30" i="89"/>
  <c r="BD30" i="89" s="1"/>
  <c r="BF30" i="89" s="1"/>
  <c r="AR30" i="89"/>
  <c r="AQ30" i="89"/>
  <c r="AP30" i="89"/>
  <c r="AO30" i="89"/>
  <c r="AN30" i="89"/>
  <c r="AM30" i="89"/>
  <c r="AK30" i="89"/>
  <c r="AJ30" i="89"/>
  <c r="AI30" i="89"/>
  <c r="BQ30" i="89" s="1"/>
  <c r="AG30" i="89"/>
  <c r="BP30" i="89"/>
  <c r="W30" i="89" a="1"/>
  <c r="W30" i="89" s="1"/>
  <c r="V30" i="89" a="1"/>
  <c r="V30" i="89" s="1"/>
  <c r="T30" i="89"/>
  <c r="Q30" i="89"/>
  <c r="N30" i="89"/>
  <c r="BV29" i="89"/>
  <c r="BB29" i="89"/>
  <c r="AZ29" i="89"/>
  <c r="AY29" i="89"/>
  <c r="AW29" i="89"/>
  <c r="AV29" i="89"/>
  <c r="AT29" i="89"/>
  <c r="BH29" i="89" s="1" a="1"/>
  <c r="BH29" i="89" s="1"/>
  <c r="AS29" i="89"/>
  <c r="BG29" i="89" s="1" a="1"/>
  <c r="BG29" i="89" s="1"/>
  <c r="AR29" i="89"/>
  <c r="AQ29" i="89"/>
  <c r="AP29" i="89"/>
  <c r="AO29" i="89"/>
  <c r="AN29" i="89"/>
  <c r="AM29" i="89"/>
  <c r="AK29" i="89"/>
  <c r="AJ29" i="89"/>
  <c r="AI29" i="89"/>
  <c r="BQ29" i="89" s="1"/>
  <c r="AG29" i="89"/>
  <c r="BP29" i="89"/>
  <c r="W29" i="89" a="1"/>
  <c r="W29" i="89" s="1"/>
  <c r="V29" i="89" a="1"/>
  <c r="V29" i="89" s="1"/>
  <c r="T29" i="89"/>
  <c r="Q29" i="89"/>
  <c r="N29" i="89"/>
  <c r="BV28" i="89"/>
  <c r="BB28" i="89"/>
  <c r="AZ28" i="89"/>
  <c r="AY28" i="89"/>
  <c r="AW28" i="89"/>
  <c r="AV28" i="89"/>
  <c r="AT28" i="89"/>
  <c r="BE28" i="89" s="1"/>
  <c r="AS28" i="89"/>
  <c r="BD28" i="89" s="1"/>
  <c r="BF28" i="89" s="1"/>
  <c r="AR28" i="89"/>
  <c r="AQ28" i="89"/>
  <c r="AP28" i="89"/>
  <c r="AO28" i="89"/>
  <c r="AN28" i="89"/>
  <c r="AM28" i="89"/>
  <c r="AK28" i="89"/>
  <c r="AJ28" i="89"/>
  <c r="AI28" i="89"/>
  <c r="BQ28" i="89" s="1"/>
  <c r="AG28" i="89"/>
  <c r="BP28" i="89"/>
  <c r="W28" i="89" a="1"/>
  <c r="W28" i="89" s="1"/>
  <c r="V28" i="89" a="1"/>
  <c r="V28" i="89" s="1"/>
  <c r="T28" i="89"/>
  <c r="Q28" i="89"/>
  <c r="N28" i="89"/>
  <c r="BV27" i="89"/>
  <c r="BB27" i="89"/>
  <c r="AZ27" i="89"/>
  <c r="AY27" i="89"/>
  <c r="AW27" i="89"/>
  <c r="AV27" i="89"/>
  <c r="AT27" i="89"/>
  <c r="BE27" i="89" s="1"/>
  <c r="AS27" i="89"/>
  <c r="BD27" i="89" s="1"/>
  <c r="BF27" i="89" s="1"/>
  <c r="AR27" i="89"/>
  <c r="AQ27" i="89"/>
  <c r="AP27" i="89"/>
  <c r="AO27" i="89"/>
  <c r="AN27" i="89"/>
  <c r="AM27" i="89"/>
  <c r="AK27" i="89"/>
  <c r="AJ27" i="89"/>
  <c r="AI27" i="89"/>
  <c r="BQ27" i="89" s="1"/>
  <c r="AG27" i="89"/>
  <c r="BP27" i="89"/>
  <c r="W27" i="89" a="1"/>
  <c r="W27" i="89" s="1"/>
  <c r="V27" i="89" a="1"/>
  <c r="V27" i="89" s="1"/>
  <c r="T27" i="89"/>
  <c r="Q27" i="89"/>
  <c r="N27" i="89"/>
  <c r="BV26" i="89"/>
  <c r="BB26" i="89"/>
  <c r="AZ26" i="89"/>
  <c r="AY26" i="89"/>
  <c r="AW26" i="89"/>
  <c r="AV26" i="89"/>
  <c r="AT26" i="89"/>
  <c r="BH26" i="89" s="1" a="1"/>
  <c r="BH26" i="89" s="1"/>
  <c r="AS26" i="89"/>
  <c r="BD26" i="89" s="1"/>
  <c r="BF26" i="89" s="1"/>
  <c r="AR26" i="89"/>
  <c r="AQ26" i="89"/>
  <c r="AP26" i="89"/>
  <c r="AO26" i="89"/>
  <c r="AN26" i="89"/>
  <c r="AM26" i="89"/>
  <c r="AK26" i="89"/>
  <c r="AJ26" i="89"/>
  <c r="AI26" i="89"/>
  <c r="BQ26" i="89" s="1"/>
  <c r="AG26" i="89"/>
  <c r="BP26" i="89"/>
  <c r="W26" i="89" a="1"/>
  <c r="W26" i="89" s="1"/>
  <c r="V26" i="89" a="1"/>
  <c r="V26" i="89" s="1"/>
  <c r="T26" i="89"/>
  <c r="Q26" i="89"/>
  <c r="N26" i="89"/>
  <c r="BV25" i="89"/>
  <c r="BB25" i="89"/>
  <c r="AZ25" i="89"/>
  <c r="AY25" i="89"/>
  <c r="AW25" i="89"/>
  <c r="AV25" i="89"/>
  <c r="AT25" i="89"/>
  <c r="BH25" i="89" s="1" a="1"/>
  <c r="BH25" i="89" s="1"/>
  <c r="AS25" i="89"/>
  <c r="BD25" i="89" s="1"/>
  <c r="BF25" i="89" s="1"/>
  <c r="AR25" i="89"/>
  <c r="AQ25" i="89"/>
  <c r="AP25" i="89"/>
  <c r="AO25" i="89"/>
  <c r="AN25" i="89"/>
  <c r="AM25" i="89"/>
  <c r="AK25" i="89"/>
  <c r="AJ25" i="89"/>
  <c r="AI25" i="89"/>
  <c r="BQ25" i="89" s="1"/>
  <c r="AG25" i="89"/>
  <c r="BP25" i="89"/>
  <c r="W25" i="89" a="1"/>
  <c r="W25" i="89" s="1"/>
  <c r="V25" i="89" a="1"/>
  <c r="V25" i="89" s="1"/>
  <c r="T25" i="89"/>
  <c r="Q25" i="89"/>
  <c r="N25" i="89"/>
  <c r="BV24" i="89"/>
  <c r="BB24" i="89"/>
  <c r="AZ24" i="89"/>
  <c r="AY24" i="89"/>
  <c r="AW24" i="89"/>
  <c r="AV24" i="89"/>
  <c r="AT24" i="89"/>
  <c r="BE24" i="89" s="1"/>
  <c r="AS24" i="89"/>
  <c r="BG24" i="89" s="1" a="1"/>
  <c r="BG24" i="89" s="1"/>
  <c r="AR24" i="89"/>
  <c r="AQ24" i="89"/>
  <c r="AP24" i="89"/>
  <c r="AO24" i="89"/>
  <c r="AN24" i="89"/>
  <c r="AM24" i="89"/>
  <c r="AK24" i="89"/>
  <c r="AJ24" i="89"/>
  <c r="AI24" i="89"/>
  <c r="BQ24" i="89" s="1"/>
  <c r="AG24" i="89"/>
  <c r="BP24" i="89"/>
  <c r="W24" i="89" a="1"/>
  <c r="W24" i="89" s="1"/>
  <c r="V24" i="89" a="1"/>
  <c r="V24" i="89" s="1"/>
  <c r="T24" i="89"/>
  <c r="Q24" i="89"/>
  <c r="N24" i="89"/>
  <c r="BV23" i="89"/>
  <c r="BB23" i="89"/>
  <c r="AZ23" i="89"/>
  <c r="AY23" i="89"/>
  <c r="AW23" i="89"/>
  <c r="AV23" i="89"/>
  <c r="AT23" i="89"/>
  <c r="BE23" i="89" s="1"/>
  <c r="AS23" i="89"/>
  <c r="AR23" i="89"/>
  <c r="AQ23" i="89"/>
  <c r="AP23" i="89"/>
  <c r="AO23" i="89"/>
  <c r="AN23" i="89"/>
  <c r="AM23" i="89"/>
  <c r="AK23" i="89"/>
  <c r="AJ23" i="89"/>
  <c r="AI23" i="89"/>
  <c r="BQ23" i="89" s="1"/>
  <c r="AG23" i="89"/>
  <c r="BP23" i="89"/>
  <c r="W23" i="89" a="1"/>
  <c r="W23" i="89" s="1"/>
  <c r="V23" i="89" a="1"/>
  <c r="V23" i="89" s="1"/>
  <c r="T23" i="89"/>
  <c r="Q23" i="89"/>
  <c r="N23" i="89"/>
  <c r="BV22" i="89"/>
  <c r="BB22" i="89"/>
  <c r="AZ22" i="89"/>
  <c r="AY22" i="89"/>
  <c r="AW22" i="89"/>
  <c r="AV22" i="89"/>
  <c r="AT22" i="89"/>
  <c r="AS22" i="89"/>
  <c r="BD22" i="89" s="1"/>
  <c r="BF22" i="89" s="1"/>
  <c r="AR22" i="89"/>
  <c r="AQ22" i="89"/>
  <c r="AP22" i="89"/>
  <c r="AO22" i="89"/>
  <c r="AN22" i="89"/>
  <c r="AM22" i="89"/>
  <c r="AK22" i="89"/>
  <c r="AJ22" i="89"/>
  <c r="AI22" i="89"/>
  <c r="BQ22" i="89" s="1"/>
  <c r="AG22" i="89"/>
  <c r="BP22" i="89"/>
  <c r="W22" i="89" a="1"/>
  <c r="W22" i="89" s="1"/>
  <c r="V22" i="89" a="1"/>
  <c r="V22" i="89" s="1"/>
  <c r="T22" i="89"/>
  <c r="Q22" i="89"/>
  <c r="N22" i="89"/>
  <c r="BV21" i="89"/>
  <c r="BB21" i="89"/>
  <c r="AZ21" i="89"/>
  <c r="AY21" i="89"/>
  <c r="AW21" i="89"/>
  <c r="AV21" i="89"/>
  <c r="AT21" i="89"/>
  <c r="BH21" i="89" s="1" a="1"/>
  <c r="BH21" i="89" s="1"/>
  <c r="AS21" i="89"/>
  <c r="BG21" i="89" s="1" a="1"/>
  <c r="BG21" i="89" s="1"/>
  <c r="AR21" i="89"/>
  <c r="AQ21" i="89"/>
  <c r="AP21" i="89"/>
  <c r="AO21" i="89"/>
  <c r="AN21" i="89"/>
  <c r="AM21" i="89"/>
  <c r="AK21" i="89"/>
  <c r="AJ21" i="89"/>
  <c r="AI21" i="89"/>
  <c r="BQ21" i="89" s="1"/>
  <c r="AG21" i="89"/>
  <c r="BP21" i="89"/>
  <c r="W21" i="89" a="1"/>
  <c r="W21" i="89" s="1"/>
  <c r="V21" i="89" a="1"/>
  <c r="V21" i="89" s="1"/>
  <c r="T21" i="89"/>
  <c r="Q21" i="89"/>
  <c r="N21" i="89"/>
  <c r="BV20" i="89"/>
  <c r="BB20" i="89"/>
  <c r="AZ20" i="89"/>
  <c r="AY20" i="89"/>
  <c r="AW20" i="89"/>
  <c r="AV20" i="89"/>
  <c r="AT20" i="89"/>
  <c r="BE20" i="89" s="1"/>
  <c r="AS20" i="89"/>
  <c r="BD20" i="89" s="1"/>
  <c r="BF20" i="89" s="1"/>
  <c r="AR20" i="89"/>
  <c r="AQ20" i="89"/>
  <c r="AP20" i="89"/>
  <c r="AO20" i="89"/>
  <c r="AN20" i="89"/>
  <c r="AM20" i="89"/>
  <c r="AK20" i="89"/>
  <c r="AJ20" i="89"/>
  <c r="AI20" i="89"/>
  <c r="BQ20" i="89" s="1"/>
  <c r="AG20" i="89"/>
  <c r="BP20" i="89"/>
  <c r="W20" i="89" a="1"/>
  <c r="W20" i="89" s="1"/>
  <c r="V20" i="89" a="1"/>
  <c r="V20" i="89" s="1"/>
  <c r="T20" i="89"/>
  <c r="Q20" i="89"/>
  <c r="N20" i="89"/>
  <c r="BV19" i="89"/>
  <c r="BB19" i="89"/>
  <c r="AZ19" i="89"/>
  <c r="AY19" i="89"/>
  <c r="AW19" i="89"/>
  <c r="AV19" i="89"/>
  <c r="AT19" i="89"/>
  <c r="AS19" i="89"/>
  <c r="BD19" i="89" s="1"/>
  <c r="BF19" i="89" s="1"/>
  <c r="AR19" i="89"/>
  <c r="AQ19" i="89"/>
  <c r="AP19" i="89"/>
  <c r="AO19" i="89"/>
  <c r="AN19" i="89"/>
  <c r="AM19" i="89"/>
  <c r="AK19" i="89"/>
  <c r="AJ19" i="89"/>
  <c r="AI19" i="89"/>
  <c r="BQ19" i="89" s="1"/>
  <c r="AG19" i="89"/>
  <c r="BP19" i="89"/>
  <c r="W19" i="89" a="1"/>
  <c r="W19" i="89" s="1"/>
  <c r="V19" i="89" a="1"/>
  <c r="V19" i="89" s="1"/>
  <c r="T19" i="89"/>
  <c r="Q19" i="89"/>
  <c r="N19" i="89"/>
  <c r="BV18" i="89"/>
  <c r="BB18" i="89"/>
  <c r="AZ18" i="89"/>
  <c r="AY18" i="89"/>
  <c r="AW18" i="89"/>
  <c r="AV18" i="89"/>
  <c r="AT18" i="89"/>
  <c r="BE18" i="89" s="1"/>
  <c r="AS18" i="89"/>
  <c r="AR18" i="89"/>
  <c r="AQ18" i="89"/>
  <c r="AP18" i="89"/>
  <c r="AO18" i="89"/>
  <c r="AN18" i="89"/>
  <c r="AM18" i="89"/>
  <c r="AK18" i="89"/>
  <c r="AJ18" i="89"/>
  <c r="AI18" i="89"/>
  <c r="BQ18" i="89" s="1"/>
  <c r="AG18" i="89"/>
  <c r="BP18" i="89"/>
  <c r="W18" i="89" a="1"/>
  <c r="W18" i="89" s="1"/>
  <c r="V18" i="89" a="1"/>
  <c r="V18" i="89" s="1"/>
  <c r="T18" i="89"/>
  <c r="Q18" i="89"/>
  <c r="N18" i="89"/>
  <c r="BV17" i="89"/>
  <c r="BB17" i="89"/>
  <c r="AZ17" i="89"/>
  <c r="AY17" i="89"/>
  <c r="AW17" i="89"/>
  <c r="AV17" i="89"/>
  <c r="AT17" i="89"/>
  <c r="BE17" i="89" s="1"/>
  <c r="AS17" i="89"/>
  <c r="BD17" i="89" s="1"/>
  <c r="BF17" i="89" s="1"/>
  <c r="AR17" i="89"/>
  <c r="AQ17" i="89"/>
  <c r="AP17" i="89"/>
  <c r="AO17" i="89"/>
  <c r="AN17" i="89"/>
  <c r="AM17" i="89"/>
  <c r="AK17" i="89"/>
  <c r="AJ17" i="89"/>
  <c r="AI17" i="89"/>
  <c r="BQ17" i="89" s="1"/>
  <c r="AG17" i="89"/>
  <c r="BP17" i="89"/>
  <c r="W17" i="89" a="1"/>
  <c r="W17" i="89" s="1"/>
  <c r="V17" i="89" a="1"/>
  <c r="V17" i="89" s="1"/>
  <c r="T17" i="89"/>
  <c r="Q17" i="89"/>
  <c r="N17" i="89"/>
  <c r="BV16" i="89"/>
  <c r="BB16" i="89"/>
  <c r="AZ16" i="89"/>
  <c r="AY16" i="89"/>
  <c r="AW16" i="89"/>
  <c r="AV16" i="89"/>
  <c r="AT16" i="89"/>
  <c r="BE16" i="89" s="1"/>
  <c r="AS16" i="89"/>
  <c r="AR16" i="89"/>
  <c r="AQ16" i="89"/>
  <c r="AP16" i="89"/>
  <c r="AO16" i="89"/>
  <c r="AN16" i="89"/>
  <c r="AM16" i="89"/>
  <c r="AK16" i="89"/>
  <c r="AJ16" i="89"/>
  <c r="AI16" i="89"/>
  <c r="BQ16" i="89" s="1"/>
  <c r="AG16" i="89"/>
  <c r="BP16" i="89"/>
  <c r="W16" i="89" a="1"/>
  <c r="W16" i="89" s="1"/>
  <c r="V16" i="89" a="1"/>
  <c r="V16" i="89" s="1"/>
  <c r="T16" i="89"/>
  <c r="Q16" i="89"/>
  <c r="N16" i="89"/>
  <c r="BV15" i="89"/>
  <c r="BB15" i="89"/>
  <c r="AZ15" i="89"/>
  <c r="AY15" i="89"/>
  <c r="AW15" i="89"/>
  <c r="AV15" i="89"/>
  <c r="AT15" i="89"/>
  <c r="BE15" i="89" s="1"/>
  <c r="AS15" i="89"/>
  <c r="AR15" i="89"/>
  <c r="AQ15" i="89"/>
  <c r="AP15" i="89"/>
  <c r="AO15" i="89"/>
  <c r="AN15" i="89"/>
  <c r="AM15" i="89"/>
  <c r="AK15" i="89"/>
  <c r="AJ15" i="89"/>
  <c r="AI15" i="89"/>
  <c r="BQ15" i="89" s="1"/>
  <c r="AG15" i="89"/>
  <c r="BP15" i="89"/>
  <c r="W15" i="89" a="1"/>
  <c r="W15" i="89" s="1"/>
  <c r="V15" i="89" a="1"/>
  <c r="V15" i="89" s="1"/>
  <c r="T15" i="89"/>
  <c r="Q15" i="89"/>
  <c r="N15" i="89"/>
  <c r="BV14" i="89"/>
  <c r="BB14" i="89"/>
  <c r="AZ14" i="89"/>
  <c r="AY14" i="89"/>
  <c r="AW14" i="89"/>
  <c r="AV14" i="89"/>
  <c r="AT14" i="89"/>
  <c r="AS14" i="89"/>
  <c r="BD14" i="89" s="1"/>
  <c r="BF14" i="89" s="1"/>
  <c r="AR14" i="89"/>
  <c r="AQ14" i="89"/>
  <c r="AP14" i="89"/>
  <c r="AO14" i="89"/>
  <c r="AN14" i="89"/>
  <c r="AM14" i="89"/>
  <c r="AK14" i="89"/>
  <c r="AJ14" i="89"/>
  <c r="AI14" i="89"/>
  <c r="AG14" i="89"/>
  <c r="BP14" i="89"/>
  <c r="W14" i="89" a="1"/>
  <c r="W14" i="89" s="1"/>
  <c r="V14" i="89" a="1"/>
  <c r="V14" i="89" s="1"/>
  <c r="T14" i="89"/>
  <c r="Q14" i="89"/>
  <c r="N14" i="89"/>
  <c r="BV13" i="89"/>
  <c r="BB13" i="89"/>
  <c r="AZ13" i="89"/>
  <c r="AY13" i="89"/>
  <c r="AW13" i="89"/>
  <c r="AV13" i="89"/>
  <c r="AT13" i="89"/>
  <c r="BH13" i="89" s="1" a="1"/>
  <c r="BH13" i="89" s="1"/>
  <c r="AS13" i="89"/>
  <c r="BG13" i="89" s="1" a="1"/>
  <c r="BG13" i="89" s="1"/>
  <c r="AR13" i="89"/>
  <c r="AQ13" i="89"/>
  <c r="AP13" i="89"/>
  <c r="AO13" i="89"/>
  <c r="AN13" i="89"/>
  <c r="AM13" i="89"/>
  <c r="AK13" i="89"/>
  <c r="AJ13" i="89"/>
  <c r="AI13" i="89"/>
  <c r="AG13" i="89"/>
  <c r="BP13" i="89"/>
  <c r="W13" i="89" a="1"/>
  <c r="W13" i="89" s="1"/>
  <c r="V13" i="89" a="1"/>
  <c r="V13" i="89" s="1"/>
  <c r="T13" i="89"/>
  <c r="Q13" i="89"/>
  <c r="N13" i="89"/>
  <c r="BV12" i="89"/>
  <c r="BB12" i="89"/>
  <c r="AZ12" i="89"/>
  <c r="AY12" i="89"/>
  <c r="AW12" i="89"/>
  <c r="AV12" i="89"/>
  <c r="AT12" i="89"/>
  <c r="BE12" i="89" s="1"/>
  <c r="AS12" i="89"/>
  <c r="BD12" i="89" s="1"/>
  <c r="BF12" i="89" s="1"/>
  <c r="AR12" i="89"/>
  <c r="AQ12" i="89"/>
  <c r="AP12" i="89"/>
  <c r="AO12" i="89"/>
  <c r="AN12" i="89"/>
  <c r="AM12" i="89"/>
  <c r="AK12" i="89"/>
  <c r="AJ12" i="89"/>
  <c r="AI12" i="89"/>
  <c r="BP12" i="89"/>
  <c r="W12" i="89" a="1"/>
  <c r="W12" i="89" s="1"/>
  <c r="V12" i="89" a="1"/>
  <c r="V12" i="89" s="1"/>
  <c r="T12" i="89"/>
  <c r="Q12" i="89"/>
  <c r="N12" i="89"/>
  <c r="BV11" i="89"/>
  <c r="BB11" i="89"/>
  <c r="AZ11" i="89"/>
  <c r="AY11" i="89"/>
  <c r="AW11" i="89"/>
  <c r="AV11" i="89"/>
  <c r="AT11" i="89"/>
  <c r="AS11" i="89"/>
  <c r="AR11" i="89"/>
  <c r="AQ11" i="89"/>
  <c r="AP11" i="89"/>
  <c r="AO11" i="89"/>
  <c r="AN11" i="89"/>
  <c r="AM11" i="89"/>
  <c r="AK11" i="89"/>
  <c r="AJ11" i="89"/>
  <c r="AI11" i="89"/>
  <c r="AG11" i="89"/>
  <c r="W11" i="89" a="1"/>
  <c r="W11" i="89" s="1"/>
  <c r="V11" i="89" a="1"/>
  <c r="V11" i="89" s="1"/>
  <c r="T11" i="89"/>
  <c r="Q11" i="89"/>
  <c r="N11" i="89"/>
  <c r="BO10" i="89"/>
  <c r="BM10" i="89"/>
  <c r="BB10" i="89"/>
  <c r="AZ10" i="89"/>
  <c r="AY10" i="89"/>
  <c r="AW10" i="89"/>
  <c r="AV10" i="89"/>
  <c r="AT10" i="89"/>
  <c r="AS10" i="89"/>
  <c r="AR10" i="89"/>
  <c r="AQ10" i="89"/>
  <c r="AP10" i="89"/>
  <c r="AO10" i="89"/>
  <c r="AN10" i="89"/>
  <c r="AM10" i="89"/>
  <c r="AJ10" i="89"/>
  <c r="AI10" i="89"/>
  <c r="W10" i="89" a="1"/>
  <c r="W10" i="89" s="1"/>
  <c r="T10" i="89"/>
  <c r="Q10" i="89"/>
  <c r="N10" i="89"/>
  <c r="X10" i="89" s="1" a="1"/>
  <c r="X10" i="89" s="1"/>
  <c r="AT9" i="89"/>
  <c r="M9" i="89"/>
  <c r="AC15" i="90" l="1"/>
  <c r="K89" i="77" s="1"/>
  <c r="BP10" i="89"/>
  <c r="BU10" i="89" s="1" a="1"/>
  <c r="BU10" i="89" s="1"/>
  <c r="BQ12" i="89"/>
  <c r="K83" i="77" s="1"/>
  <c r="BQ14" i="89"/>
  <c r="K85" i="77" s="1"/>
  <c r="BH11" i="89" a="1"/>
  <c r="BH11" i="89" s="1"/>
  <c r="BE11" i="89"/>
  <c r="BQ11" i="89"/>
  <c r="K82" i="77" s="1"/>
  <c r="BQ13" i="89"/>
  <c r="K84" i="77" s="1"/>
  <c r="BA49" i="89"/>
  <c r="AX47" i="89"/>
  <c r="BW49" i="89"/>
  <c r="BG49" i="89" a="1"/>
  <c r="BG49" i="89" s="1"/>
  <c r="BU11" i="89" a="1"/>
  <c r="BU11" i="89" s="1"/>
  <c r="M19" i="90"/>
  <c r="AF19" i="90" s="1"/>
  <c r="M42" i="90"/>
  <c r="AE42" i="90" s="1" a="1"/>
  <c r="AE42" i="90" s="1"/>
  <c r="M31" i="90"/>
  <c r="AF31" i="90" s="1"/>
  <c r="M32" i="90"/>
  <c r="M45" i="90"/>
  <c r="V47" i="90"/>
  <c r="V19" i="90"/>
  <c r="M41" i="90"/>
  <c r="AE41" i="90" s="1" a="1"/>
  <c r="AE41" i="90" s="1"/>
  <c r="M29" i="90"/>
  <c r="AF29" i="90" s="1"/>
  <c r="M44" i="90"/>
  <c r="AE44" i="90" s="1" a="1"/>
  <c r="AE44" i="90" s="1"/>
  <c r="M28" i="90"/>
  <c r="AF28" i="90" s="1"/>
  <c r="M25" i="90"/>
  <c r="AE25" i="90" s="1" a="1"/>
  <c r="AE25" i="90" s="1"/>
  <c r="M48" i="90"/>
  <c r="AF48" i="90" s="1"/>
  <c r="M13" i="90"/>
  <c r="M35" i="90"/>
  <c r="M51" i="90"/>
  <c r="M22" i="90"/>
  <c r="AF22" i="90" s="1"/>
  <c r="M38" i="90"/>
  <c r="AF38" i="90" s="1"/>
  <c r="V28" i="90"/>
  <c r="M34" i="90"/>
  <c r="AF34" i="90" s="1"/>
  <c r="V42" i="90"/>
  <c r="V44" i="90"/>
  <c r="S53" i="90"/>
  <c r="M18" i="90"/>
  <c r="AF18" i="90" s="1"/>
  <c r="M15" i="90"/>
  <c r="AF15" i="90" s="1"/>
  <c r="M16" i="90"/>
  <c r="AF16" i="90" s="1"/>
  <c r="V35" i="90"/>
  <c r="V51" i="90"/>
  <c r="M27" i="90"/>
  <c r="AF27" i="90" s="1"/>
  <c r="M43" i="90"/>
  <c r="AF43" i="90" s="1"/>
  <c r="M26" i="90"/>
  <c r="AE26" i="90" s="1" a="1"/>
  <c r="AE26" i="90" s="1"/>
  <c r="X25" i="89" a="1"/>
  <c r="X25" i="89" s="1"/>
  <c r="X47" i="89" a="1"/>
  <c r="X47" i="89" s="1"/>
  <c r="X49" i="89" a="1"/>
  <c r="X49" i="89" s="1"/>
  <c r="AX28" i="89"/>
  <c r="AX36" i="89"/>
  <c r="AX27" i="89"/>
  <c r="BU20" i="89" a="1"/>
  <c r="BU20" i="89" s="1"/>
  <c r="BG36" i="89" a="1"/>
  <c r="BG36" i="89" s="1"/>
  <c r="AX34" i="89"/>
  <c r="BW30" i="89"/>
  <c r="BA34" i="89"/>
  <c r="X38" i="89" a="1"/>
  <c r="X38" i="89" s="1"/>
  <c r="BU34" i="89" a="1"/>
  <c r="BU34" i="89" s="1"/>
  <c r="AX44" i="89"/>
  <c r="AX23" i="89"/>
  <c r="BG38" i="89" a="1"/>
  <c r="BG38" i="89" s="1"/>
  <c r="BU19" i="89" a="1"/>
  <c r="BU19" i="89" s="1"/>
  <c r="BU35" i="89" a="1"/>
  <c r="BU35" i="89" s="1"/>
  <c r="AX39" i="89"/>
  <c r="AX41" i="89"/>
  <c r="X28" i="89" a="1"/>
  <c r="X28" i="89" s="1"/>
  <c r="AX14" i="89"/>
  <c r="AX20" i="89"/>
  <c r="AX26" i="89"/>
  <c r="AU42" i="89"/>
  <c r="BI42" i="89" s="1" a="1"/>
  <c r="BI42" i="89" s="1"/>
  <c r="BA42" i="89"/>
  <c r="BU25" i="89" a="1"/>
  <c r="BU25" i="89" s="1"/>
  <c r="AX31" i="89"/>
  <c r="AX35" i="89"/>
  <c r="BE42" i="89"/>
  <c r="BE25" i="89"/>
  <c r="BG44" i="89" a="1"/>
  <c r="BG44" i="89" s="1"/>
  <c r="BA35" i="89"/>
  <c r="AX11" i="89"/>
  <c r="AX12" i="89"/>
  <c r="BW25" i="89"/>
  <c r="AX24" i="89"/>
  <c r="BA37" i="89"/>
  <c r="BA24" i="89"/>
  <c r="AU11" i="89"/>
  <c r="BI11" i="89" s="1" a="1"/>
  <c r="BI11" i="89" s="1"/>
  <c r="X15" i="89" a="1"/>
  <c r="X15" i="89" s="1"/>
  <c r="BG20" i="89" a="1"/>
  <c r="BG20" i="89" s="1"/>
  <c r="BU26" i="89" a="1"/>
  <c r="BU26" i="89" s="1"/>
  <c r="X29" i="89" a="1"/>
  <c r="X29" i="89" s="1"/>
  <c r="BU16" i="89" a="1"/>
  <c r="BU16" i="89" s="1"/>
  <c r="X46" i="89" a="1"/>
  <c r="X46" i="89" s="1"/>
  <c r="BH18" i="89" a="1"/>
  <c r="BH18" i="89" s="1"/>
  <c r="BW18" i="89" s="1"/>
  <c r="BH27" i="89" a="1"/>
  <c r="BH27" i="89" s="1"/>
  <c r="BW27" i="89" s="1"/>
  <c r="BA29" i="89"/>
  <c r="AX48" i="89"/>
  <c r="AU44" i="89"/>
  <c r="BI44" i="89" s="1" a="1"/>
  <c r="BI44" i="89" s="1"/>
  <c r="BW46" i="89"/>
  <c r="BD24" i="89"/>
  <c r="BF24" i="89" s="1"/>
  <c r="BA16" i="89"/>
  <c r="AU32" i="89"/>
  <c r="BI32" i="89" s="1" a="1"/>
  <c r="BI32" i="89" s="1"/>
  <c r="BW41" i="89"/>
  <c r="AX43" i="89"/>
  <c r="X45" i="89" a="1"/>
  <c r="X45" i="89" s="1"/>
  <c r="AU45" i="89"/>
  <c r="BI45" i="89" s="1" a="1"/>
  <c r="BI45" i="89" s="1"/>
  <c r="AX42" i="89"/>
  <c r="BH15" i="89" a="1"/>
  <c r="BH15" i="89" s="1"/>
  <c r="BW15" i="89" s="1"/>
  <c r="AU30" i="89"/>
  <c r="BI30" i="89" s="1" a="1"/>
  <c r="BI30" i="89" s="1"/>
  <c r="X14" i="89" a="1"/>
  <c r="X14" i="89" s="1"/>
  <c r="BA19" i="89"/>
  <c r="BA43" i="89"/>
  <c r="BW33" i="89"/>
  <c r="BG41" i="89" a="1"/>
  <c r="BG41" i="89" s="1"/>
  <c r="X20" i="89" a="1"/>
  <c r="X20" i="89" s="1"/>
  <c r="BG28" i="89" a="1"/>
  <c r="BG28" i="89" s="1"/>
  <c r="BU27" i="89" a="1"/>
  <c r="BU27" i="89" s="1"/>
  <c r="BU12" i="89" a="1"/>
  <c r="BU12" i="89" s="1"/>
  <c r="BA12" i="89"/>
  <c r="BA38" i="89"/>
  <c r="X23" i="89" a="1"/>
  <c r="X23" i="89" s="1"/>
  <c r="X35" i="89" a="1"/>
  <c r="X35" i="89" s="1"/>
  <c r="AU35" i="89"/>
  <c r="BI35" i="89" s="1" a="1"/>
  <c r="BI35" i="89" s="1"/>
  <c r="BU18" i="89" a="1"/>
  <c r="BU18" i="89" s="1"/>
  <c r="BU21" i="89" a="1"/>
  <c r="BU21" i="89" s="1"/>
  <c r="BA27" i="89"/>
  <c r="BA33" i="89"/>
  <c r="AU43" i="89"/>
  <c r="BI43" i="89" s="1" a="1"/>
  <c r="BI43" i="89" s="1"/>
  <c r="AU46" i="89"/>
  <c r="BI46" i="89" s="1" a="1"/>
  <c r="BI46" i="89" s="1"/>
  <c r="BH10" i="89" a="1"/>
  <c r="BH10" i="89" s="1"/>
  <c r="BW10" i="89" s="1"/>
  <c r="AX15" i="89"/>
  <c r="BU33" i="89" a="1"/>
  <c r="BU33" i="89" s="1"/>
  <c r="X40" i="89" a="1"/>
  <c r="X40" i="89" s="1"/>
  <c r="X12" i="89" a="1"/>
  <c r="X12" i="89" s="1"/>
  <c r="X17" i="89" a="1"/>
  <c r="X17" i="89" s="1"/>
  <c r="AU20" i="89"/>
  <c r="BI20" i="89" s="1" a="1"/>
  <c r="BI20" i="89" s="1"/>
  <c r="BU23" i="89" a="1"/>
  <c r="BU23" i="89" s="1"/>
  <c r="BA23" i="89"/>
  <c r="X37" i="89" a="1"/>
  <c r="X37" i="89" s="1"/>
  <c r="X48" i="89" a="1"/>
  <c r="X48" i="89" s="1"/>
  <c r="BU15" i="89" a="1"/>
  <c r="BU15" i="89" s="1"/>
  <c r="X22" i="89" a="1"/>
  <c r="X22" i="89" s="1"/>
  <c r="X34" i="89" a="1"/>
  <c r="X34" i="89" s="1"/>
  <c r="BA20" i="89"/>
  <c r="BE26" i="89"/>
  <c r="X31" i="89" a="1"/>
  <c r="X31" i="89" s="1"/>
  <c r="AX37" i="89"/>
  <c r="X39" i="89" a="1"/>
  <c r="X39" i="89" s="1"/>
  <c r="BA40" i="89"/>
  <c r="BU43" i="89" a="1"/>
  <c r="BU43" i="89" s="1"/>
  <c r="BA48" i="89"/>
  <c r="BG26" i="89" a="1"/>
  <c r="BG26" i="89" s="1"/>
  <c r="BD32" i="89"/>
  <c r="BF32" i="89" s="1"/>
  <c r="BG35" i="89" a="1"/>
  <c r="BG35" i="89" s="1"/>
  <c r="AX45" i="89"/>
  <c r="BU17" i="89" a="1"/>
  <c r="BU17" i="89" s="1"/>
  <c r="BA17" i="89"/>
  <c r="X19" i="89" a="1"/>
  <c r="X19" i="89" s="1"/>
  <c r="AU19" i="89"/>
  <c r="BI19" i="89" s="1" a="1"/>
  <c r="BI19" i="89" s="1"/>
  <c r="BG32" i="89" a="1"/>
  <c r="BG32" i="89" s="1"/>
  <c r="BW42" i="89"/>
  <c r="BE43" i="89"/>
  <c r="BW45" i="89"/>
  <c r="BA45" i="89"/>
  <c r="BH32" i="89" a="1"/>
  <c r="BH32" i="89" s="1"/>
  <c r="BW32" i="89" s="1"/>
  <c r="AX19" i="89"/>
  <c r="BU22" i="89" a="1"/>
  <c r="BU22" i="89" s="1"/>
  <c r="AU36" i="89"/>
  <c r="BI36" i="89" s="1" a="1"/>
  <c r="BI36" i="89" s="1"/>
  <c r="X44" i="89" a="1"/>
  <c r="X44" i="89" s="1"/>
  <c r="BA31" i="89"/>
  <c r="X36" i="89" a="1"/>
  <c r="X36" i="89" s="1"/>
  <c r="BG10" i="89" a="1"/>
  <c r="BG10" i="89" s="1"/>
  <c r="BA11" i="89"/>
  <c r="BG12" i="89" a="1"/>
  <c r="BG12" i="89" s="1"/>
  <c r="AU18" i="89"/>
  <c r="BI18" i="89" s="1" a="1"/>
  <c r="BI18" i="89" s="1"/>
  <c r="X21" i="89" a="1"/>
  <c r="X21" i="89" s="1"/>
  <c r="AU27" i="89"/>
  <c r="BI27" i="89" s="1" a="1"/>
  <c r="BI27" i="89" s="1"/>
  <c r="BA28" i="89"/>
  <c r="BU31" i="89" a="1"/>
  <c r="BU31" i="89" s="1"/>
  <c r="BD34" i="89"/>
  <c r="BF34" i="89" s="1"/>
  <c r="BA39" i="89"/>
  <c r="BE10" i="89"/>
  <c r="X30" i="89" a="1"/>
  <c r="X30" i="89" s="1"/>
  <c r="BG42" i="89" a="1"/>
  <c r="BG42" i="89" s="1"/>
  <c r="BD10" i="89"/>
  <c r="X13" i="89" a="1"/>
  <c r="X13" i="89" s="1"/>
  <c r="AX18" i="89"/>
  <c r="AX33" i="89"/>
  <c r="BA36" i="89"/>
  <c r="BU49" i="89" a="1"/>
  <c r="BU49" i="89" s="1"/>
  <c r="BU41" i="89" a="1"/>
  <c r="BU41" i="89" s="1"/>
  <c r="BH17" i="89" a="1"/>
  <c r="BH17" i="89" s="1"/>
  <c r="BW17" i="89" s="1"/>
  <c r="BA15" i="89"/>
  <c r="BH16" i="89" a="1"/>
  <c r="BH16" i="89" s="1"/>
  <c r="BW16" i="89" s="1"/>
  <c r="BA21" i="89"/>
  <c r="X24" i="89" a="1"/>
  <c r="X24" i="89" s="1"/>
  <c r="AU37" i="89"/>
  <c r="BI37" i="89" s="1" a="1"/>
  <c r="BI37" i="89" s="1"/>
  <c r="X41" i="89" a="1"/>
  <c r="X41" i="89" s="1"/>
  <c r="BA44" i="89"/>
  <c r="BU48" i="89" a="1"/>
  <c r="BU48" i="89" s="1"/>
  <c r="BU38" i="89" a="1"/>
  <c r="BU38" i="89" s="1"/>
  <c r="BG11" i="89" a="1"/>
  <c r="BG11" i="89" s="1"/>
  <c r="X18" i="89" a="1"/>
  <c r="X18" i="89" s="1"/>
  <c r="BA25" i="89"/>
  <c r="BG27" i="89" a="1"/>
  <c r="BG27" i="89" s="1"/>
  <c r="AU34" i="89"/>
  <c r="BI34" i="89" s="1" a="1"/>
  <c r="BI34" i="89" s="1"/>
  <c r="AU40" i="89"/>
  <c r="BI40" i="89" s="1" a="1"/>
  <c r="BI40" i="89" s="1"/>
  <c r="BU42" i="89" a="1"/>
  <c r="BU42" i="89" s="1"/>
  <c r="BD43" i="89"/>
  <c r="BF43" i="89" s="1"/>
  <c r="BE44" i="89"/>
  <c r="BD48" i="89"/>
  <c r="BF48" i="89" s="1"/>
  <c r="AU13" i="89"/>
  <c r="BI13" i="89" s="1" a="1"/>
  <c r="BI13" i="89" s="1"/>
  <c r="BA14" i="89"/>
  <c r="AX17" i="89"/>
  <c r="BG25" i="89" a="1"/>
  <c r="BG25" i="89" s="1"/>
  <c r="AU29" i="89"/>
  <c r="BI29" i="89" s="1" a="1"/>
  <c r="BI29" i="89" s="1"/>
  <c r="AX30" i="89"/>
  <c r="BU37" i="89" a="1"/>
  <c r="BU37" i="89" s="1"/>
  <c r="AX40" i="89"/>
  <c r="BA41" i="89"/>
  <c r="BD42" i="89"/>
  <c r="BF42" i="89" s="1"/>
  <c r="BU14" i="89" a="1"/>
  <c r="BU14" i="89" s="1"/>
  <c r="BA18" i="89"/>
  <c r="X33" i="89" a="1"/>
  <c r="X33" i="89" s="1"/>
  <c r="BU47" i="89" a="1"/>
  <c r="BU47" i="89" s="1"/>
  <c r="BA47" i="89"/>
  <c r="BH48" i="89" a="1"/>
  <c r="BH48" i="89" s="1"/>
  <c r="BW48" i="89" s="1"/>
  <c r="AX13" i="89"/>
  <c r="AU16" i="89"/>
  <c r="BI16" i="89" s="1" a="1"/>
  <c r="BI16" i="89" s="1"/>
  <c r="AX29" i="89"/>
  <c r="BU30" i="89" a="1"/>
  <c r="BU30" i="89" s="1"/>
  <c r="BA30" i="89"/>
  <c r="BW34" i="89"/>
  <c r="BE41" i="89"/>
  <c r="AX46" i="89"/>
  <c r="BG14" i="89" a="1"/>
  <c r="BG14" i="89" s="1"/>
  <c r="BU40" i="89" a="1"/>
  <c r="BU40" i="89" s="1"/>
  <c r="X11" i="89" a="1"/>
  <c r="X11" i="89" s="1"/>
  <c r="AU12" i="89"/>
  <c r="BI12" i="89" s="1" a="1"/>
  <c r="BI12" i="89" s="1"/>
  <c r="BA13" i="89"/>
  <c r="AX16" i="89"/>
  <c r="BD18" i="89"/>
  <c r="BF18" i="89" s="1"/>
  <c r="BG19" i="89" a="1"/>
  <c r="BG19" i="89" s="1"/>
  <c r="BH24" i="89" a="1"/>
  <c r="BH24" i="89" s="1"/>
  <c r="BW24" i="89" s="1"/>
  <c r="AU28" i="89"/>
  <c r="BI28" i="89" s="1" a="1"/>
  <c r="BI28" i="89" s="1"/>
  <c r="BH19" i="89" a="1"/>
  <c r="BH19" i="89" s="1"/>
  <c r="BW19" i="89" s="1"/>
  <c r="AX22" i="89"/>
  <c r="BU24" i="89" a="1"/>
  <c r="BU24" i="89" s="1"/>
  <c r="AU26" i="89"/>
  <c r="BI26" i="89" s="1" a="1"/>
  <c r="BI26" i="89" s="1"/>
  <c r="X27" i="89" a="1"/>
  <c r="X27" i="89" s="1"/>
  <c r="BU29" i="89" a="1"/>
  <c r="BU29" i="89" s="1"/>
  <c r="BG30" i="89" a="1"/>
  <c r="BG30" i="89" s="1"/>
  <c r="BD40" i="89"/>
  <c r="BF40" i="89" s="1"/>
  <c r="BU46" i="89" a="1"/>
  <c r="BU46" i="89" s="1"/>
  <c r="BA46" i="89"/>
  <c r="BG18" i="89" a="1"/>
  <c r="BG18" i="89" s="1"/>
  <c r="BH23" i="89" a="1"/>
  <c r="BH23" i="89" s="1"/>
  <c r="BW23" i="89" s="1"/>
  <c r="X26" i="89" a="1"/>
  <c r="X26" i="89" s="1"/>
  <c r="AX32" i="89"/>
  <c r="BE36" i="89"/>
  <c r="X43" i="89" a="1"/>
  <c r="X43" i="89" s="1"/>
  <c r="AU48" i="89"/>
  <c r="BI48" i="89" s="1" a="1"/>
  <c r="BI48" i="89" s="1"/>
  <c r="AX49" i="89"/>
  <c r="BG17" i="89" a="1"/>
  <c r="BG17" i="89" s="1"/>
  <c r="AU21" i="89"/>
  <c r="BI21" i="89" s="1" a="1"/>
  <c r="BI21" i="89" s="1"/>
  <c r="BA22" i="89"/>
  <c r="BE34" i="89"/>
  <c r="BE35" i="89"/>
  <c r="BE33" i="89"/>
  <c r="BH40" i="89" a="1"/>
  <c r="BH40" i="89" s="1"/>
  <c r="BW40" i="89" s="1"/>
  <c r="BD16" i="89"/>
  <c r="BF16" i="89" s="1"/>
  <c r="BW26" i="89"/>
  <c r="BU32" i="89" a="1"/>
  <c r="BU32" i="89" s="1"/>
  <c r="BA32" i="89"/>
  <c r="BG33" i="89" a="1"/>
  <c r="BG33" i="89" s="1"/>
  <c r="BH35" i="89" a="1"/>
  <c r="BH35" i="89" s="1"/>
  <c r="AU38" i="89"/>
  <c r="BI38" i="89" s="1" a="1"/>
  <c r="BI38" i="89" s="1"/>
  <c r="BU39" i="89" a="1"/>
  <c r="BU39" i="89" s="1"/>
  <c r="X42" i="89" a="1"/>
  <c r="X42" i="89" s="1"/>
  <c r="BX42" i="89" s="1"/>
  <c r="BU45" i="89" a="1"/>
  <c r="BU45" i="89" s="1"/>
  <c r="BE19" i="89"/>
  <c r="BA10" i="89"/>
  <c r="BG16" i="89" a="1"/>
  <c r="BG16" i="89" s="1"/>
  <c r="BG22" i="89" a="1"/>
  <c r="BG22" i="89" s="1"/>
  <c r="AU24" i="89"/>
  <c r="BI24" i="89" s="1" a="1"/>
  <c r="BI24" i="89" s="1"/>
  <c r="AX25" i="89"/>
  <c r="BA26" i="89"/>
  <c r="AX38" i="89"/>
  <c r="AF35" i="90"/>
  <c r="AE35" i="90" a="1"/>
  <c r="AE35" i="90" s="1"/>
  <c r="AF51" i="90"/>
  <c r="AE51" i="90" a="1"/>
  <c r="AE51" i="90" s="1"/>
  <c r="X53" i="90"/>
  <c r="Z53" i="90"/>
  <c r="AE31" i="90" a="1"/>
  <c r="AE31" i="90" s="1"/>
  <c r="AF32" i="90"/>
  <c r="AE32" i="90" a="1"/>
  <c r="AE32" i="90" s="1"/>
  <c r="AF47" i="90"/>
  <c r="AE47" i="90" a="1"/>
  <c r="AE47" i="90" s="1"/>
  <c r="AE45" i="90" a="1"/>
  <c r="AE45" i="90" s="1"/>
  <c r="AF45" i="90"/>
  <c r="M20" i="90"/>
  <c r="M36" i="90"/>
  <c r="M52" i="90"/>
  <c r="M17" i="90"/>
  <c r="M33" i="90"/>
  <c r="M49" i="90"/>
  <c r="M39" i="90"/>
  <c r="AF42" i="90"/>
  <c r="M14" i="90"/>
  <c r="M30" i="90"/>
  <c r="M46" i="90"/>
  <c r="V16" i="90"/>
  <c r="V32" i="90"/>
  <c r="V48" i="90"/>
  <c r="H53" i="90"/>
  <c r="V13" i="90"/>
  <c r="M24" i="90"/>
  <c r="V29" i="90"/>
  <c r="M40" i="90"/>
  <c r="V45" i="90"/>
  <c r="J53" i="90"/>
  <c r="AE18" i="90" a="1"/>
  <c r="AE18" i="90" s="1"/>
  <c r="M21" i="90"/>
  <c r="M37" i="90"/>
  <c r="L53" i="90"/>
  <c r="M50" i="90"/>
  <c r="M23" i="90"/>
  <c r="AE22" i="90" a="1"/>
  <c r="AE22" i="90" s="1"/>
  <c r="BW21" i="89"/>
  <c r="AX21" i="89"/>
  <c r="X16" i="89" a="1"/>
  <c r="X16" i="89" s="1"/>
  <c r="BW38" i="89"/>
  <c r="BW37" i="89"/>
  <c r="BW44" i="89"/>
  <c r="BG15" i="89" a="1"/>
  <c r="BG15" i="89" s="1"/>
  <c r="BD15" i="89"/>
  <c r="BF15" i="89" s="1"/>
  <c r="AU15" i="89"/>
  <c r="BI15" i="89" s="1" a="1"/>
  <c r="BI15" i="89" s="1"/>
  <c r="BU44" i="89" a="1"/>
  <c r="BU44" i="89" s="1"/>
  <c r="BH14" i="89" a="1"/>
  <c r="BH14" i="89" s="1"/>
  <c r="BW14" i="89" s="1"/>
  <c r="BE14" i="89"/>
  <c r="BW29" i="89"/>
  <c r="AU14" i="89"/>
  <c r="BI14" i="89" s="1" a="1"/>
  <c r="BI14" i="89" s="1"/>
  <c r="BU28" i="89" a="1"/>
  <c r="BU28" i="89" s="1"/>
  <c r="X32" i="89" a="1"/>
  <c r="X32" i="89" s="1"/>
  <c r="BU36" i="89" a="1"/>
  <c r="BU36" i="89" s="1"/>
  <c r="BG23" i="89" a="1"/>
  <c r="BG23" i="89" s="1"/>
  <c r="BD23" i="89"/>
  <c r="BF23" i="89" s="1"/>
  <c r="AU23" i="89"/>
  <c r="BI23" i="89" s="1" a="1"/>
  <c r="BI23" i="89" s="1"/>
  <c r="BG47" i="89" a="1"/>
  <c r="BG47" i="89" s="1"/>
  <c r="BD47" i="89"/>
  <c r="BF47" i="89" s="1"/>
  <c r="AU47" i="89"/>
  <c r="BI47" i="89" s="1" a="1"/>
  <c r="BI47" i="89" s="1"/>
  <c r="V50" i="89"/>
  <c r="BW11" i="89"/>
  <c r="BH22" i="89" a="1"/>
  <c r="BH22" i="89" s="1"/>
  <c r="BW22" i="89" s="1"/>
  <c r="BE22" i="89"/>
  <c r="BG39" i="89" a="1"/>
  <c r="BG39" i="89" s="1"/>
  <c r="BD39" i="89"/>
  <c r="BF39" i="89" s="1"/>
  <c r="AU39" i="89"/>
  <c r="BI39" i="89" s="1" a="1"/>
  <c r="BI39" i="89" s="1"/>
  <c r="BW13" i="89"/>
  <c r="W50" i="89"/>
  <c r="AU22" i="89"/>
  <c r="BI22" i="89" s="1" a="1"/>
  <c r="BI22" i="89" s="1"/>
  <c r="BG31" i="89" a="1"/>
  <c r="BG31" i="89" s="1"/>
  <c r="BD31" i="89"/>
  <c r="BF31" i="89" s="1"/>
  <c r="AU31" i="89"/>
  <c r="BI31" i="89" s="1" a="1"/>
  <c r="BI31" i="89" s="1"/>
  <c r="AF50" i="89"/>
  <c r="BU13" i="89" a="1"/>
  <c r="BU13" i="89" s="1"/>
  <c r="BH31" i="89" a="1"/>
  <c r="BH31" i="89" s="1"/>
  <c r="BW31" i="89" s="1"/>
  <c r="BH39" i="89" a="1"/>
  <c r="BH39" i="89" s="1"/>
  <c r="BW39" i="89" s="1"/>
  <c r="BH47" i="89" a="1"/>
  <c r="BH47" i="89" s="1"/>
  <c r="BW47" i="89" s="1"/>
  <c r="BE49" i="89"/>
  <c r="BD11" i="89"/>
  <c r="BF11" i="89" s="1"/>
  <c r="AU10" i="89"/>
  <c r="BD13" i="89"/>
  <c r="BF13" i="89" s="1"/>
  <c r="AU17" i="89"/>
  <c r="BI17" i="89" s="1" a="1"/>
  <c r="BI17" i="89" s="1"/>
  <c r="BD21" i="89"/>
  <c r="BF21" i="89" s="1"/>
  <c r="AU25" i="89"/>
  <c r="BI25" i="89" s="1" a="1"/>
  <c r="BI25" i="89" s="1"/>
  <c r="BD29" i="89"/>
  <c r="BF29" i="89" s="1"/>
  <c r="AU33" i="89"/>
  <c r="BI33" i="89" s="1" a="1"/>
  <c r="BI33" i="89" s="1"/>
  <c r="BD37" i="89"/>
  <c r="BF37" i="89" s="1"/>
  <c r="AU41" i="89"/>
  <c r="BI41" i="89" s="1" a="1"/>
  <c r="BI41" i="89" s="1"/>
  <c r="BD45" i="89"/>
  <c r="BF45" i="89" s="1"/>
  <c r="AU49" i="89"/>
  <c r="BI49" i="89" s="1" a="1"/>
  <c r="BI49" i="89" s="1"/>
  <c r="BE13" i="89"/>
  <c r="BE21" i="89"/>
  <c r="BE29" i="89"/>
  <c r="BE37" i="89"/>
  <c r="BH43" i="89" a="1"/>
  <c r="BH43" i="89" s="1"/>
  <c r="BW43" i="89" s="1"/>
  <c r="BE45" i="89"/>
  <c r="BD46" i="89"/>
  <c r="BF46" i="89" s="1"/>
  <c r="BH12" i="89" a="1"/>
  <c r="BH12" i="89" s="1"/>
  <c r="BH20" i="89" a="1"/>
  <c r="BH20" i="89" s="1"/>
  <c r="BH28" i="89" a="1"/>
  <c r="BH28" i="89" s="1"/>
  <c r="BE30" i="89"/>
  <c r="BH36" i="89" a="1"/>
  <c r="BH36" i="89" s="1"/>
  <c r="BG37" i="89" a="1"/>
  <c r="BG37" i="89" s="1"/>
  <c r="BE38" i="89"/>
  <c r="BG45" i="89" a="1"/>
  <c r="BG45" i="89" s="1"/>
  <c r="BE46" i="89"/>
  <c r="AX10" i="89"/>
  <c r="AE19" i="90" l="1" a="1"/>
  <c r="AE19" i="90" s="1"/>
  <c r="BV10" i="89"/>
  <c r="BV50" i="89" s="1"/>
  <c r="BX47" i="89"/>
  <c r="BX49" i="89"/>
  <c r="BX21" i="89"/>
  <c r="BX15" i="89"/>
  <c r="AC53" i="90"/>
  <c r="K87" i="77"/>
  <c r="BX25" i="89"/>
  <c r="AG50" i="89"/>
  <c r="AE29" i="90" a="1"/>
  <c r="AE29" i="90" s="1"/>
  <c r="AE28" i="90" a="1"/>
  <c r="AE28" i="90" s="1"/>
  <c r="AF44" i="90"/>
  <c r="AE38" i="90" a="1"/>
  <c r="AE38" i="90" s="1"/>
  <c r="AE43" i="90" a="1"/>
  <c r="AE43" i="90" s="1"/>
  <c r="AE27" i="90" a="1"/>
  <c r="AE27" i="90" s="1"/>
  <c r="AE48" i="90" a="1"/>
  <c r="AE48" i="90" s="1"/>
  <c r="AF41" i="90"/>
  <c r="AE16" i="90" a="1"/>
  <c r="AE16" i="90" s="1"/>
  <c r="AE15" i="90" a="1"/>
  <c r="AE15" i="90" s="1"/>
  <c r="AF25" i="90"/>
  <c r="AE34" i="90" a="1"/>
  <c r="AE34" i="90" s="1"/>
  <c r="AF26" i="90"/>
  <c r="BX46" i="89"/>
  <c r="BX45" i="89"/>
  <c r="BX29" i="89"/>
  <c r="BX38" i="89"/>
  <c r="BS42" i="89" a="1"/>
  <c r="BS42" i="89" s="1"/>
  <c r="BX14" i="89"/>
  <c r="BX48" i="89"/>
  <c r="BX30" i="89"/>
  <c r="BT18" i="89" a="1"/>
  <c r="BT18" i="89" s="1"/>
  <c r="BT45" i="89" a="1"/>
  <c r="BT45" i="89" s="1"/>
  <c r="BX23" i="89"/>
  <c r="BS27" i="89" a="1"/>
  <c r="BS27" i="89" s="1"/>
  <c r="BX22" i="89"/>
  <c r="BT46" i="89" a="1"/>
  <c r="BT46" i="89" s="1"/>
  <c r="BT44" i="89" a="1"/>
  <c r="BT44" i="89" s="1"/>
  <c r="BT35" i="89" a="1"/>
  <c r="BT35" i="89" s="1"/>
  <c r="BX37" i="89"/>
  <c r="BX13" i="89"/>
  <c r="BX16" i="89"/>
  <c r="BS44" i="89" a="1"/>
  <c r="BS44" i="89" s="1"/>
  <c r="BX18" i="89"/>
  <c r="BX44" i="89"/>
  <c r="BX43" i="89"/>
  <c r="BX28" i="89"/>
  <c r="BS30" i="89" a="1"/>
  <c r="BS30" i="89" s="1"/>
  <c r="BS34" i="89" a="1"/>
  <c r="BS34" i="89" s="1"/>
  <c r="BX40" i="89"/>
  <c r="BX33" i="89"/>
  <c r="BT21" i="89" a="1"/>
  <c r="BT21" i="89" s="1"/>
  <c r="BT27" i="89" a="1"/>
  <c r="BT27" i="89" s="1"/>
  <c r="BT42" i="89" a="1"/>
  <c r="BT42" i="89" s="1"/>
  <c r="BT29" i="89" a="1"/>
  <c r="BT29" i="89" s="1"/>
  <c r="BX11" i="89"/>
  <c r="BS21" i="89" a="1"/>
  <c r="BS21" i="89" s="1"/>
  <c r="BS46" i="89" a="1"/>
  <c r="BS46" i="89" s="1"/>
  <c r="BX39" i="89"/>
  <c r="BX36" i="89"/>
  <c r="BS26" i="89" a="1"/>
  <c r="BS26" i="89" s="1"/>
  <c r="BX20" i="89"/>
  <c r="BX17" i="89"/>
  <c r="BX12" i="89"/>
  <c r="BS32" i="89" a="1"/>
  <c r="BS32" i="89" s="1"/>
  <c r="BX32" i="89"/>
  <c r="BT19" i="89" a="1"/>
  <c r="BT19" i="89" s="1"/>
  <c r="BT48" i="89" a="1"/>
  <c r="BT48" i="89" s="1"/>
  <c r="BX26" i="89"/>
  <c r="BS18" i="89" a="1"/>
  <c r="BS18" i="89" s="1"/>
  <c r="BT38" i="89" a="1"/>
  <c r="BT38" i="89" s="1"/>
  <c r="BS24" i="89" a="1"/>
  <c r="BS24" i="89" s="1"/>
  <c r="BS16" i="89" a="1"/>
  <c r="BS16" i="89" s="1"/>
  <c r="BT30" i="89" a="1"/>
  <c r="BT30" i="89" s="1"/>
  <c r="BS38" i="89" a="1"/>
  <c r="BS38" i="89" s="1"/>
  <c r="BS45" i="89" a="1"/>
  <c r="BS45" i="89" s="1"/>
  <c r="BX41" i="89"/>
  <c r="BS40" i="89" a="1"/>
  <c r="BS40" i="89" s="1"/>
  <c r="BX34" i="89"/>
  <c r="BT36" i="89" a="1"/>
  <c r="BT36" i="89" s="1"/>
  <c r="BT28" i="89" a="1"/>
  <c r="BT28" i="89" s="1"/>
  <c r="BS29" i="89" a="1"/>
  <c r="BS29" i="89" s="1"/>
  <c r="BT20" i="89" a="1"/>
  <c r="BT20" i="89" s="1"/>
  <c r="BF10" i="89"/>
  <c r="BX35" i="89"/>
  <c r="BS19" i="89" a="1"/>
  <c r="BS19" i="89" s="1"/>
  <c r="BT37" i="89" a="1"/>
  <c r="BT37" i="89" s="1"/>
  <c r="BS37" i="89" a="1"/>
  <c r="BS37" i="89" s="1"/>
  <c r="BT24" i="89" a="1"/>
  <c r="BT24" i="89" s="1"/>
  <c r="BS20" i="89" a="1"/>
  <c r="BS20" i="89" s="1"/>
  <c r="BS48" i="89" a="1"/>
  <c r="BS48" i="89" s="1"/>
  <c r="BT16" i="89" a="1"/>
  <c r="BT16" i="89" s="1"/>
  <c r="BT12" i="89" a="1"/>
  <c r="BT12" i="89" s="1"/>
  <c r="BX31" i="89"/>
  <c r="BX27" i="89"/>
  <c r="BX19" i="89"/>
  <c r="BW20" i="89"/>
  <c r="BS11" i="89" a="1"/>
  <c r="BS11" i="89" s="1"/>
  <c r="BT13" i="89" a="1"/>
  <c r="BT13" i="89" s="1"/>
  <c r="BT11" i="89" a="1"/>
  <c r="BT11" i="89" s="1"/>
  <c r="BT34" i="89" a="1"/>
  <c r="BT34" i="89" s="1"/>
  <c r="BS35" i="89" a="1"/>
  <c r="BS35" i="89" s="1"/>
  <c r="BS36" i="89" a="1"/>
  <c r="BS36" i="89" s="1"/>
  <c r="BX24" i="89"/>
  <c r="BH50" i="89"/>
  <c r="BT40" i="89" a="1"/>
  <c r="BT40" i="89" s="1"/>
  <c r="BW36" i="89"/>
  <c r="BG50" i="89"/>
  <c r="BT26" i="89" a="1"/>
  <c r="BT26" i="89" s="1"/>
  <c r="BW35" i="89"/>
  <c r="BS13" i="89" a="1"/>
  <c r="BS13" i="89" s="1"/>
  <c r="AE20" i="90" a="1"/>
  <c r="AE20" i="90" s="1"/>
  <c r="AF20" i="90"/>
  <c r="V53" i="90"/>
  <c r="AF30" i="90"/>
  <c r="AE30" i="90" a="1"/>
  <c r="AE30" i="90" s="1"/>
  <c r="AF37" i="90"/>
  <c r="AE37" i="90" a="1"/>
  <c r="AE37" i="90" s="1"/>
  <c r="AF14" i="90"/>
  <c r="AE14" i="90" a="1"/>
  <c r="AE14" i="90" s="1"/>
  <c r="AE23" i="90" a="1"/>
  <c r="AE23" i="90" s="1"/>
  <c r="AF23" i="90"/>
  <c r="AF50" i="90"/>
  <c r="AE50" i="90" a="1"/>
  <c r="AE50" i="90" s="1"/>
  <c r="AF46" i="90"/>
  <c r="AE46" i="90" a="1"/>
  <c r="AE46" i="90" s="1"/>
  <c r="AF21" i="90"/>
  <c r="AE21" i="90" a="1"/>
  <c r="AE21" i="90" s="1"/>
  <c r="AE39" i="90" a="1"/>
  <c r="AE39" i="90" s="1"/>
  <c r="AF39" i="90"/>
  <c r="AF49" i="90"/>
  <c r="AE49" i="90" a="1"/>
  <c r="AE49" i="90" s="1"/>
  <c r="AF24" i="90"/>
  <c r="AE24" i="90" a="1"/>
  <c r="AE24" i="90" s="1"/>
  <c r="AF33" i="90"/>
  <c r="AE33" i="90" a="1"/>
  <c r="AE33" i="90" s="1"/>
  <c r="M53" i="90"/>
  <c r="J8" i="84" s="1"/>
  <c r="H106" i="84" s="1"/>
  <c r="AF17" i="90"/>
  <c r="AE17" i="90" a="1"/>
  <c r="AE17" i="90" s="1"/>
  <c r="AF40" i="90"/>
  <c r="AE40" i="90" a="1"/>
  <c r="AE40" i="90" s="1"/>
  <c r="AF52" i="90"/>
  <c r="AE52" i="90" a="1"/>
  <c r="AE52" i="90" s="1"/>
  <c r="AE36" i="90" a="1"/>
  <c r="AE36" i="90" s="1"/>
  <c r="AF36" i="90"/>
  <c r="BT14" i="89" a="1"/>
  <c r="BT14" i="89" s="1"/>
  <c r="BS14" i="89" a="1"/>
  <c r="BS14" i="89" s="1"/>
  <c r="BT22" i="89" a="1"/>
  <c r="BT22" i="89" s="1"/>
  <c r="BS22" i="89" a="1"/>
  <c r="BS22" i="89" s="1"/>
  <c r="BT43" i="89" a="1"/>
  <c r="BT43" i="89" s="1"/>
  <c r="BS43" i="89" a="1"/>
  <c r="BS43" i="89" s="1"/>
  <c r="X50" i="89"/>
  <c r="BW28" i="89"/>
  <c r="BS28" i="89" a="1"/>
  <c r="BS28" i="89" s="1"/>
  <c r="BT33" i="89" a="1"/>
  <c r="BT33" i="89" s="1"/>
  <c r="BS33" i="89" a="1"/>
  <c r="BS33" i="89" s="1"/>
  <c r="BW12" i="89"/>
  <c r="BT31" i="89" a="1"/>
  <c r="BT31" i="89" s="1"/>
  <c r="BS31" i="89" a="1"/>
  <c r="BS31" i="89" s="1"/>
  <c r="BT15" i="89" a="1"/>
  <c r="BT15" i="89" s="1"/>
  <c r="BS15" i="89" a="1"/>
  <c r="BS15" i="89" s="1"/>
  <c r="BS12" i="89" a="1"/>
  <c r="BS12" i="89" s="1"/>
  <c r="BT32" i="89" a="1"/>
  <c r="BT32" i="89" s="1"/>
  <c r="BT47" i="89" a="1"/>
  <c r="BT47" i="89" s="1"/>
  <c r="BS47" i="89" a="1"/>
  <c r="BS47" i="89" s="1"/>
  <c r="BT41" i="89" a="1"/>
  <c r="BT41" i="89" s="1"/>
  <c r="BS41" i="89" a="1"/>
  <c r="BS41" i="89" s="1"/>
  <c r="BP50" i="89"/>
  <c r="BT39" i="89" a="1"/>
  <c r="BT39" i="89" s="1"/>
  <c r="BS39" i="89" a="1"/>
  <c r="BS39" i="89" s="1"/>
  <c r="BT49" i="89" a="1"/>
  <c r="BT49" i="89" s="1"/>
  <c r="BS49" i="89" a="1"/>
  <c r="BS49" i="89" s="1"/>
  <c r="BT23" i="89" a="1"/>
  <c r="BT23" i="89" s="1"/>
  <c r="BS23" i="89" a="1"/>
  <c r="BS23" i="89" s="1"/>
  <c r="BT25" i="89" a="1"/>
  <c r="BT25" i="89" s="1"/>
  <c r="BS25" i="89" a="1"/>
  <c r="BS25" i="89" s="1"/>
  <c r="BT17" i="89" a="1"/>
  <c r="BT17" i="89" s="1"/>
  <c r="BS17" i="89" a="1"/>
  <c r="BS17" i="89" s="1"/>
  <c r="BI10" i="89" a="1"/>
  <c r="BI10" i="89" s="1"/>
  <c r="BT10" i="89" l="1" a="1"/>
  <c r="BT10" i="89" s="1"/>
  <c r="BQ10" i="89"/>
  <c r="K81" i="77" s="1"/>
  <c r="I8" i="84"/>
  <c r="G106" i="84" s="1"/>
  <c r="BS10" i="89" a="1"/>
  <c r="BS10" i="89" s="1"/>
  <c r="BW50" i="89"/>
  <c r="BI50" i="89"/>
  <c r="BX10" i="89"/>
  <c r="BX50" i="89" s="1"/>
  <c r="BQ50" i="89" l="1"/>
  <c r="AE13" i="90" a="1"/>
  <c r="AE13" i="90" s="1"/>
  <c r="AF13" i="90"/>
  <c r="AF53" i="90" s="1"/>
  <c r="R9" i="88" l="1"/>
  <c r="K9" i="88"/>
  <c r="R109" i="87" l="1"/>
  <c r="P109" i="87"/>
  <c r="Q109" i="87"/>
  <c r="O109" i="87"/>
  <c r="N109" i="87"/>
  <c r="M109" i="87"/>
  <c r="L109" i="87"/>
  <c r="J109" i="87"/>
  <c r="R108" i="87"/>
  <c r="P108" i="87"/>
  <c r="Q108" i="87"/>
  <c r="O108" i="87"/>
  <c r="N108" i="87"/>
  <c r="M108" i="87"/>
  <c r="L108" i="87"/>
  <c r="J108" i="87"/>
  <c r="R107" i="87"/>
  <c r="P107" i="87"/>
  <c r="Q107" i="87"/>
  <c r="O107" i="87"/>
  <c r="S107" i="87" s="1"/>
  <c r="N107" i="87"/>
  <c r="M107" i="87"/>
  <c r="L107" i="87"/>
  <c r="J107" i="87"/>
  <c r="W107" i="87" s="1"/>
  <c r="R106" i="87"/>
  <c r="P106" i="87"/>
  <c r="Q106" i="87"/>
  <c r="O106" i="87"/>
  <c r="N106" i="87"/>
  <c r="M106" i="87"/>
  <c r="L106" i="87"/>
  <c r="J106" i="87"/>
  <c r="R105" i="87"/>
  <c r="P105" i="87"/>
  <c r="Q105" i="87"/>
  <c r="O105" i="87"/>
  <c r="S105" i="87" s="1"/>
  <c r="N105" i="87"/>
  <c r="M105" i="87"/>
  <c r="L105" i="87"/>
  <c r="J105" i="87"/>
  <c r="W105" i="87" s="1"/>
  <c r="R104" i="87"/>
  <c r="P104" i="87"/>
  <c r="Q104" i="87"/>
  <c r="O104" i="87"/>
  <c r="N104" i="87"/>
  <c r="M104" i="87"/>
  <c r="L104" i="87"/>
  <c r="J104" i="87"/>
  <c r="R103" i="87"/>
  <c r="P103" i="87"/>
  <c r="Q103" i="87"/>
  <c r="O103" i="87"/>
  <c r="S103" i="87" s="1"/>
  <c r="N103" i="87"/>
  <c r="M103" i="87"/>
  <c r="L103" i="87"/>
  <c r="J103" i="87"/>
  <c r="W103" i="87" s="1"/>
  <c r="R102" i="87"/>
  <c r="P102" i="87"/>
  <c r="Q102" i="87"/>
  <c r="O102" i="87"/>
  <c r="N102" i="87"/>
  <c r="M102" i="87"/>
  <c r="L102" i="87"/>
  <c r="J102" i="87"/>
  <c r="R101" i="87"/>
  <c r="P101" i="87"/>
  <c r="Q101" i="87"/>
  <c r="O101" i="87"/>
  <c r="S101" i="87" s="1"/>
  <c r="N101" i="87"/>
  <c r="M101" i="87"/>
  <c r="L101" i="87"/>
  <c r="J101" i="87"/>
  <c r="W101" i="87" s="1"/>
  <c r="R100" i="87"/>
  <c r="P100" i="87"/>
  <c r="Q100" i="87"/>
  <c r="O100" i="87"/>
  <c r="N100" i="87"/>
  <c r="M100" i="87"/>
  <c r="L100" i="87"/>
  <c r="J100" i="87"/>
  <c r="R99" i="87"/>
  <c r="P99" i="87"/>
  <c r="Q99" i="87"/>
  <c r="O99" i="87"/>
  <c r="S99" i="87" s="1"/>
  <c r="N99" i="87"/>
  <c r="M99" i="87"/>
  <c r="L99" i="87"/>
  <c r="J99" i="87"/>
  <c r="W99" i="87" s="1"/>
  <c r="R98" i="87"/>
  <c r="P98" i="87"/>
  <c r="Q98" i="87"/>
  <c r="O98" i="87"/>
  <c r="N98" i="87"/>
  <c r="M98" i="87"/>
  <c r="L98" i="87"/>
  <c r="J98" i="87"/>
  <c r="R97" i="87"/>
  <c r="P97" i="87"/>
  <c r="Q97" i="87"/>
  <c r="O97" i="87"/>
  <c r="S97" i="87" s="1"/>
  <c r="N97" i="87"/>
  <c r="M97" i="87"/>
  <c r="L97" i="87"/>
  <c r="J97" i="87"/>
  <c r="W97" i="87" s="1"/>
  <c r="R96" i="87"/>
  <c r="P96" i="87"/>
  <c r="Q96" i="87"/>
  <c r="O96" i="87"/>
  <c r="N96" i="87"/>
  <c r="M96" i="87"/>
  <c r="L96" i="87"/>
  <c r="J96" i="87"/>
  <c r="R95" i="87"/>
  <c r="P95" i="87"/>
  <c r="Q95" i="87"/>
  <c r="O95" i="87"/>
  <c r="N95" i="87"/>
  <c r="M95" i="87"/>
  <c r="L95" i="87"/>
  <c r="J95" i="87"/>
  <c r="R94" i="87"/>
  <c r="P94" i="87"/>
  <c r="Q94" i="87"/>
  <c r="O94" i="87"/>
  <c r="N94" i="87"/>
  <c r="M94" i="87"/>
  <c r="L94" i="87"/>
  <c r="J94" i="87"/>
  <c r="R93" i="87"/>
  <c r="P93" i="87"/>
  <c r="Q93" i="87"/>
  <c r="O93" i="87"/>
  <c r="N93" i="87"/>
  <c r="M93" i="87"/>
  <c r="L93" i="87"/>
  <c r="J93" i="87"/>
  <c r="R92" i="87"/>
  <c r="P92" i="87"/>
  <c r="Q92" i="87"/>
  <c r="O92" i="87"/>
  <c r="N92" i="87"/>
  <c r="M92" i="87"/>
  <c r="L92" i="87"/>
  <c r="J92" i="87"/>
  <c r="R91" i="87"/>
  <c r="P91" i="87"/>
  <c r="Q91" i="87"/>
  <c r="O91" i="87"/>
  <c r="N91" i="87"/>
  <c r="M91" i="87"/>
  <c r="L91" i="87"/>
  <c r="J91" i="87"/>
  <c r="R90" i="87"/>
  <c r="P90" i="87"/>
  <c r="Q90" i="87"/>
  <c r="O90" i="87"/>
  <c r="N90" i="87"/>
  <c r="M90" i="87"/>
  <c r="L90" i="87"/>
  <c r="J90" i="87"/>
  <c r="R89" i="87"/>
  <c r="P89" i="87"/>
  <c r="Q89" i="87"/>
  <c r="O89" i="87"/>
  <c r="N89" i="87"/>
  <c r="M89" i="87"/>
  <c r="L89" i="87"/>
  <c r="J89" i="87"/>
  <c r="R88" i="87"/>
  <c r="P88" i="87"/>
  <c r="Q88" i="87"/>
  <c r="O88" i="87"/>
  <c r="N88" i="87"/>
  <c r="M88" i="87"/>
  <c r="L88" i="87"/>
  <c r="J88" i="87"/>
  <c r="R87" i="87"/>
  <c r="P87" i="87"/>
  <c r="Q87" i="87"/>
  <c r="O87" i="87"/>
  <c r="N87" i="87"/>
  <c r="M87" i="87"/>
  <c r="L87" i="87"/>
  <c r="J87" i="87"/>
  <c r="R86" i="87"/>
  <c r="P86" i="87"/>
  <c r="Q86" i="87"/>
  <c r="O86" i="87"/>
  <c r="N86" i="87"/>
  <c r="M86" i="87"/>
  <c r="L86" i="87"/>
  <c r="J86" i="87"/>
  <c r="R85" i="87"/>
  <c r="P85" i="87"/>
  <c r="Q85" i="87"/>
  <c r="O85" i="87"/>
  <c r="N85" i="87"/>
  <c r="M85" i="87"/>
  <c r="L85" i="87"/>
  <c r="J85" i="87"/>
  <c r="R84" i="87"/>
  <c r="P84" i="87"/>
  <c r="Q84" i="87"/>
  <c r="O84" i="87"/>
  <c r="N84" i="87"/>
  <c r="M84" i="87"/>
  <c r="L84" i="87"/>
  <c r="J84" i="87"/>
  <c r="R83" i="87"/>
  <c r="P83" i="87"/>
  <c r="Q83" i="87"/>
  <c r="O83" i="87"/>
  <c r="N83" i="87"/>
  <c r="M83" i="87"/>
  <c r="L83" i="87"/>
  <c r="J83" i="87"/>
  <c r="R82" i="87"/>
  <c r="P82" i="87"/>
  <c r="Q82" i="87"/>
  <c r="O82" i="87"/>
  <c r="N82" i="87"/>
  <c r="M82" i="87"/>
  <c r="L82" i="87"/>
  <c r="J82" i="87"/>
  <c r="R81" i="87"/>
  <c r="P81" i="87"/>
  <c r="Q81" i="87"/>
  <c r="O81" i="87"/>
  <c r="S81" i="87" s="1"/>
  <c r="N81" i="87"/>
  <c r="M81" i="87"/>
  <c r="L81" i="87"/>
  <c r="J81" i="87"/>
  <c r="W81" i="87" s="1"/>
  <c r="R80" i="87"/>
  <c r="P80" i="87"/>
  <c r="Q80" i="87"/>
  <c r="O80" i="87"/>
  <c r="N80" i="87"/>
  <c r="M80" i="87"/>
  <c r="L80" i="87"/>
  <c r="J80" i="87"/>
  <c r="R79" i="87"/>
  <c r="P79" i="87"/>
  <c r="Q79" i="87"/>
  <c r="O79" i="87"/>
  <c r="N79" i="87"/>
  <c r="M79" i="87"/>
  <c r="L79" i="87"/>
  <c r="J79" i="87"/>
  <c r="R78" i="87"/>
  <c r="P78" i="87"/>
  <c r="Q78" i="87"/>
  <c r="O78" i="87"/>
  <c r="N78" i="87"/>
  <c r="M78" i="87"/>
  <c r="L78" i="87"/>
  <c r="J78" i="87"/>
  <c r="R77" i="87"/>
  <c r="P77" i="87"/>
  <c r="Q77" i="87"/>
  <c r="O77" i="87"/>
  <c r="N77" i="87"/>
  <c r="M77" i="87"/>
  <c r="L77" i="87"/>
  <c r="J77" i="87"/>
  <c r="R76" i="87"/>
  <c r="P76" i="87"/>
  <c r="Q76" i="87"/>
  <c r="O76" i="87"/>
  <c r="N76" i="87"/>
  <c r="M76" i="87"/>
  <c r="L76" i="87"/>
  <c r="J76" i="87"/>
  <c r="R75" i="87"/>
  <c r="P75" i="87"/>
  <c r="Q75" i="87"/>
  <c r="O75" i="87"/>
  <c r="N75" i="87"/>
  <c r="M75" i="87"/>
  <c r="L75" i="87"/>
  <c r="J75" i="87"/>
  <c r="R74" i="87"/>
  <c r="P74" i="87"/>
  <c r="Q74" i="87"/>
  <c r="O74" i="87"/>
  <c r="N74" i="87"/>
  <c r="M74" i="87"/>
  <c r="L74" i="87"/>
  <c r="J74" i="87"/>
  <c r="R73" i="87"/>
  <c r="P73" i="87"/>
  <c r="Q73" i="87"/>
  <c r="O73" i="87"/>
  <c r="N73" i="87"/>
  <c r="M73" i="87"/>
  <c r="L73" i="87"/>
  <c r="J73" i="87"/>
  <c r="R72" i="87"/>
  <c r="P72" i="87"/>
  <c r="Q72" i="87"/>
  <c r="O72" i="87"/>
  <c r="N72" i="87"/>
  <c r="M72" i="87"/>
  <c r="L72" i="87"/>
  <c r="J72" i="87"/>
  <c r="R71" i="87"/>
  <c r="P71" i="87"/>
  <c r="Q71" i="87"/>
  <c r="O71" i="87"/>
  <c r="N71" i="87"/>
  <c r="M71" i="87"/>
  <c r="L71" i="87"/>
  <c r="J71" i="87"/>
  <c r="R70" i="87"/>
  <c r="P70" i="87"/>
  <c r="Q70" i="87"/>
  <c r="O70" i="87"/>
  <c r="N70" i="87"/>
  <c r="M70" i="87"/>
  <c r="L70" i="87"/>
  <c r="J70" i="87"/>
  <c r="R69" i="87"/>
  <c r="P69" i="87"/>
  <c r="Q69" i="87"/>
  <c r="O69" i="87"/>
  <c r="N69" i="87"/>
  <c r="M69" i="87"/>
  <c r="L69" i="87"/>
  <c r="J69" i="87"/>
  <c r="R68" i="87"/>
  <c r="P68" i="87"/>
  <c r="Q68" i="87"/>
  <c r="O68" i="87"/>
  <c r="N68" i="87"/>
  <c r="M68" i="87"/>
  <c r="L68" i="87"/>
  <c r="J68" i="87"/>
  <c r="R67" i="87"/>
  <c r="P67" i="87"/>
  <c r="Q67" i="87"/>
  <c r="O67" i="87"/>
  <c r="N67" i="87"/>
  <c r="M67" i="87"/>
  <c r="L67" i="87"/>
  <c r="J67" i="87"/>
  <c r="R66" i="87"/>
  <c r="P66" i="87"/>
  <c r="Q66" i="87"/>
  <c r="O66" i="87"/>
  <c r="N66" i="87"/>
  <c r="M66" i="87"/>
  <c r="L66" i="87"/>
  <c r="J66" i="87"/>
  <c r="R65" i="87"/>
  <c r="P65" i="87"/>
  <c r="Q65" i="87"/>
  <c r="O65" i="87"/>
  <c r="N65" i="87"/>
  <c r="M65" i="87"/>
  <c r="L65" i="87"/>
  <c r="J65" i="87"/>
  <c r="R64" i="87"/>
  <c r="P64" i="87"/>
  <c r="Q64" i="87"/>
  <c r="O64" i="87"/>
  <c r="N64" i="87"/>
  <c r="M64" i="87"/>
  <c r="L64" i="87"/>
  <c r="J64" i="87"/>
  <c r="R63" i="87"/>
  <c r="P63" i="87"/>
  <c r="Q63" i="87"/>
  <c r="O63" i="87"/>
  <c r="N63" i="87"/>
  <c r="M63" i="87"/>
  <c r="L63" i="87"/>
  <c r="J63" i="87"/>
  <c r="R62" i="87"/>
  <c r="P62" i="87"/>
  <c r="Q62" i="87"/>
  <c r="O62" i="87"/>
  <c r="N62" i="87"/>
  <c r="M62" i="87"/>
  <c r="L62" i="87"/>
  <c r="J62" i="87"/>
  <c r="R61" i="87"/>
  <c r="P61" i="87"/>
  <c r="Q61" i="87"/>
  <c r="O61" i="87"/>
  <c r="N61" i="87"/>
  <c r="M61" i="87"/>
  <c r="L61" i="87"/>
  <c r="J61" i="87"/>
  <c r="R60" i="87"/>
  <c r="P60" i="87"/>
  <c r="Q60" i="87"/>
  <c r="O60" i="87"/>
  <c r="N60" i="87"/>
  <c r="M60" i="87"/>
  <c r="L60" i="87"/>
  <c r="J60" i="87"/>
  <c r="R59" i="87"/>
  <c r="P59" i="87"/>
  <c r="Q59" i="87"/>
  <c r="O59" i="87"/>
  <c r="N59" i="87"/>
  <c r="M59" i="87"/>
  <c r="L59" i="87"/>
  <c r="J59" i="87"/>
  <c r="R58" i="87"/>
  <c r="P58" i="87"/>
  <c r="Q58" i="87"/>
  <c r="O58" i="87"/>
  <c r="N58" i="87"/>
  <c r="M58" i="87"/>
  <c r="L58" i="87"/>
  <c r="J58" i="87"/>
  <c r="R57" i="87"/>
  <c r="P57" i="87"/>
  <c r="Q57" i="87"/>
  <c r="O57" i="87"/>
  <c r="N57" i="87"/>
  <c r="M57" i="87"/>
  <c r="L57" i="87"/>
  <c r="J57" i="87"/>
  <c r="R56" i="87"/>
  <c r="P56" i="87"/>
  <c r="Q56" i="87"/>
  <c r="O56" i="87"/>
  <c r="N56" i="87"/>
  <c r="M56" i="87"/>
  <c r="L56" i="87"/>
  <c r="J56" i="87"/>
  <c r="R55" i="87"/>
  <c r="P55" i="87"/>
  <c r="Q55" i="87"/>
  <c r="O55" i="87"/>
  <c r="N55" i="87"/>
  <c r="M55" i="87"/>
  <c r="L55" i="87"/>
  <c r="J55" i="87"/>
  <c r="R54" i="87"/>
  <c r="P54" i="87"/>
  <c r="Q54" i="87"/>
  <c r="O54" i="87"/>
  <c r="N54" i="87"/>
  <c r="M54" i="87"/>
  <c r="L54" i="87"/>
  <c r="J54" i="87"/>
  <c r="R53" i="87"/>
  <c r="P53" i="87"/>
  <c r="Q53" i="87"/>
  <c r="O53" i="87"/>
  <c r="N53" i="87"/>
  <c r="M53" i="87"/>
  <c r="L53" i="87"/>
  <c r="J53" i="87"/>
  <c r="R52" i="87"/>
  <c r="P52" i="87"/>
  <c r="Q52" i="87"/>
  <c r="O52" i="87"/>
  <c r="N52" i="87"/>
  <c r="M52" i="87"/>
  <c r="L52" i="87"/>
  <c r="J52" i="87"/>
  <c r="R51" i="87"/>
  <c r="P51" i="87"/>
  <c r="Q51" i="87"/>
  <c r="O51" i="87"/>
  <c r="N51" i="87"/>
  <c r="M51" i="87"/>
  <c r="L51" i="87"/>
  <c r="J51" i="87"/>
  <c r="R50" i="87"/>
  <c r="P50" i="87"/>
  <c r="Q50" i="87"/>
  <c r="O50" i="87"/>
  <c r="N50" i="87"/>
  <c r="M50" i="87"/>
  <c r="L50" i="87"/>
  <c r="J50" i="87"/>
  <c r="R49" i="87"/>
  <c r="P49" i="87"/>
  <c r="Q49" i="87"/>
  <c r="O49" i="87"/>
  <c r="N49" i="87"/>
  <c r="M49" i="87"/>
  <c r="L49" i="87"/>
  <c r="J49" i="87"/>
  <c r="R48" i="87"/>
  <c r="P48" i="87"/>
  <c r="Q48" i="87"/>
  <c r="O48" i="87"/>
  <c r="N48" i="87"/>
  <c r="M48" i="87"/>
  <c r="L48" i="87"/>
  <c r="J48" i="87"/>
  <c r="R47" i="87"/>
  <c r="P47" i="87"/>
  <c r="Q47" i="87"/>
  <c r="O47" i="87"/>
  <c r="N47" i="87"/>
  <c r="M47" i="87"/>
  <c r="L47" i="87"/>
  <c r="J47" i="87"/>
  <c r="R46" i="87"/>
  <c r="P46" i="87"/>
  <c r="Q46" i="87"/>
  <c r="O46" i="87"/>
  <c r="N46" i="87"/>
  <c r="M46" i="87"/>
  <c r="L46" i="87"/>
  <c r="J46" i="87"/>
  <c r="R45" i="87"/>
  <c r="P45" i="87"/>
  <c r="Q45" i="87"/>
  <c r="O45" i="87"/>
  <c r="N45" i="87"/>
  <c r="M45" i="87"/>
  <c r="L45" i="87"/>
  <c r="J45" i="87"/>
  <c r="R44" i="87"/>
  <c r="P44" i="87"/>
  <c r="Q44" i="87"/>
  <c r="O44" i="87"/>
  <c r="N44" i="87"/>
  <c r="M44" i="87"/>
  <c r="L44" i="87"/>
  <c r="J44" i="87"/>
  <c r="R43" i="87"/>
  <c r="P43" i="87"/>
  <c r="Q43" i="87"/>
  <c r="O43" i="87"/>
  <c r="N43" i="87"/>
  <c r="M43" i="87"/>
  <c r="L43" i="87"/>
  <c r="J43" i="87"/>
  <c r="R42" i="87"/>
  <c r="P42" i="87"/>
  <c r="Q42" i="87"/>
  <c r="O42" i="87"/>
  <c r="N42" i="87"/>
  <c r="M42" i="87"/>
  <c r="L42" i="87"/>
  <c r="J42" i="87"/>
  <c r="R41" i="87"/>
  <c r="P41" i="87"/>
  <c r="Q41" i="87"/>
  <c r="O41" i="87"/>
  <c r="N41" i="87"/>
  <c r="M41" i="87"/>
  <c r="L41" i="87"/>
  <c r="J41" i="87"/>
  <c r="R40" i="87"/>
  <c r="P40" i="87"/>
  <c r="Q40" i="87"/>
  <c r="O40" i="87"/>
  <c r="N40" i="87"/>
  <c r="M40" i="87"/>
  <c r="L40" i="87"/>
  <c r="J40" i="87"/>
  <c r="R39" i="87"/>
  <c r="P39" i="87"/>
  <c r="Q39" i="87"/>
  <c r="O39" i="87"/>
  <c r="N39" i="87"/>
  <c r="M39" i="87"/>
  <c r="L39" i="87"/>
  <c r="J39" i="87"/>
  <c r="R38" i="87"/>
  <c r="P38" i="87"/>
  <c r="Q38" i="87"/>
  <c r="O38" i="87"/>
  <c r="N38" i="87"/>
  <c r="M38" i="87"/>
  <c r="L38" i="87"/>
  <c r="J38" i="87"/>
  <c r="R37" i="87"/>
  <c r="P37" i="87"/>
  <c r="Q37" i="87"/>
  <c r="O37" i="87"/>
  <c r="N37" i="87"/>
  <c r="M37" i="87"/>
  <c r="L37" i="87"/>
  <c r="J37" i="87"/>
  <c r="R36" i="87"/>
  <c r="P36" i="87"/>
  <c r="Q36" i="87"/>
  <c r="O36" i="87"/>
  <c r="N36" i="87"/>
  <c r="M36" i="87"/>
  <c r="L36" i="87"/>
  <c r="J36" i="87"/>
  <c r="R35" i="87"/>
  <c r="P35" i="87"/>
  <c r="Q35" i="87"/>
  <c r="O35" i="87"/>
  <c r="N35" i="87"/>
  <c r="M35" i="87"/>
  <c r="L35" i="87"/>
  <c r="J35" i="87"/>
  <c r="R34" i="87"/>
  <c r="P34" i="87"/>
  <c r="Q34" i="87"/>
  <c r="O34" i="87"/>
  <c r="N34" i="87"/>
  <c r="M34" i="87"/>
  <c r="L34" i="87"/>
  <c r="J34" i="87"/>
  <c r="R33" i="87"/>
  <c r="P33" i="87"/>
  <c r="Q33" i="87"/>
  <c r="O33" i="87"/>
  <c r="N33" i="87"/>
  <c r="M33" i="87"/>
  <c r="L33" i="87"/>
  <c r="J33" i="87"/>
  <c r="R32" i="87"/>
  <c r="P32" i="87"/>
  <c r="Q32" i="87"/>
  <c r="O32" i="87"/>
  <c r="N32" i="87"/>
  <c r="M32" i="87"/>
  <c r="L32" i="87"/>
  <c r="J32" i="87"/>
  <c r="R31" i="87"/>
  <c r="P31" i="87"/>
  <c r="Q31" i="87"/>
  <c r="O31" i="87"/>
  <c r="N31" i="87"/>
  <c r="M31" i="87"/>
  <c r="L31" i="87"/>
  <c r="J31" i="87"/>
  <c r="R30" i="87"/>
  <c r="P30" i="87"/>
  <c r="Q30" i="87"/>
  <c r="O30" i="87"/>
  <c r="N30" i="87"/>
  <c r="M30" i="87"/>
  <c r="L30" i="87"/>
  <c r="J30" i="87"/>
  <c r="R29" i="87"/>
  <c r="P29" i="87"/>
  <c r="Q29" i="87"/>
  <c r="O29" i="87"/>
  <c r="N29" i="87"/>
  <c r="M29" i="87"/>
  <c r="L29" i="87"/>
  <c r="J29" i="87"/>
  <c r="R28" i="87"/>
  <c r="P28" i="87"/>
  <c r="Q28" i="87"/>
  <c r="O28" i="87"/>
  <c r="N28" i="87"/>
  <c r="M28" i="87"/>
  <c r="L28" i="87"/>
  <c r="J28" i="87"/>
  <c r="R27" i="87"/>
  <c r="P27" i="87"/>
  <c r="Q27" i="87"/>
  <c r="O27" i="87"/>
  <c r="N27" i="87"/>
  <c r="M27" i="87"/>
  <c r="L27" i="87"/>
  <c r="J27" i="87"/>
  <c r="R26" i="87"/>
  <c r="P26" i="87"/>
  <c r="Q26" i="87"/>
  <c r="O26" i="87"/>
  <c r="N26" i="87"/>
  <c r="M26" i="87"/>
  <c r="L26" i="87"/>
  <c r="J26" i="87"/>
  <c r="R25" i="87"/>
  <c r="P25" i="87"/>
  <c r="Q25" i="87"/>
  <c r="O25" i="87"/>
  <c r="N25" i="87"/>
  <c r="M25" i="87"/>
  <c r="L25" i="87"/>
  <c r="J25" i="87"/>
  <c r="R24" i="87"/>
  <c r="P24" i="87"/>
  <c r="Q24" i="87"/>
  <c r="O24" i="87"/>
  <c r="N24" i="87"/>
  <c r="M24" i="87"/>
  <c r="L24" i="87"/>
  <c r="J24" i="87"/>
  <c r="R23" i="87"/>
  <c r="P23" i="87"/>
  <c r="Q23" i="87"/>
  <c r="O23" i="87"/>
  <c r="N23" i="87"/>
  <c r="M23" i="87"/>
  <c r="L23" i="87"/>
  <c r="J23" i="87"/>
  <c r="R22" i="87"/>
  <c r="P22" i="87"/>
  <c r="Q22" i="87"/>
  <c r="O22" i="87"/>
  <c r="N22" i="87"/>
  <c r="M22" i="87"/>
  <c r="L22" i="87"/>
  <c r="J22" i="87"/>
  <c r="R21" i="87"/>
  <c r="P21" i="87"/>
  <c r="Q21" i="87"/>
  <c r="O21" i="87"/>
  <c r="N21" i="87"/>
  <c r="M21" i="87"/>
  <c r="L21" i="87"/>
  <c r="J21" i="87"/>
  <c r="R20" i="87"/>
  <c r="P20" i="87"/>
  <c r="Q20" i="87"/>
  <c r="O20" i="87"/>
  <c r="N20" i="87"/>
  <c r="M20" i="87"/>
  <c r="L20" i="87"/>
  <c r="J20" i="87"/>
  <c r="R19" i="87"/>
  <c r="P19" i="87"/>
  <c r="Q19" i="87"/>
  <c r="O19" i="87"/>
  <c r="N19" i="87"/>
  <c r="M19" i="87"/>
  <c r="L19" i="87"/>
  <c r="J19" i="87"/>
  <c r="R18" i="87"/>
  <c r="P18" i="87"/>
  <c r="Q18" i="87"/>
  <c r="O18" i="87"/>
  <c r="N18" i="87"/>
  <c r="M18" i="87"/>
  <c r="L18" i="87"/>
  <c r="J18" i="87"/>
  <c r="R17" i="87"/>
  <c r="P17" i="87"/>
  <c r="Q17" i="87"/>
  <c r="O17" i="87"/>
  <c r="N17" i="87"/>
  <c r="M17" i="87"/>
  <c r="L17" i="87"/>
  <c r="J17" i="87"/>
  <c r="R16" i="87"/>
  <c r="P16" i="87"/>
  <c r="Q16" i="87"/>
  <c r="O16" i="87"/>
  <c r="N16" i="87"/>
  <c r="M16" i="87"/>
  <c r="L16" i="87"/>
  <c r="J16" i="87"/>
  <c r="R15" i="87"/>
  <c r="P15" i="87"/>
  <c r="Q15" i="87"/>
  <c r="O15" i="87"/>
  <c r="N15" i="87"/>
  <c r="M15" i="87"/>
  <c r="L15" i="87"/>
  <c r="R14" i="87"/>
  <c r="P14" i="87"/>
  <c r="Q14" i="87"/>
  <c r="O14" i="87"/>
  <c r="N14" i="87"/>
  <c r="M14" i="87"/>
  <c r="L14" i="87"/>
  <c r="R13" i="87"/>
  <c r="P13" i="87"/>
  <c r="Q13" i="87"/>
  <c r="O13" i="87"/>
  <c r="N13" i="87"/>
  <c r="M13" i="87"/>
  <c r="L13" i="87"/>
  <c r="J13" i="87"/>
  <c r="R12" i="87"/>
  <c r="P12" i="87"/>
  <c r="Q12" i="87"/>
  <c r="O12" i="87"/>
  <c r="N12" i="87"/>
  <c r="M12" i="87"/>
  <c r="L12" i="87"/>
  <c r="J12" i="87"/>
  <c r="R11" i="87"/>
  <c r="P11" i="87"/>
  <c r="Q11" i="87"/>
  <c r="O11" i="87"/>
  <c r="N11" i="87"/>
  <c r="R10" i="87"/>
  <c r="P10" i="87"/>
  <c r="Q10" i="87"/>
  <c r="O10" i="87"/>
  <c r="N10" i="87"/>
  <c r="M10" i="87"/>
  <c r="L10" i="87"/>
  <c r="J10" i="87"/>
  <c r="R9" i="87"/>
  <c r="N9" i="87"/>
  <c r="M9" i="87"/>
  <c r="L9" i="87"/>
  <c r="J9" i="87"/>
  <c r="R9" i="67"/>
  <c r="T9" i="67"/>
  <c r="U9" i="67"/>
  <c r="V9" i="67"/>
  <c r="W9" i="67"/>
  <c r="Z9" i="67"/>
  <c r="AA9" i="67"/>
  <c r="AB9" i="67"/>
  <c r="R10" i="67"/>
  <c r="T10" i="67"/>
  <c r="U10" i="67"/>
  <c r="V10" i="67"/>
  <c r="W10" i="67"/>
  <c r="AF10" i="67" s="1"/>
  <c r="K52" i="77" s="1"/>
  <c r="Z10" i="67"/>
  <c r="AA10" i="67"/>
  <c r="AD10" i="67"/>
  <c r="R11" i="67"/>
  <c r="T11" i="67"/>
  <c r="U11" i="67"/>
  <c r="V11" i="67"/>
  <c r="W11" i="67"/>
  <c r="AC11" i="67"/>
  <c r="X11" i="67"/>
  <c r="Y11" i="67"/>
  <c r="AA11" i="67"/>
  <c r="AB11" i="67"/>
  <c r="AD11" i="67"/>
  <c r="P12" i="67"/>
  <c r="R12" i="67"/>
  <c r="T12" i="67"/>
  <c r="U12" i="67"/>
  <c r="V12" i="67"/>
  <c r="W12" i="67"/>
  <c r="AC12" i="67"/>
  <c r="X12" i="67"/>
  <c r="Y12" i="67"/>
  <c r="Z12" i="67"/>
  <c r="AF12" i="67" s="1"/>
  <c r="K54" i="77" s="1"/>
  <c r="AA12" i="67"/>
  <c r="AB12" i="67"/>
  <c r="AD12" i="67"/>
  <c r="P13" i="67"/>
  <c r="R13" i="67"/>
  <c r="T13" i="67"/>
  <c r="U13" i="67"/>
  <c r="V13" i="67"/>
  <c r="W13" i="67"/>
  <c r="AC13" i="67"/>
  <c r="X13" i="67"/>
  <c r="Y13" i="67"/>
  <c r="Z13" i="67"/>
  <c r="AF13" i="67" s="1"/>
  <c r="K55" i="77" s="1"/>
  <c r="AA13" i="67"/>
  <c r="AB13" i="67"/>
  <c r="AD13" i="67"/>
  <c r="P14" i="67"/>
  <c r="R14" i="67"/>
  <c r="T14" i="67"/>
  <c r="U14" i="67"/>
  <c r="V14" i="67"/>
  <c r="W14" i="67"/>
  <c r="AC14" i="67"/>
  <c r="X14" i="67"/>
  <c r="Y14" i="67"/>
  <c r="Z14" i="67"/>
  <c r="AF14" i="67" s="1"/>
  <c r="K56" i="77" s="1"/>
  <c r="AA14" i="67"/>
  <c r="AB14" i="67"/>
  <c r="AD14" i="67"/>
  <c r="P15" i="67"/>
  <c r="R15" i="67"/>
  <c r="T15" i="67"/>
  <c r="U15" i="67"/>
  <c r="V15" i="67"/>
  <c r="W15" i="67"/>
  <c r="AC15" i="67"/>
  <c r="X15" i="67"/>
  <c r="Y15" i="67"/>
  <c r="Z15" i="67"/>
  <c r="AF15" i="67" s="1"/>
  <c r="AA15" i="67"/>
  <c r="AB15" i="67"/>
  <c r="AD15" i="67"/>
  <c r="P16" i="67"/>
  <c r="R16" i="67"/>
  <c r="T16" i="67"/>
  <c r="U16" i="67"/>
  <c r="V16" i="67"/>
  <c r="W16" i="67"/>
  <c r="AC16" i="67"/>
  <c r="X16" i="67"/>
  <c r="Y16" i="67"/>
  <c r="Z16" i="67"/>
  <c r="AF16" i="67" s="1"/>
  <c r="AA16" i="67"/>
  <c r="AB16" i="67"/>
  <c r="AD16" i="67"/>
  <c r="P17" i="67"/>
  <c r="R17" i="67"/>
  <c r="T17" i="67"/>
  <c r="U17" i="67"/>
  <c r="V17" i="67"/>
  <c r="W17" i="67"/>
  <c r="AC17" i="67"/>
  <c r="X17" i="67"/>
  <c r="Y17" i="67"/>
  <c r="Z17" i="67"/>
  <c r="AF17" i="67" s="1"/>
  <c r="AA17" i="67"/>
  <c r="AB17" i="67"/>
  <c r="AD17" i="67"/>
  <c r="P18" i="67"/>
  <c r="R18" i="67"/>
  <c r="T18" i="67"/>
  <c r="U18" i="67"/>
  <c r="V18" i="67"/>
  <c r="W18" i="67"/>
  <c r="AC18" i="67"/>
  <c r="X18" i="67"/>
  <c r="Y18" i="67"/>
  <c r="Z18" i="67"/>
  <c r="AF18" i="67" s="1"/>
  <c r="AA18" i="67"/>
  <c r="AB18" i="67"/>
  <c r="AD18" i="67"/>
  <c r="P19" i="67"/>
  <c r="R19" i="67"/>
  <c r="T19" i="67"/>
  <c r="U19" i="67"/>
  <c r="V19" i="67"/>
  <c r="W19" i="67"/>
  <c r="AC19" i="67"/>
  <c r="X19" i="67"/>
  <c r="Y19" i="67"/>
  <c r="Z19" i="67"/>
  <c r="AF19" i="67" s="1"/>
  <c r="AA19" i="67"/>
  <c r="AB19" i="67"/>
  <c r="AD19" i="67"/>
  <c r="P20" i="67"/>
  <c r="R20" i="67"/>
  <c r="T20" i="67"/>
  <c r="U20" i="67"/>
  <c r="V20" i="67"/>
  <c r="W20" i="67"/>
  <c r="AC20" i="67"/>
  <c r="X20" i="67"/>
  <c r="Y20" i="67"/>
  <c r="Z20" i="67"/>
  <c r="AF20" i="67" s="1"/>
  <c r="AA20" i="67"/>
  <c r="AB20" i="67"/>
  <c r="AD20" i="67"/>
  <c r="P21" i="67"/>
  <c r="R21" i="67"/>
  <c r="T21" i="67"/>
  <c r="U21" i="67"/>
  <c r="V21" i="67"/>
  <c r="W21" i="67"/>
  <c r="AC21" i="67"/>
  <c r="X21" i="67"/>
  <c r="Y21" i="67"/>
  <c r="Z21" i="67"/>
  <c r="AF21" i="67" s="1"/>
  <c r="AA21" i="67"/>
  <c r="AB21" i="67"/>
  <c r="AD21" i="67"/>
  <c r="P22" i="67"/>
  <c r="R22" i="67"/>
  <c r="T22" i="67"/>
  <c r="U22" i="67"/>
  <c r="V22" i="67"/>
  <c r="W22" i="67"/>
  <c r="AC22" i="67"/>
  <c r="X22" i="67"/>
  <c r="Y22" i="67"/>
  <c r="Z22" i="67"/>
  <c r="AF22" i="67" s="1"/>
  <c r="AA22" i="67"/>
  <c r="AB22" i="67"/>
  <c r="AD22" i="67"/>
  <c r="P23" i="67"/>
  <c r="R23" i="67"/>
  <c r="T23" i="67"/>
  <c r="U23" i="67"/>
  <c r="V23" i="67"/>
  <c r="W23" i="67"/>
  <c r="AC23" i="67"/>
  <c r="X23" i="67"/>
  <c r="Y23" i="67"/>
  <c r="Z23" i="67"/>
  <c r="AF23" i="67" s="1"/>
  <c r="AA23" i="67"/>
  <c r="AB23" i="67"/>
  <c r="AD23" i="67"/>
  <c r="P24" i="67"/>
  <c r="R24" i="67"/>
  <c r="T24" i="67"/>
  <c r="U24" i="67"/>
  <c r="V24" i="67"/>
  <c r="W24" i="67"/>
  <c r="AC24" i="67"/>
  <c r="X24" i="67"/>
  <c r="Y24" i="67"/>
  <c r="Z24" i="67"/>
  <c r="AF24" i="67" s="1"/>
  <c r="AA24" i="67"/>
  <c r="AB24" i="67"/>
  <c r="AD24" i="67"/>
  <c r="P25" i="67"/>
  <c r="R25" i="67"/>
  <c r="T25" i="67"/>
  <c r="U25" i="67"/>
  <c r="V25" i="67"/>
  <c r="W25" i="67"/>
  <c r="AC25" i="67"/>
  <c r="X25" i="67"/>
  <c r="Y25" i="67"/>
  <c r="Z25" i="67"/>
  <c r="AF25" i="67" s="1"/>
  <c r="AA25" i="67"/>
  <c r="AB25" i="67"/>
  <c r="AD25" i="67"/>
  <c r="P26" i="67"/>
  <c r="R26" i="67"/>
  <c r="T26" i="67"/>
  <c r="U26" i="67"/>
  <c r="V26" i="67"/>
  <c r="W26" i="67"/>
  <c r="AC26" i="67"/>
  <c r="X26" i="67"/>
  <c r="Y26" i="67"/>
  <c r="Z26" i="67"/>
  <c r="AF26" i="67" s="1"/>
  <c r="AA26" i="67"/>
  <c r="AB26" i="67"/>
  <c r="AD26" i="67"/>
  <c r="P27" i="67"/>
  <c r="R27" i="67"/>
  <c r="T27" i="67"/>
  <c r="U27" i="67"/>
  <c r="V27" i="67"/>
  <c r="W27" i="67"/>
  <c r="AC27" i="67"/>
  <c r="X27" i="67"/>
  <c r="Y27" i="67"/>
  <c r="Z27" i="67"/>
  <c r="AF27" i="67" s="1"/>
  <c r="AA27" i="67"/>
  <c r="AB27" i="67"/>
  <c r="AD27" i="67"/>
  <c r="P28" i="67"/>
  <c r="R28" i="67"/>
  <c r="T28" i="67"/>
  <c r="U28" i="67"/>
  <c r="V28" i="67"/>
  <c r="W28" i="67"/>
  <c r="AC28" i="67"/>
  <c r="X28" i="67"/>
  <c r="Y28" i="67"/>
  <c r="Z28" i="67"/>
  <c r="AF28" i="67" s="1"/>
  <c r="AA28" i="67"/>
  <c r="AB28" i="67"/>
  <c r="AD28" i="67"/>
  <c r="P29" i="67"/>
  <c r="R29" i="67"/>
  <c r="T29" i="67"/>
  <c r="U29" i="67"/>
  <c r="V29" i="67"/>
  <c r="W29" i="67"/>
  <c r="AC29" i="67"/>
  <c r="X29" i="67"/>
  <c r="Y29" i="67"/>
  <c r="Z29" i="67"/>
  <c r="AF29" i="67" s="1"/>
  <c r="AA29" i="67"/>
  <c r="AB29" i="67"/>
  <c r="AD29" i="67"/>
  <c r="P30" i="67"/>
  <c r="R30" i="67"/>
  <c r="T30" i="67"/>
  <c r="U30" i="67"/>
  <c r="V30" i="67"/>
  <c r="W30" i="67"/>
  <c r="AC30" i="67"/>
  <c r="X30" i="67"/>
  <c r="Y30" i="67"/>
  <c r="Z30" i="67"/>
  <c r="AF30" i="67" s="1"/>
  <c r="AA30" i="67"/>
  <c r="AB30" i="67"/>
  <c r="AD30" i="67"/>
  <c r="P31" i="67"/>
  <c r="R31" i="67"/>
  <c r="T31" i="67"/>
  <c r="U31" i="67"/>
  <c r="V31" i="67"/>
  <c r="W31" i="67"/>
  <c r="AC31" i="67"/>
  <c r="X31" i="67"/>
  <c r="Y31" i="67"/>
  <c r="Z31" i="67"/>
  <c r="AF31" i="67" s="1"/>
  <c r="AA31" i="67"/>
  <c r="AB31" i="67"/>
  <c r="AD31" i="67"/>
  <c r="P32" i="67"/>
  <c r="R32" i="67"/>
  <c r="T32" i="67"/>
  <c r="U32" i="67"/>
  <c r="V32" i="67"/>
  <c r="W32" i="67"/>
  <c r="AC32" i="67"/>
  <c r="X32" i="67"/>
  <c r="Y32" i="67"/>
  <c r="Z32" i="67"/>
  <c r="AF32" i="67" s="1"/>
  <c r="AA32" i="67"/>
  <c r="AB32" i="67"/>
  <c r="AD32" i="67"/>
  <c r="P33" i="67"/>
  <c r="R33" i="67"/>
  <c r="T33" i="67"/>
  <c r="U33" i="67"/>
  <c r="V33" i="67"/>
  <c r="W33" i="67"/>
  <c r="AC33" i="67"/>
  <c r="X33" i="67"/>
  <c r="Y33" i="67"/>
  <c r="Z33" i="67"/>
  <c r="AF33" i="67" s="1"/>
  <c r="AA33" i="67"/>
  <c r="AB33" i="67"/>
  <c r="AD33" i="67"/>
  <c r="P34" i="67"/>
  <c r="R34" i="67"/>
  <c r="T34" i="67"/>
  <c r="U34" i="67"/>
  <c r="V34" i="67"/>
  <c r="W34" i="67"/>
  <c r="AC34" i="67"/>
  <c r="X34" i="67"/>
  <c r="Y34" i="67"/>
  <c r="Z34" i="67"/>
  <c r="AF34" i="67" s="1"/>
  <c r="AA34" i="67"/>
  <c r="AB34" i="67"/>
  <c r="AD34" i="67"/>
  <c r="P35" i="67"/>
  <c r="R35" i="67"/>
  <c r="T35" i="67"/>
  <c r="U35" i="67"/>
  <c r="V35" i="67"/>
  <c r="W35" i="67"/>
  <c r="AC35" i="67"/>
  <c r="X35" i="67"/>
  <c r="Y35" i="67"/>
  <c r="Z35" i="67"/>
  <c r="AF35" i="67" s="1"/>
  <c r="AA35" i="67"/>
  <c r="AB35" i="67"/>
  <c r="AD35" i="67"/>
  <c r="P36" i="67"/>
  <c r="R36" i="67"/>
  <c r="T36" i="67"/>
  <c r="U36" i="67"/>
  <c r="V36" i="67"/>
  <c r="W36" i="67"/>
  <c r="AC36" i="67"/>
  <c r="X36" i="67"/>
  <c r="Y36" i="67"/>
  <c r="Z36" i="67"/>
  <c r="AF36" i="67" s="1"/>
  <c r="AA36" i="67"/>
  <c r="AB36" i="67"/>
  <c r="AD36" i="67"/>
  <c r="P37" i="67"/>
  <c r="R37" i="67"/>
  <c r="T37" i="67"/>
  <c r="U37" i="67"/>
  <c r="V37" i="67"/>
  <c r="W37" i="67"/>
  <c r="AC37" i="67"/>
  <c r="X37" i="67"/>
  <c r="Y37" i="67"/>
  <c r="Z37" i="67"/>
  <c r="AF37" i="67" s="1"/>
  <c r="AA37" i="67"/>
  <c r="AB37" i="67"/>
  <c r="AD37" i="67"/>
  <c r="P38" i="67"/>
  <c r="R38" i="67"/>
  <c r="T38" i="67"/>
  <c r="U38" i="67"/>
  <c r="V38" i="67"/>
  <c r="W38" i="67"/>
  <c r="AC38" i="67"/>
  <c r="X38" i="67"/>
  <c r="Y38" i="67"/>
  <c r="Z38" i="67"/>
  <c r="AF38" i="67" s="1"/>
  <c r="AA38" i="67"/>
  <c r="AB38" i="67"/>
  <c r="AD38" i="67"/>
  <c r="P39" i="67"/>
  <c r="R39" i="67"/>
  <c r="T39" i="67"/>
  <c r="U39" i="67"/>
  <c r="V39" i="67"/>
  <c r="W39" i="67"/>
  <c r="AC39" i="67"/>
  <c r="X39" i="67"/>
  <c r="Y39" i="67"/>
  <c r="Z39" i="67"/>
  <c r="AF39" i="67" s="1"/>
  <c r="AA39" i="67"/>
  <c r="AB39" i="67"/>
  <c r="AD39" i="67"/>
  <c r="P40" i="67"/>
  <c r="R40" i="67"/>
  <c r="T40" i="67"/>
  <c r="U40" i="67"/>
  <c r="V40" i="67"/>
  <c r="W40" i="67"/>
  <c r="AC40" i="67"/>
  <c r="X40" i="67"/>
  <c r="Y40" i="67"/>
  <c r="Z40" i="67"/>
  <c r="AF40" i="67" s="1"/>
  <c r="AA40" i="67"/>
  <c r="AB40" i="67"/>
  <c r="AD40" i="67"/>
  <c r="P41" i="67"/>
  <c r="R41" i="67"/>
  <c r="T41" i="67"/>
  <c r="U41" i="67"/>
  <c r="V41" i="67"/>
  <c r="W41" i="67"/>
  <c r="AC41" i="67"/>
  <c r="X41" i="67"/>
  <c r="Y41" i="67"/>
  <c r="Z41" i="67"/>
  <c r="AF41" i="67" s="1"/>
  <c r="AA41" i="67"/>
  <c r="AB41" i="67"/>
  <c r="AD41" i="67"/>
  <c r="P42" i="67"/>
  <c r="R42" i="67"/>
  <c r="T42" i="67"/>
  <c r="U42" i="67"/>
  <c r="V42" i="67"/>
  <c r="W42" i="67"/>
  <c r="AC42" i="67"/>
  <c r="X42" i="67"/>
  <c r="Y42" i="67"/>
  <c r="Z42" i="67"/>
  <c r="AF42" i="67" s="1"/>
  <c r="AA42" i="67"/>
  <c r="AB42" i="67"/>
  <c r="AD42" i="67"/>
  <c r="P43" i="67"/>
  <c r="R43" i="67"/>
  <c r="T43" i="67"/>
  <c r="U43" i="67"/>
  <c r="V43" i="67"/>
  <c r="W43" i="67"/>
  <c r="AC43" i="67"/>
  <c r="X43" i="67"/>
  <c r="Y43" i="67"/>
  <c r="Z43" i="67"/>
  <c r="AF43" i="67" s="1"/>
  <c r="AA43" i="67"/>
  <c r="AB43" i="67"/>
  <c r="AD43" i="67"/>
  <c r="P44" i="67"/>
  <c r="R44" i="67"/>
  <c r="T44" i="67"/>
  <c r="U44" i="67"/>
  <c r="V44" i="67"/>
  <c r="W44" i="67"/>
  <c r="AC44" i="67"/>
  <c r="X44" i="67"/>
  <c r="Y44" i="67"/>
  <c r="Z44" i="67"/>
  <c r="AF44" i="67" s="1"/>
  <c r="AA44" i="67"/>
  <c r="AB44" i="67"/>
  <c r="AD44" i="67"/>
  <c r="P45" i="67"/>
  <c r="R45" i="67"/>
  <c r="T45" i="67"/>
  <c r="U45" i="67"/>
  <c r="V45" i="67"/>
  <c r="W45" i="67"/>
  <c r="AC45" i="67"/>
  <c r="X45" i="67"/>
  <c r="Y45" i="67"/>
  <c r="Z45" i="67"/>
  <c r="AF45" i="67" s="1"/>
  <c r="AA45" i="67"/>
  <c r="AB45" i="67"/>
  <c r="AD45" i="67"/>
  <c r="P46" i="67"/>
  <c r="R46" i="67"/>
  <c r="T46" i="67"/>
  <c r="U46" i="67"/>
  <c r="V46" i="67"/>
  <c r="W46" i="67"/>
  <c r="AC46" i="67"/>
  <c r="X46" i="67"/>
  <c r="Y46" i="67"/>
  <c r="Z46" i="67"/>
  <c r="AF46" i="67" s="1"/>
  <c r="AA46" i="67"/>
  <c r="AB46" i="67"/>
  <c r="AD46" i="67"/>
  <c r="P47" i="67"/>
  <c r="R47" i="67"/>
  <c r="T47" i="67"/>
  <c r="U47" i="67"/>
  <c r="V47" i="67"/>
  <c r="W47" i="67"/>
  <c r="AC47" i="67"/>
  <c r="X47" i="67"/>
  <c r="Y47" i="67"/>
  <c r="Z47" i="67"/>
  <c r="AF47" i="67" s="1"/>
  <c r="AA47" i="67"/>
  <c r="AB47" i="67"/>
  <c r="AD47" i="67"/>
  <c r="P48" i="67"/>
  <c r="R48" i="67"/>
  <c r="T48" i="67"/>
  <c r="U48" i="67"/>
  <c r="V48" i="67"/>
  <c r="W48" i="67"/>
  <c r="AC48" i="67"/>
  <c r="X48" i="67"/>
  <c r="Y48" i="67"/>
  <c r="Z48" i="67"/>
  <c r="AF48" i="67" s="1"/>
  <c r="AA48" i="67"/>
  <c r="AB48" i="67"/>
  <c r="AD48" i="67"/>
  <c r="P49" i="67"/>
  <c r="R49" i="67"/>
  <c r="T49" i="67"/>
  <c r="U49" i="67"/>
  <c r="V49" i="67"/>
  <c r="W49" i="67"/>
  <c r="AC49" i="67"/>
  <c r="X49" i="67"/>
  <c r="Y49" i="67"/>
  <c r="Z49" i="67"/>
  <c r="AF49" i="67" s="1"/>
  <c r="AA49" i="67"/>
  <c r="AB49" i="67"/>
  <c r="AD49" i="67"/>
  <c r="P50" i="67"/>
  <c r="R50" i="67"/>
  <c r="T50" i="67"/>
  <c r="U50" i="67"/>
  <c r="V50" i="67"/>
  <c r="W50" i="67"/>
  <c r="AC50" i="67"/>
  <c r="X50" i="67"/>
  <c r="Y50" i="67"/>
  <c r="Z50" i="67"/>
  <c r="AF50" i="67" s="1"/>
  <c r="AA50" i="67"/>
  <c r="AB50" i="67"/>
  <c r="AD50" i="67"/>
  <c r="P51" i="67"/>
  <c r="R51" i="67"/>
  <c r="T51" i="67"/>
  <c r="U51" i="67"/>
  <c r="V51" i="67"/>
  <c r="W51" i="67"/>
  <c r="AC51" i="67"/>
  <c r="X51" i="67"/>
  <c r="Y51" i="67"/>
  <c r="Z51" i="67"/>
  <c r="AF51" i="67" s="1"/>
  <c r="AA51" i="67"/>
  <c r="AB51" i="67"/>
  <c r="AD51" i="67"/>
  <c r="P52" i="67"/>
  <c r="R52" i="67"/>
  <c r="T52" i="67"/>
  <c r="U52" i="67"/>
  <c r="V52" i="67"/>
  <c r="W52" i="67"/>
  <c r="AC52" i="67"/>
  <c r="X52" i="67"/>
  <c r="Y52" i="67"/>
  <c r="Z52" i="67"/>
  <c r="AF52" i="67" s="1"/>
  <c r="AA52" i="67"/>
  <c r="AB52" i="67"/>
  <c r="AD52" i="67"/>
  <c r="P53" i="67"/>
  <c r="R53" i="67"/>
  <c r="T53" i="67"/>
  <c r="U53" i="67"/>
  <c r="V53" i="67"/>
  <c r="W53" i="67"/>
  <c r="AC53" i="67"/>
  <c r="X53" i="67"/>
  <c r="Y53" i="67"/>
  <c r="Z53" i="67"/>
  <c r="AF53" i="67" s="1"/>
  <c r="AA53" i="67"/>
  <c r="AB53" i="67"/>
  <c r="AD53" i="67"/>
  <c r="P54" i="67"/>
  <c r="R54" i="67"/>
  <c r="T54" i="67"/>
  <c r="U54" i="67"/>
  <c r="V54" i="67"/>
  <c r="W54" i="67"/>
  <c r="AC54" i="67"/>
  <c r="X54" i="67"/>
  <c r="Y54" i="67"/>
  <c r="Z54" i="67"/>
  <c r="AF54" i="67" s="1"/>
  <c r="AA54" i="67"/>
  <c r="AB54" i="67"/>
  <c r="AD54" i="67"/>
  <c r="P55" i="67"/>
  <c r="R55" i="67"/>
  <c r="T55" i="67"/>
  <c r="U55" i="67"/>
  <c r="V55" i="67"/>
  <c r="W55" i="67"/>
  <c r="AC55" i="67"/>
  <c r="X55" i="67"/>
  <c r="Y55" i="67"/>
  <c r="Z55" i="67"/>
  <c r="AF55" i="67" s="1"/>
  <c r="AA55" i="67"/>
  <c r="AB55" i="67"/>
  <c r="AD55" i="67"/>
  <c r="P56" i="67"/>
  <c r="R56" i="67"/>
  <c r="T56" i="67"/>
  <c r="U56" i="67"/>
  <c r="V56" i="67"/>
  <c r="W56" i="67"/>
  <c r="AC56" i="67"/>
  <c r="X56" i="67"/>
  <c r="Y56" i="67"/>
  <c r="Z56" i="67"/>
  <c r="AF56" i="67" s="1"/>
  <c r="AA56" i="67"/>
  <c r="AB56" i="67"/>
  <c r="AD56" i="67"/>
  <c r="P57" i="67"/>
  <c r="R57" i="67"/>
  <c r="T57" i="67"/>
  <c r="U57" i="67"/>
  <c r="V57" i="67"/>
  <c r="W57" i="67"/>
  <c r="AC57" i="67"/>
  <c r="X57" i="67"/>
  <c r="Y57" i="67"/>
  <c r="Z57" i="67"/>
  <c r="AF57" i="67" s="1"/>
  <c r="AA57" i="67"/>
  <c r="AB57" i="67"/>
  <c r="AD57" i="67"/>
  <c r="P58" i="67"/>
  <c r="R58" i="67"/>
  <c r="T58" i="67"/>
  <c r="U58" i="67"/>
  <c r="V58" i="67"/>
  <c r="W58" i="67"/>
  <c r="AC58" i="67"/>
  <c r="X58" i="67"/>
  <c r="Y58" i="67"/>
  <c r="Z58" i="67"/>
  <c r="AF58" i="67" s="1"/>
  <c r="AA58" i="67"/>
  <c r="AB58" i="67"/>
  <c r="AD58" i="67"/>
  <c r="P59" i="67"/>
  <c r="R59" i="67"/>
  <c r="T59" i="67"/>
  <c r="U59" i="67"/>
  <c r="V59" i="67"/>
  <c r="W59" i="67"/>
  <c r="AC59" i="67"/>
  <c r="X59" i="67"/>
  <c r="Y59" i="67"/>
  <c r="Z59" i="67"/>
  <c r="AF59" i="67" s="1"/>
  <c r="AA59" i="67"/>
  <c r="AB59" i="67"/>
  <c r="AD59" i="67"/>
  <c r="P60" i="67"/>
  <c r="R60" i="67"/>
  <c r="T60" i="67"/>
  <c r="U60" i="67"/>
  <c r="V60" i="67"/>
  <c r="W60" i="67"/>
  <c r="AC60" i="67"/>
  <c r="X60" i="67"/>
  <c r="Y60" i="67"/>
  <c r="Z60" i="67"/>
  <c r="AF60" i="67" s="1"/>
  <c r="AA60" i="67"/>
  <c r="AB60" i="67"/>
  <c r="AD60" i="67"/>
  <c r="P61" i="67"/>
  <c r="R61" i="67"/>
  <c r="T61" i="67"/>
  <c r="U61" i="67"/>
  <c r="V61" i="67"/>
  <c r="W61" i="67"/>
  <c r="AC61" i="67"/>
  <c r="X61" i="67"/>
  <c r="Y61" i="67"/>
  <c r="Z61" i="67"/>
  <c r="AF61" i="67" s="1"/>
  <c r="AA61" i="67"/>
  <c r="AB61" i="67"/>
  <c r="AD61" i="67"/>
  <c r="P62" i="67"/>
  <c r="R62" i="67"/>
  <c r="T62" i="67"/>
  <c r="U62" i="67"/>
  <c r="V62" i="67"/>
  <c r="W62" i="67"/>
  <c r="AC62" i="67"/>
  <c r="X62" i="67"/>
  <c r="Y62" i="67"/>
  <c r="Z62" i="67"/>
  <c r="AF62" i="67" s="1"/>
  <c r="AA62" i="67"/>
  <c r="AB62" i="67"/>
  <c r="AD62" i="67"/>
  <c r="P63" i="67"/>
  <c r="R63" i="67"/>
  <c r="T63" i="67"/>
  <c r="U63" i="67"/>
  <c r="V63" i="67"/>
  <c r="W63" i="67"/>
  <c r="AC63" i="67"/>
  <c r="X63" i="67"/>
  <c r="Y63" i="67"/>
  <c r="Z63" i="67"/>
  <c r="AF63" i="67" s="1"/>
  <c r="AA63" i="67"/>
  <c r="AB63" i="67"/>
  <c r="AD63" i="67"/>
  <c r="P64" i="67"/>
  <c r="R64" i="67"/>
  <c r="T64" i="67"/>
  <c r="U64" i="67"/>
  <c r="V64" i="67"/>
  <c r="W64" i="67"/>
  <c r="AC64" i="67"/>
  <c r="X64" i="67"/>
  <c r="Y64" i="67"/>
  <c r="Z64" i="67"/>
  <c r="AF64" i="67" s="1"/>
  <c r="AA64" i="67"/>
  <c r="AB64" i="67"/>
  <c r="AD64" i="67"/>
  <c r="P65" i="67"/>
  <c r="R65" i="67"/>
  <c r="T65" i="67"/>
  <c r="U65" i="67"/>
  <c r="V65" i="67"/>
  <c r="W65" i="67"/>
  <c r="AC65" i="67"/>
  <c r="X65" i="67"/>
  <c r="Y65" i="67"/>
  <c r="Z65" i="67"/>
  <c r="AF65" i="67" s="1"/>
  <c r="AA65" i="67"/>
  <c r="AB65" i="67"/>
  <c r="AD65" i="67"/>
  <c r="P66" i="67"/>
  <c r="R66" i="67"/>
  <c r="T66" i="67"/>
  <c r="U66" i="67"/>
  <c r="V66" i="67"/>
  <c r="W66" i="67"/>
  <c r="AC66" i="67"/>
  <c r="X66" i="67"/>
  <c r="Y66" i="67"/>
  <c r="Z66" i="67"/>
  <c r="AF66" i="67" s="1"/>
  <c r="AA66" i="67"/>
  <c r="AB66" i="67"/>
  <c r="AD66" i="67"/>
  <c r="P67" i="67"/>
  <c r="R67" i="67"/>
  <c r="T67" i="67"/>
  <c r="U67" i="67"/>
  <c r="V67" i="67"/>
  <c r="W67" i="67"/>
  <c r="AC67" i="67"/>
  <c r="X67" i="67"/>
  <c r="Y67" i="67"/>
  <c r="Z67" i="67"/>
  <c r="AF67" i="67" s="1"/>
  <c r="AA67" i="67"/>
  <c r="AB67" i="67"/>
  <c r="AD67" i="67"/>
  <c r="P68" i="67"/>
  <c r="R68" i="67"/>
  <c r="T68" i="67"/>
  <c r="U68" i="67"/>
  <c r="V68" i="67"/>
  <c r="W68" i="67"/>
  <c r="AC68" i="67"/>
  <c r="X68" i="67"/>
  <c r="Y68" i="67"/>
  <c r="Z68" i="67"/>
  <c r="AF68" i="67" s="1"/>
  <c r="AA68" i="67"/>
  <c r="AB68" i="67"/>
  <c r="AD68" i="67"/>
  <c r="P69" i="67"/>
  <c r="R69" i="67"/>
  <c r="T69" i="67"/>
  <c r="U69" i="67"/>
  <c r="V69" i="67"/>
  <c r="W69" i="67"/>
  <c r="AC69" i="67"/>
  <c r="X69" i="67"/>
  <c r="Y69" i="67"/>
  <c r="Z69" i="67"/>
  <c r="AF69" i="67" s="1"/>
  <c r="AA69" i="67"/>
  <c r="AB69" i="67"/>
  <c r="AD69" i="67"/>
  <c r="P70" i="67"/>
  <c r="R70" i="67"/>
  <c r="T70" i="67"/>
  <c r="U70" i="67"/>
  <c r="V70" i="67"/>
  <c r="W70" i="67"/>
  <c r="AC70" i="67"/>
  <c r="X70" i="67"/>
  <c r="Y70" i="67"/>
  <c r="Z70" i="67"/>
  <c r="AF70" i="67" s="1"/>
  <c r="AA70" i="67"/>
  <c r="AB70" i="67"/>
  <c r="AD70" i="67"/>
  <c r="P71" i="67"/>
  <c r="R71" i="67"/>
  <c r="T71" i="67"/>
  <c r="U71" i="67"/>
  <c r="V71" i="67"/>
  <c r="W71" i="67"/>
  <c r="AC71" i="67"/>
  <c r="X71" i="67"/>
  <c r="Y71" i="67"/>
  <c r="Z71" i="67"/>
  <c r="AF71" i="67" s="1"/>
  <c r="AA71" i="67"/>
  <c r="AB71" i="67"/>
  <c r="AD71" i="67"/>
  <c r="P72" i="67"/>
  <c r="R72" i="67"/>
  <c r="T72" i="67"/>
  <c r="U72" i="67"/>
  <c r="V72" i="67"/>
  <c r="W72" i="67"/>
  <c r="AC72" i="67"/>
  <c r="X72" i="67"/>
  <c r="Y72" i="67"/>
  <c r="Z72" i="67"/>
  <c r="AF72" i="67" s="1"/>
  <c r="AA72" i="67"/>
  <c r="AB72" i="67"/>
  <c r="AD72" i="67"/>
  <c r="P73" i="67"/>
  <c r="R73" i="67"/>
  <c r="T73" i="67"/>
  <c r="U73" i="67"/>
  <c r="V73" i="67"/>
  <c r="W73" i="67"/>
  <c r="AC73" i="67"/>
  <c r="X73" i="67"/>
  <c r="Y73" i="67"/>
  <c r="Z73" i="67"/>
  <c r="AF73" i="67" s="1"/>
  <c r="AA73" i="67"/>
  <c r="AB73" i="67"/>
  <c r="AD73" i="67"/>
  <c r="P74" i="67"/>
  <c r="R74" i="67"/>
  <c r="T74" i="67"/>
  <c r="U74" i="67"/>
  <c r="V74" i="67"/>
  <c r="W74" i="67"/>
  <c r="AC74" i="67"/>
  <c r="X74" i="67"/>
  <c r="Y74" i="67"/>
  <c r="Z74" i="67"/>
  <c r="AF74" i="67" s="1"/>
  <c r="AA74" i="67"/>
  <c r="AB74" i="67"/>
  <c r="AD74" i="67"/>
  <c r="P75" i="67"/>
  <c r="R75" i="67"/>
  <c r="T75" i="67"/>
  <c r="U75" i="67"/>
  <c r="V75" i="67"/>
  <c r="W75" i="67"/>
  <c r="AC75" i="67"/>
  <c r="X75" i="67"/>
  <c r="Y75" i="67"/>
  <c r="Z75" i="67"/>
  <c r="AF75" i="67" s="1"/>
  <c r="AA75" i="67"/>
  <c r="AB75" i="67"/>
  <c r="AD75" i="67"/>
  <c r="P76" i="67"/>
  <c r="R76" i="67"/>
  <c r="T76" i="67"/>
  <c r="U76" i="67"/>
  <c r="V76" i="67"/>
  <c r="W76" i="67"/>
  <c r="AC76" i="67"/>
  <c r="X76" i="67"/>
  <c r="Y76" i="67"/>
  <c r="Z76" i="67"/>
  <c r="AF76" i="67" s="1"/>
  <c r="AA76" i="67"/>
  <c r="AB76" i="67"/>
  <c r="AD76" i="67"/>
  <c r="P77" i="67"/>
  <c r="R77" i="67"/>
  <c r="T77" i="67"/>
  <c r="U77" i="67"/>
  <c r="V77" i="67"/>
  <c r="W77" i="67"/>
  <c r="AC77" i="67"/>
  <c r="X77" i="67"/>
  <c r="Y77" i="67"/>
  <c r="Z77" i="67"/>
  <c r="AF77" i="67" s="1"/>
  <c r="AA77" i="67"/>
  <c r="AB77" i="67"/>
  <c r="AD77" i="67"/>
  <c r="P78" i="67"/>
  <c r="R78" i="67"/>
  <c r="T78" i="67"/>
  <c r="U78" i="67"/>
  <c r="V78" i="67"/>
  <c r="W78" i="67"/>
  <c r="AC78" i="67"/>
  <c r="X78" i="67"/>
  <c r="Y78" i="67"/>
  <c r="Z78" i="67"/>
  <c r="AF78" i="67" s="1"/>
  <c r="AA78" i="67"/>
  <c r="AB78" i="67"/>
  <c r="AD78" i="67"/>
  <c r="P79" i="67"/>
  <c r="R79" i="67"/>
  <c r="T79" i="67"/>
  <c r="U79" i="67"/>
  <c r="V79" i="67"/>
  <c r="W79" i="67"/>
  <c r="AC79" i="67"/>
  <c r="X79" i="67"/>
  <c r="Y79" i="67"/>
  <c r="Z79" i="67"/>
  <c r="AF79" i="67" s="1"/>
  <c r="AA79" i="67"/>
  <c r="AB79" i="67"/>
  <c r="AD79" i="67"/>
  <c r="P80" i="67"/>
  <c r="R80" i="67"/>
  <c r="T80" i="67"/>
  <c r="U80" i="67"/>
  <c r="V80" i="67"/>
  <c r="W80" i="67"/>
  <c r="AC80" i="67"/>
  <c r="X80" i="67"/>
  <c r="Y80" i="67"/>
  <c r="Z80" i="67"/>
  <c r="AF80" i="67" s="1"/>
  <c r="AA80" i="67"/>
  <c r="AB80" i="67"/>
  <c r="AD80" i="67"/>
  <c r="P81" i="67"/>
  <c r="R81" i="67"/>
  <c r="T81" i="67"/>
  <c r="U81" i="67"/>
  <c r="V81" i="67"/>
  <c r="W81" i="67"/>
  <c r="AC81" i="67"/>
  <c r="X81" i="67"/>
  <c r="Y81" i="67"/>
  <c r="Z81" i="67"/>
  <c r="AF81" i="67" s="1"/>
  <c r="AA81" i="67"/>
  <c r="AB81" i="67"/>
  <c r="AD81" i="67"/>
  <c r="P82" i="67"/>
  <c r="R82" i="67"/>
  <c r="T82" i="67"/>
  <c r="U82" i="67"/>
  <c r="V82" i="67"/>
  <c r="W82" i="67"/>
  <c r="AC82" i="67"/>
  <c r="X82" i="67"/>
  <c r="Y82" i="67"/>
  <c r="Z82" i="67"/>
  <c r="AF82" i="67" s="1"/>
  <c r="AA82" i="67"/>
  <c r="AB82" i="67"/>
  <c r="AD82" i="67"/>
  <c r="P83" i="67"/>
  <c r="R83" i="67"/>
  <c r="T83" i="67"/>
  <c r="U83" i="67"/>
  <c r="V83" i="67"/>
  <c r="W83" i="67"/>
  <c r="AC83" i="67"/>
  <c r="X83" i="67"/>
  <c r="Y83" i="67"/>
  <c r="Z83" i="67"/>
  <c r="AF83" i="67" s="1"/>
  <c r="AA83" i="67"/>
  <c r="AB83" i="67"/>
  <c r="AD83" i="67"/>
  <c r="P84" i="67"/>
  <c r="R84" i="67"/>
  <c r="T84" i="67"/>
  <c r="U84" i="67"/>
  <c r="V84" i="67"/>
  <c r="W84" i="67"/>
  <c r="AC84" i="67"/>
  <c r="X84" i="67"/>
  <c r="Y84" i="67"/>
  <c r="Z84" i="67"/>
  <c r="AF84" i="67" s="1"/>
  <c r="AA84" i="67"/>
  <c r="AB84" i="67"/>
  <c r="AD84" i="67"/>
  <c r="P85" i="67"/>
  <c r="R85" i="67"/>
  <c r="T85" i="67"/>
  <c r="U85" i="67"/>
  <c r="V85" i="67"/>
  <c r="W85" i="67"/>
  <c r="AC85" i="67"/>
  <c r="X85" i="67"/>
  <c r="Y85" i="67"/>
  <c r="Z85" i="67"/>
  <c r="AF85" i="67" s="1"/>
  <c r="AA85" i="67"/>
  <c r="AB85" i="67"/>
  <c r="AD85" i="67"/>
  <c r="P86" i="67"/>
  <c r="R86" i="67"/>
  <c r="T86" i="67"/>
  <c r="U86" i="67"/>
  <c r="V86" i="67"/>
  <c r="W86" i="67"/>
  <c r="AC86" i="67"/>
  <c r="X86" i="67"/>
  <c r="Y86" i="67"/>
  <c r="Z86" i="67"/>
  <c r="AF86" i="67" s="1"/>
  <c r="AA86" i="67"/>
  <c r="AB86" i="67"/>
  <c r="AD86" i="67"/>
  <c r="P87" i="67"/>
  <c r="R87" i="67"/>
  <c r="T87" i="67"/>
  <c r="U87" i="67"/>
  <c r="V87" i="67"/>
  <c r="W87" i="67"/>
  <c r="AC87" i="67"/>
  <c r="X87" i="67"/>
  <c r="Y87" i="67"/>
  <c r="Z87" i="67"/>
  <c r="AF87" i="67" s="1"/>
  <c r="AA87" i="67"/>
  <c r="AB87" i="67"/>
  <c r="AD87" i="67"/>
  <c r="P88" i="67"/>
  <c r="R88" i="67"/>
  <c r="T88" i="67"/>
  <c r="U88" i="67"/>
  <c r="V88" i="67"/>
  <c r="W88" i="67"/>
  <c r="AC88" i="67"/>
  <c r="X88" i="67"/>
  <c r="Y88" i="67"/>
  <c r="Z88" i="67"/>
  <c r="AF88" i="67" s="1"/>
  <c r="AA88" i="67"/>
  <c r="AB88" i="67"/>
  <c r="AD88" i="67"/>
  <c r="P89" i="67"/>
  <c r="R89" i="67"/>
  <c r="T89" i="67"/>
  <c r="U89" i="67"/>
  <c r="V89" i="67"/>
  <c r="W89" i="67"/>
  <c r="AC89" i="67"/>
  <c r="X89" i="67"/>
  <c r="Y89" i="67"/>
  <c r="Z89" i="67"/>
  <c r="AF89" i="67" s="1"/>
  <c r="AA89" i="67"/>
  <c r="AB89" i="67"/>
  <c r="AD89" i="67"/>
  <c r="P90" i="67"/>
  <c r="R90" i="67"/>
  <c r="T90" i="67"/>
  <c r="U90" i="67"/>
  <c r="V90" i="67"/>
  <c r="W90" i="67"/>
  <c r="AC90" i="67"/>
  <c r="X90" i="67"/>
  <c r="Y90" i="67"/>
  <c r="Z90" i="67"/>
  <c r="AF90" i="67" s="1"/>
  <c r="AA90" i="67"/>
  <c r="AB90" i="67"/>
  <c r="AD90" i="67"/>
  <c r="P91" i="67"/>
  <c r="R91" i="67"/>
  <c r="T91" i="67"/>
  <c r="U91" i="67"/>
  <c r="V91" i="67"/>
  <c r="W91" i="67"/>
  <c r="AC91" i="67"/>
  <c r="X91" i="67"/>
  <c r="Y91" i="67"/>
  <c r="Z91" i="67"/>
  <c r="AF91" i="67" s="1"/>
  <c r="AA91" i="67"/>
  <c r="AB91" i="67"/>
  <c r="AD91" i="67"/>
  <c r="P92" i="67"/>
  <c r="R92" i="67"/>
  <c r="T92" i="67"/>
  <c r="U92" i="67"/>
  <c r="V92" i="67"/>
  <c r="W92" i="67"/>
  <c r="AC92" i="67"/>
  <c r="X92" i="67"/>
  <c r="Y92" i="67"/>
  <c r="Z92" i="67"/>
  <c r="AF92" i="67" s="1"/>
  <c r="AA92" i="67"/>
  <c r="AB92" i="67"/>
  <c r="AD92" i="67"/>
  <c r="P93" i="67"/>
  <c r="R93" i="67"/>
  <c r="T93" i="67"/>
  <c r="U93" i="67"/>
  <c r="V93" i="67"/>
  <c r="W93" i="67"/>
  <c r="AC93" i="67"/>
  <c r="X93" i="67"/>
  <c r="Y93" i="67"/>
  <c r="Z93" i="67"/>
  <c r="AF93" i="67" s="1"/>
  <c r="AA93" i="67"/>
  <c r="AB93" i="67"/>
  <c r="AD93" i="67"/>
  <c r="P94" i="67"/>
  <c r="R94" i="67"/>
  <c r="T94" i="67"/>
  <c r="U94" i="67"/>
  <c r="V94" i="67"/>
  <c r="W94" i="67"/>
  <c r="AC94" i="67"/>
  <c r="X94" i="67"/>
  <c r="Y94" i="67"/>
  <c r="Z94" i="67"/>
  <c r="AF94" i="67" s="1"/>
  <c r="AA94" i="67"/>
  <c r="AB94" i="67"/>
  <c r="AD94" i="67"/>
  <c r="P95" i="67"/>
  <c r="R95" i="67"/>
  <c r="T95" i="67"/>
  <c r="U95" i="67"/>
  <c r="V95" i="67"/>
  <c r="W95" i="67"/>
  <c r="AC95" i="67"/>
  <c r="X95" i="67"/>
  <c r="Y95" i="67"/>
  <c r="Z95" i="67"/>
  <c r="AF95" i="67" s="1"/>
  <c r="AA95" i="67"/>
  <c r="AB95" i="67"/>
  <c r="AD95" i="67"/>
  <c r="P96" i="67"/>
  <c r="AH96" i="67" s="1" a="1"/>
  <c r="AH96" i="67" s="1"/>
  <c r="R96" i="67"/>
  <c r="T96" i="67"/>
  <c r="U96" i="67"/>
  <c r="V96" i="67"/>
  <c r="W96" i="67"/>
  <c r="AC96" i="67"/>
  <c r="X96" i="67"/>
  <c r="Y96" i="67"/>
  <c r="Z96" i="67"/>
  <c r="AF96" i="67" s="1"/>
  <c r="AA96" i="67"/>
  <c r="AB96" i="67"/>
  <c r="AD96" i="67"/>
  <c r="P97" i="67"/>
  <c r="R97" i="67"/>
  <c r="T97" i="67"/>
  <c r="U97" i="67"/>
  <c r="V97" i="67"/>
  <c r="W97" i="67"/>
  <c r="AC97" i="67"/>
  <c r="X97" i="67"/>
  <c r="Y97" i="67"/>
  <c r="Z97" i="67"/>
  <c r="AF97" i="67" s="1"/>
  <c r="AA97" i="67"/>
  <c r="AB97" i="67"/>
  <c r="AD97" i="67"/>
  <c r="P98" i="67"/>
  <c r="R98" i="67"/>
  <c r="T98" i="67"/>
  <c r="U98" i="67"/>
  <c r="V98" i="67"/>
  <c r="W98" i="67"/>
  <c r="AC98" i="67"/>
  <c r="X98" i="67"/>
  <c r="Y98" i="67"/>
  <c r="Z98" i="67"/>
  <c r="AF98" i="67" s="1"/>
  <c r="AA98" i="67"/>
  <c r="AB98" i="67"/>
  <c r="AD98" i="67"/>
  <c r="P99" i="67"/>
  <c r="R99" i="67"/>
  <c r="T99" i="67"/>
  <c r="U99" i="67"/>
  <c r="V99" i="67"/>
  <c r="W99" i="67"/>
  <c r="AC99" i="67"/>
  <c r="X99" i="67"/>
  <c r="Y99" i="67"/>
  <c r="Z99" i="67"/>
  <c r="AF99" i="67" s="1"/>
  <c r="AA99" i="67"/>
  <c r="AB99" i="67"/>
  <c r="AD99" i="67"/>
  <c r="P100" i="67"/>
  <c r="R100" i="67"/>
  <c r="T100" i="67"/>
  <c r="U100" i="67"/>
  <c r="V100" i="67"/>
  <c r="W100" i="67"/>
  <c r="AC100" i="67"/>
  <c r="X100" i="67"/>
  <c r="Y100" i="67"/>
  <c r="Z100" i="67"/>
  <c r="AF100" i="67" s="1"/>
  <c r="AA100" i="67"/>
  <c r="AB100" i="67"/>
  <c r="AD100" i="67"/>
  <c r="P101" i="67"/>
  <c r="R101" i="67"/>
  <c r="T101" i="67"/>
  <c r="U101" i="67"/>
  <c r="V101" i="67"/>
  <c r="W101" i="67"/>
  <c r="AC101" i="67"/>
  <c r="X101" i="67"/>
  <c r="Y101" i="67"/>
  <c r="Z101" i="67"/>
  <c r="AF101" i="67" s="1"/>
  <c r="AA101" i="67"/>
  <c r="AB101" i="67"/>
  <c r="AD101" i="67"/>
  <c r="P102" i="67"/>
  <c r="R102" i="67"/>
  <c r="T102" i="67"/>
  <c r="U102" i="67"/>
  <c r="V102" i="67"/>
  <c r="W102" i="67"/>
  <c r="AC102" i="67"/>
  <c r="X102" i="67"/>
  <c r="Y102" i="67"/>
  <c r="Z102" i="67"/>
  <c r="AF102" i="67" s="1"/>
  <c r="AA102" i="67"/>
  <c r="AB102" i="67"/>
  <c r="AD102" i="67"/>
  <c r="P103" i="67"/>
  <c r="R103" i="67"/>
  <c r="T103" i="67"/>
  <c r="U103" i="67"/>
  <c r="V103" i="67"/>
  <c r="W103" i="67"/>
  <c r="AC103" i="67"/>
  <c r="X103" i="67"/>
  <c r="Y103" i="67"/>
  <c r="Z103" i="67"/>
  <c r="AF103" i="67" s="1"/>
  <c r="AA103" i="67"/>
  <c r="AB103" i="67"/>
  <c r="AD103" i="67"/>
  <c r="P104" i="67"/>
  <c r="R104" i="67"/>
  <c r="T104" i="67"/>
  <c r="U104" i="67"/>
  <c r="V104" i="67"/>
  <c r="W104" i="67"/>
  <c r="AC104" i="67"/>
  <c r="X104" i="67"/>
  <c r="Y104" i="67"/>
  <c r="Z104" i="67"/>
  <c r="AF104" i="67" s="1"/>
  <c r="AA104" i="67"/>
  <c r="AB104" i="67"/>
  <c r="AD104" i="67"/>
  <c r="P105" i="67"/>
  <c r="R105" i="67"/>
  <c r="T105" i="67"/>
  <c r="U105" i="67"/>
  <c r="V105" i="67"/>
  <c r="W105" i="67"/>
  <c r="AC105" i="67"/>
  <c r="X105" i="67"/>
  <c r="Y105" i="67"/>
  <c r="Z105" i="67"/>
  <c r="AF105" i="67" s="1"/>
  <c r="AA105" i="67"/>
  <c r="AB105" i="67"/>
  <c r="AD105" i="67"/>
  <c r="P106" i="67"/>
  <c r="R106" i="67"/>
  <c r="T106" i="67"/>
  <c r="U106" i="67"/>
  <c r="V106" i="67"/>
  <c r="W106" i="67"/>
  <c r="AC106" i="67"/>
  <c r="X106" i="67"/>
  <c r="Y106" i="67"/>
  <c r="Z106" i="67"/>
  <c r="AF106" i="67" s="1"/>
  <c r="AA106" i="67"/>
  <c r="AB106" i="67"/>
  <c r="AD106" i="67"/>
  <c r="P107" i="67"/>
  <c r="R107" i="67"/>
  <c r="T107" i="67"/>
  <c r="U107" i="67"/>
  <c r="V107" i="67"/>
  <c r="W107" i="67"/>
  <c r="AC107" i="67"/>
  <c r="X107" i="67"/>
  <c r="Y107" i="67"/>
  <c r="Z107" i="67"/>
  <c r="AF107" i="67" s="1"/>
  <c r="AA107" i="67"/>
  <c r="AB107" i="67"/>
  <c r="AD107" i="67"/>
  <c r="P108" i="67"/>
  <c r="R108" i="67"/>
  <c r="T108" i="67"/>
  <c r="U108" i="67"/>
  <c r="V108" i="67"/>
  <c r="W108" i="67"/>
  <c r="AC108" i="67"/>
  <c r="X108" i="67"/>
  <c r="Y108" i="67"/>
  <c r="Z108" i="67"/>
  <c r="AF108" i="67" s="1"/>
  <c r="AA108" i="67"/>
  <c r="AB108" i="67"/>
  <c r="AD108" i="67"/>
  <c r="P109" i="67"/>
  <c r="R109" i="67"/>
  <c r="T109" i="67"/>
  <c r="U109" i="67"/>
  <c r="V109" i="67"/>
  <c r="W109" i="67"/>
  <c r="AC109" i="67"/>
  <c r="X109" i="67"/>
  <c r="Y109" i="67"/>
  <c r="Z109" i="67"/>
  <c r="AF109" i="67" s="1"/>
  <c r="AA109" i="67"/>
  <c r="AB109" i="67"/>
  <c r="AD109" i="67"/>
  <c r="AH10" i="67" l="1" a="1"/>
  <c r="AH10" i="67" s="1"/>
  <c r="AF11" i="67"/>
  <c r="K53" i="77" s="1"/>
  <c r="AH84" i="67" a="1"/>
  <c r="AH84" i="67" s="1"/>
  <c r="AH76" i="67" a="1"/>
  <c r="AH76" i="67" s="1"/>
  <c r="AH68" i="67" a="1"/>
  <c r="AH68" i="67" s="1"/>
  <c r="AH60" i="67" a="1"/>
  <c r="AH60" i="67" s="1"/>
  <c r="AH52" i="67" a="1"/>
  <c r="AH52" i="67" s="1"/>
  <c r="AH44" i="67" a="1"/>
  <c r="AH44" i="67" s="1"/>
  <c r="AH36" i="67" a="1"/>
  <c r="AH36" i="67" s="1"/>
  <c r="AH28" i="67" a="1"/>
  <c r="AH28" i="67" s="1"/>
  <c r="AH20" i="67" a="1"/>
  <c r="AH20" i="67" s="1"/>
  <c r="AH100" i="67" a="1"/>
  <c r="AH100" i="67" s="1"/>
  <c r="AH103" i="67" a="1"/>
  <c r="AH103" i="67" s="1"/>
  <c r="AH87" i="67" a="1"/>
  <c r="AH87" i="67" s="1"/>
  <c r="AH71" i="67" a="1"/>
  <c r="AH71" i="67" s="1"/>
  <c r="AH23" i="67" a="1"/>
  <c r="AH23" i="67" s="1"/>
  <c r="AH109" i="67" a="1"/>
  <c r="AH109" i="67" s="1"/>
  <c r="AH101" i="67" a="1"/>
  <c r="AH101" i="67" s="1"/>
  <c r="AH93" i="67" a="1"/>
  <c r="AH93" i="67" s="1"/>
  <c r="AH85" i="67" a="1"/>
  <c r="AH85" i="67" s="1"/>
  <c r="AH69" i="67" a="1"/>
  <c r="AH69" i="67" s="1"/>
  <c r="AH53" i="67" a="1"/>
  <c r="AH53" i="67" s="1"/>
  <c r="AH37" i="67" a="1"/>
  <c r="AH37" i="67" s="1"/>
  <c r="AH21" i="67" a="1"/>
  <c r="AH21" i="67" s="1"/>
  <c r="AH55" i="67" a="1"/>
  <c r="AH55" i="67" s="1"/>
  <c r="AH39" i="67" a="1"/>
  <c r="AH39" i="67" s="1"/>
  <c r="AF9" i="67"/>
  <c r="AH9" i="67" s="1" a="1"/>
  <c r="AH9" i="67" s="1"/>
  <c r="AH98" i="67" a="1"/>
  <c r="AH98" i="67" s="1"/>
  <c r="AH90" i="67" a="1"/>
  <c r="AH90" i="67" s="1"/>
  <c r="AH82" i="67" a="1"/>
  <c r="AH82" i="67" s="1"/>
  <c r="AH74" i="67" a="1"/>
  <c r="AH74" i="67" s="1"/>
  <c r="AH66" i="67" a="1"/>
  <c r="AH66" i="67" s="1"/>
  <c r="AH50" i="67" a="1"/>
  <c r="AH50" i="67" s="1"/>
  <c r="AH42" i="67" a="1"/>
  <c r="AH42" i="67" s="1"/>
  <c r="AH34" i="67" a="1"/>
  <c r="AH34" i="67" s="1"/>
  <c r="AH18" i="67" a="1"/>
  <c r="AH18" i="67" s="1"/>
  <c r="AH107" i="67" a="1"/>
  <c r="AH107" i="67" s="1"/>
  <c r="AH91" i="67" a="1"/>
  <c r="AH91" i="67" s="1"/>
  <c r="AH43" i="67" a="1"/>
  <c r="AH43" i="67" s="1"/>
  <c r="AH27" i="67" a="1"/>
  <c r="AH27" i="67" s="1"/>
  <c r="S10" i="87"/>
  <c r="K58" i="77" s="1"/>
  <c r="W98" i="87"/>
  <c r="W63" i="87"/>
  <c r="W65" i="87"/>
  <c r="S53" i="87"/>
  <c r="V53" i="87" s="1" a="1"/>
  <c r="V53" i="87" s="1"/>
  <c r="V81" i="87" a="1"/>
  <c r="V81" i="87" s="1"/>
  <c r="V97" i="87" a="1"/>
  <c r="V97" i="87" s="1"/>
  <c r="V99" i="87" a="1"/>
  <c r="V99" i="87" s="1"/>
  <c r="V101" i="87" a="1"/>
  <c r="V101" i="87" s="1"/>
  <c r="V103" i="87" a="1"/>
  <c r="V103" i="87" s="1"/>
  <c r="V105" i="87" a="1"/>
  <c r="V105" i="87" s="1"/>
  <c r="V107" i="87" a="1"/>
  <c r="V107" i="87" s="1"/>
  <c r="AH65" i="67" a="1"/>
  <c r="AH65" i="67" s="1"/>
  <c r="AI65" i="67"/>
  <c r="AH49" i="67" a="1"/>
  <c r="AH49" i="67" s="1"/>
  <c r="AI49" i="67"/>
  <c r="AH33" i="67" a="1"/>
  <c r="AH33" i="67" s="1"/>
  <c r="AI33" i="67"/>
  <c r="AH17" i="67" a="1"/>
  <c r="AH17" i="67" s="1"/>
  <c r="AI17" i="67"/>
  <c r="AI107" i="67"/>
  <c r="AH81" i="67" a="1"/>
  <c r="AH81" i="67" s="1"/>
  <c r="AH58" i="67" a="1"/>
  <c r="AH58" i="67" s="1"/>
  <c r="AH59" i="67" a="1"/>
  <c r="AH59" i="67" s="1"/>
  <c r="S109" i="87"/>
  <c r="V109" i="87" s="1" a="1"/>
  <c r="V109" i="87" s="1"/>
  <c r="S96" i="87"/>
  <c r="V96" i="87" s="1" a="1"/>
  <c r="V96" i="87" s="1"/>
  <c r="S98" i="87"/>
  <c r="V98" i="87" s="1" a="1"/>
  <c r="V98" i="87" s="1"/>
  <c r="S102" i="87"/>
  <c r="V102" i="87" s="1" a="1"/>
  <c r="V102" i="87" s="1"/>
  <c r="S104" i="87"/>
  <c r="V104" i="87" s="1" a="1"/>
  <c r="V104" i="87" s="1"/>
  <c r="S106" i="87"/>
  <c r="V106" i="87" s="1" a="1"/>
  <c r="V106" i="87" s="1"/>
  <c r="S108" i="87"/>
  <c r="V108" i="87" s="1" a="1"/>
  <c r="V108" i="87" s="1"/>
  <c r="S11" i="87"/>
  <c r="S27" i="87"/>
  <c r="V27" i="87" s="1" a="1"/>
  <c r="V27" i="87" s="1"/>
  <c r="S37" i="87"/>
  <c r="V37" i="87" s="1" a="1"/>
  <c r="V37" i="87" s="1"/>
  <c r="S14" i="87"/>
  <c r="K62" i="77" s="1"/>
  <c r="S16" i="87"/>
  <c r="V16" i="87" s="1" a="1"/>
  <c r="V16" i="87" s="1"/>
  <c r="S22" i="87"/>
  <c r="V22" i="87" s="1" a="1"/>
  <c r="V22" i="87" s="1"/>
  <c r="S30" i="87"/>
  <c r="V30" i="87" s="1" a="1"/>
  <c r="V30" i="87" s="1"/>
  <c r="S32" i="87"/>
  <c r="V32" i="87" s="1" a="1"/>
  <c r="V32" i="87" s="1"/>
  <c r="S38" i="87"/>
  <c r="V38" i="87" s="1" a="1"/>
  <c r="V38" i="87" s="1"/>
  <c r="S40" i="87"/>
  <c r="V40" i="87" s="1" a="1"/>
  <c r="V40" i="87" s="1"/>
  <c r="S42" i="87"/>
  <c r="V42" i="87" s="1" a="1"/>
  <c r="V42" i="87" s="1"/>
  <c r="S46" i="87"/>
  <c r="V46" i="87" s="1" a="1"/>
  <c r="V46" i="87" s="1"/>
  <c r="S48" i="87"/>
  <c r="V48" i="87" s="1" a="1"/>
  <c r="V48" i="87" s="1"/>
  <c r="S50" i="87"/>
  <c r="V50" i="87" s="1" a="1"/>
  <c r="V50" i="87" s="1"/>
  <c r="S68" i="87"/>
  <c r="V68" i="87" s="1" a="1"/>
  <c r="V68" i="87" s="1"/>
  <c r="S74" i="87"/>
  <c r="V74" i="87" s="1" a="1"/>
  <c r="V74" i="87" s="1"/>
  <c r="S84" i="87"/>
  <c r="V84" i="87" s="1" a="1"/>
  <c r="V84" i="87" s="1"/>
  <c r="S9" i="87"/>
  <c r="V9" i="87" s="1" a="1"/>
  <c r="V9" i="87" s="1"/>
  <c r="S59" i="87"/>
  <c r="V59" i="87" s="1" a="1"/>
  <c r="V59" i="87" s="1"/>
  <c r="S85" i="87"/>
  <c r="V85" i="87" s="1" a="1"/>
  <c r="V85" i="87" s="1"/>
  <c r="S58" i="87"/>
  <c r="V58" i="87" s="1" a="1"/>
  <c r="V58" i="87" s="1"/>
  <c r="S60" i="87"/>
  <c r="V60" i="87" s="1" a="1"/>
  <c r="V60" i="87" s="1"/>
  <c r="S62" i="87"/>
  <c r="V62" i="87" s="1" a="1"/>
  <c r="V62" i="87" s="1"/>
  <c r="S64" i="87"/>
  <c r="V64" i="87" s="1" a="1"/>
  <c r="V64" i="87" s="1"/>
  <c r="S78" i="87"/>
  <c r="V78" i="87" s="1" a="1"/>
  <c r="V78" i="87" s="1"/>
  <c r="S80" i="87"/>
  <c r="V80" i="87" s="1" a="1"/>
  <c r="V80" i="87" s="1"/>
  <c r="S20" i="87"/>
  <c r="V20" i="87" s="1" a="1"/>
  <c r="V20" i="87" s="1"/>
  <c r="S26" i="87"/>
  <c r="V26" i="87" s="1" a="1"/>
  <c r="V26" i="87" s="1"/>
  <c r="S36" i="87"/>
  <c r="V36" i="87" s="1" a="1"/>
  <c r="V36" i="87" s="1"/>
  <c r="S86" i="87"/>
  <c r="V86" i="87" s="1" a="1"/>
  <c r="V86" i="87" s="1"/>
  <c r="S88" i="87"/>
  <c r="V88" i="87" s="1" a="1"/>
  <c r="V88" i="87" s="1"/>
  <c r="S90" i="87"/>
  <c r="V90" i="87" s="1" a="1"/>
  <c r="V90" i="87" s="1"/>
  <c r="S94" i="87"/>
  <c r="V94" i="87" s="1" a="1"/>
  <c r="V94" i="87" s="1"/>
  <c r="S13" i="87"/>
  <c r="S17" i="87"/>
  <c r="V17" i="87" s="1" a="1"/>
  <c r="V17" i="87" s="1"/>
  <c r="S19" i="87"/>
  <c r="V19" i="87" s="1" a="1"/>
  <c r="V19" i="87" s="1"/>
  <c r="S21" i="87"/>
  <c r="V21" i="87" s="1" a="1"/>
  <c r="V21" i="87" s="1"/>
  <c r="S29" i="87"/>
  <c r="V29" i="87" s="1" a="1"/>
  <c r="V29" i="87" s="1"/>
  <c r="S39" i="87"/>
  <c r="V39" i="87" s="1" a="1"/>
  <c r="V39" i="87" s="1"/>
  <c r="S41" i="87"/>
  <c r="V41" i="87" s="1" a="1"/>
  <c r="V41" i="87" s="1"/>
  <c r="S43" i="87"/>
  <c r="V43" i="87" s="1" a="1"/>
  <c r="V43" i="87" s="1"/>
  <c r="S45" i="87"/>
  <c r="V45" i="87" s="1" a="1"/>
  <c r="V45" i="87" s="1"/>
  <c r="S61" i="87"/>
  <c r="V61" i="87" s="1" a="1"/>
  <c r="V61" i="87" s="1"/>
  <c r="S63" i="87"/>
  <c r="V63" i="87" s="1" a="1"/>
  <c r="V63" i="87" s="1"/>
  <c r="S65" i="87"/>
  <c r="V65" i="87" s="1" a="1"/>
  <c r="V65" i="87" s="1"/>
  <c r="S67" i="87"/>
  <c r="V67" i="87" s="1" a="1"/>
  <c r="V67" i="87" s="1"/>
  <c r="S69" i="87"/>
  <c r="V69" i="87" s="1" a="1"/>
  <c r="V69" i="87" s="1"/>
  <c r="S75" i="87"/>
  <c r="V75" i="87" s="1" a="1"/>
  <c r="V75" i="87" s="1"/>
  <c r="S77" i="87"/>
  <c r="V77" i="87" s="1" a="1"/>
  <c r="V77" i="87" s="1"/>
  <c r="S79" i="87"/>
  <c r="V79" i="87" s="1" a="1"/>
  <c r="V79" i="87" s="1"/>
  <c r="S87" i="87"/>
  <c r="V87" i="87" s="1" a="1"/>
  <c r="V87" i="87" s="1"/>
  <c r="S89" i="87"/>
  <c r="V89" i="87" s="1" a="1"/>
  <c r="V89" i="87" s="1"/>
  <c r="S91" i="87"/>
  <c r="V91" i="87" s="1" a="1"/>
  <c r="V91" i="87" s="1"/>
  <c r="S93" i="87"/>
  <c r="V93" i="87" s="1" a="1"/>
  <c r="V93" i="87" s="1"/>
  <c r="S95" i="87"/>
  <c r="V95" i="87" s="1" a="1"/>
  <c r="V95" i="87" s="1"/>
  <c r="S15" i="87"/>
  <c r="S76" i="87"/>
  <c r="V76" i="87" s="1" a="1"/>
  <c r="V76" i="87" s="1"/>
  <c r="S44" i="87"/>
  <c r="V44" i="87" s="1" a="1"/>
  <c r="V44" i="87" s="1"/>
  <c r="S100" i="87"/>
  <c r="V100" i="87" s="1" a="1"/>
  <c r="V100" i="87" s="1"/>
  <c r="S28" i="87"/>
  <c r="V28" i="87" s="1" a="1"/>
  <c r="V28" i="87" s="1"/>
  <c r="S23" i="87"/>
  <c r="V23" i="87" s="1" a="1"/>
  <c r="V23" i="87" s="1"/>
  <c r="S25" i="87"/>
  <c r="V25" i="87" s="1" a="1"/>
  <c r="V25" i="87" s="1"/>
  <c r="S34" i="87"/>
  <c r="V34" i="87" s="1" a="1"/>
  <c r="V34" i="87" s="1"/>
  <c r="S52" i="87"/>
  <c r="V52" i="87" s="1" a="1"/>
  <c r="V52" i="87" s="1"/>
  <c r="S54" i="87"/>
  <c r="V54" i="87" s="1" a="1"/>
  <c r="V54" i="87" s="1"/>
  <c r="S56" i="87"/>
  <c r="V56" i="87" s="1" a="1"/>
  <c r="V56" i="87" s="1"/>
  <c r="S71" i="87"/>
  <c r="V71" i="87" s="1" a="1"/>
  <c r="V71" i="87" s="1"/>
  <c r="S73" i="87"/>
  <c r="V73" i="87" s="1" a="1"/>
  <c r="V73" i="87" s="1"/>
  <c r="S82" i="87"/>
  <c r="V82" i="87" s="1" a="1"/>
  <c r="V82" i="87" s="1"/>
  <c r="S12" i="87"/>
  <c r="S18" i="87"/>
  <c r="V18" i="87" s="1" a="1"/>
  <c r="V18" i="87" s="1"/>
  <c r="S47" i="87"/>
  <c r="V47" i="87" s="1" a="1"/>
  <c r="V47" i="87" s="1"/>
  <c r="S49" i="87"/>
  <c r="V49" i="87" s="1" a="1"/>
  <c r="V49" i="87" s="1"/>
  <c r="S51" i="87"/>
  <c r="V51" i="87" s="1" a="1"/>
  <c r="V51" i="87" s="1"/>
  <c r="S66" i="87"/>
  <c r="V66" i="87" s="1" a="1"/>
  <c r="V66" i="87" s="1"/>
  <c r="S31" i="87"/>
  <c r="V31" i="87" s="1" a="1"/>
  <c r="V31" i="87" s="1"/>
  <c r="S92" i="87"/>
  <c r="V92" i="87" s="1" a="1"/>
  <c r="V92" i="87" s="1"/>
  <c r="S24" i="87"/>
  <c r="V24" i="87" s="1" a="1"/>
  <c r="V24" i="87" s="1"/>
  <c r="S33" i="87"/>
  <c r="V33" i="87" s="1" a="1"/>
  <c r="V33" i="87" s="1"/>
  <c r="S35" i="87"/>
  <c r="V35" i="87" s="1" a="1"/>
  <c r="V35" i="87" s="1"/>
  <c r="S55" i="87"/>
  <c r="V55" i="87" s="1" a="1"/>
  <c r="V55" i="87" s="1"/>
  <c r="S57" i="87"/>
  <c r="V57" i="87" s="1" a="1"/>
  <c r="V57" i="87" s="1"/>
  <c r="S70" i="87"/>
  <c r="V70" i="87" s="1" a="1"/>
  <c r="V70" i="87" s="1"/>
  <c r="S72" i="87"/>
  <c r="V72" i="87" s="1" a="1"/>
  <c r="V72" i="87" s="1"/>
  <c r="J110" i="87"/>
  <c r="S83" i="87"/>
  <c r="V83" i="87" s="1" a="1"/>
  <c r="V83" i="87" s="1"/>
  <c r="AH70" i="67" a="1"/>
  <c r="AH70" i="67" s="1"/>
  <c r="AI70" i="67"/>
  <c r="AI67" i="67"/>
  <c r="AH67" i="67" a="1"/>
  <c r="AH67" i="67" s="1"/>
  <c r="AH31" i="67" a="1"/>
  <c r="AH31" i="67" s="1"/>
  <c r="AI31" i="67"/>
  <c r="AH22" i="67" a="1"/>
  <c r="AH22" i="67" s="1"/>
  <c r="AI22" i="67"/>
  <c r="AH79" i="67" a="1"/>
  <c r="AH79" i="67" s="1"/>
  <c r="AI79" i="67"/>
  <c r="AI35" i="67"/>
  <c r="AH35" i="67" a="1"/>
  <c r="AH35" i="67" s="1"/>
  <c r="AH11" i="67" a="1"/>
  <c r="AH11" i="67" s="1"/>
  <c r="AI11" i="67"/>
  <c r="AH80" i="67" a="1"/>
  <c r="AH80" i="67" s="1"/>
  <c r="AI80" i="67"/>
  <c r="AH48" i="67" a="1"/>
  <c r="AH48" i="67" s="1"/>
  <c r="AI48" i="67"/>
  <c r="AI106" i="67"/>
  <c r="AH106" i="67" a="1"/>
  <c r="AH106" i="67" s="1"/>
  <c r="AH95" i="67" a="1"/>
  <c r="AH95" i="67" s="1"/>
  <c r="AI95" i="67"/>
  <c r="AH86" i="67" a="1"/>
  <c r="AH86" i="67" s="1"/>
  <c r="AI86" i="67"/>
  <c r="AI83" i="67"/>
  <c r="AH83" i="67" a="1"/>
  <c r="AH83" i="67" s="1"/>
  <c r="AH38" i="67" a="1"/>
  <c r="AH38" i="67" s="1"/>
  <c r="AI38" i="67"/>
  <c r="AH47" i="67" a="1"/>
  <c r="AH47" i="67" s="1"/>
  <c r="AI47" i="67"/>
  <c r="AI74" i="67"/>
  <c r="AH72" i="67" a="1"/>
  <c r="AH72" i="67" s="1"/>
  <c r="AI72" i="67"/>
  <c r="AH51" i="67" a="1"/>
  <c r="AH51" i="67" s="1"/>
  <c r="AI51" i="67"/>
  <c r="AH24" i="67" a="1"/>
  <c r="AH24" i="67" s="1"/>
  <c r="AI24" i="67"/>
  <c r="AI10" i="67"/>
  <c r="AI97" i="67"/>
  <c r="AH97" i="67" a="1"/>
  <c r="AH97" i="67" s="1"/>
  <c r="AH13" i="67" a="1"/>
  <c r="AH13" i="67" s="1"/>
  <c r="AI13" i="67"/>
  <c r="AH45" i="67" a="1"/>
  <c r="AH45" i="67" s="1"/>
  <c r="AI45" i="67"/>
  <c r="AH61" i="67" a="1"/>
  <c r="AH61" i="67" s="1"/>
  <c r="AI61" i="67"/>
  <c r="AH16" i="67" a="1"/>
  <c r="AH16" i="67" s="1"/>
  <c r="AI16" i="67"/>
  <c r="AH56" i="67" a="1"/>
  <c r="AH56" i="67" s="1"/>
  <c r="AI56" i="67"/>
  <c r="AH64" i="67" a="1"/>
  <c r="AH64" i="67" s="1"/>
  <c r="AI64" i="67"/>
  <c r="AH26" i="67" a="1"/>
  <c r="AH26" i="67" s="1"/>
  <c r="AI26" i="67"/>
  <c r="AH108" i="67" a="1"/>
  <c r="AH108" i="67" s="1"/>
  <c r="AI108" i="67"/>
  <c r="AI102" i="67"/>
  <c r="AH102" i="67" a="1"/>
  <c r="AH102" i="67" s="1"/>
  <c r="AI99" i="67"/>
  <c r="AH99" i="67" a="1"/>
  <c r="AH99" i="67" s="1"/>
  <c r="AH75" i="67" a="1"/>
  <c r="AH75" i="67" s="1"/>
  <c r="AI75" i="67"/>
  <c r="AH54" i="67" a="1"/>
  <c r="AH54" i="67" s="1"/>
  <c r="AI54" i="67"/>
  <c r="AH15" i="67" a="1"/>
  <c r="AH15" i="67" s="1"/>
  <c r="AI15" i="67"/>
  <c r="AI90" i="67"/>
  <c r="AH88" i="67" a="1"/>
  <c r="AH88" i="67" s="1"/>
  <c r="AI88" i="67"/>
  <c r="AH63" i="67" a="1"/>
  <c r="AH63" i="67" s="1"/>
  <c r="AI63" i="67"/>
  <c r="AI42" i="67"/>
  <c r="AH40" i="67" a="1"/>
  <c r="AH40" i="67" s="1"/>
  <c r="AI40" i="67"/>
  <c r="AH19" i="67" a="1"/>
  <c r="AH19" i="67" s="1"/>
  <c r="AI19" i="67"/>
  <c r="AH104" i="67" a="1"/>
  <c r="AH104" i="67" s="1"/>
  <c r="AI104" i="67"/>
  <c r="AI91" i="67"/>
  <c r="AI43" i="67"/>
  <c r="AH29" i="67" a="1"/>
  <c r="AH29" i="67" s="1"/>
  <c r="AI29" i="67"/>
  <c r="AH12" i="67" a="1"/>
  <c r="AH12" i="67" s="1"/>
  <c r="AI12" i="67"/>
  <c r="AH92" i="67" a="1"/>
  <c r="AH92" i="67" s="1"/>
  <c r="AI92" i="67"/>
  <c r="AH77" i="67" a="1"/>
  <c r="AH77" i="67" s="1"/>
  <c r="AI77" i="67"/>
  <c r="AH32" i="67" a="1"/>
  <c r="AH32" i="67" s="1"/>
  <c r="AI32" i="67"/>
  <c r="AI109" i="67"/>
  <c r="AI93" i="67"/>
  <c r="AH105" i="67" a="1"/>
  <c r="AH105" i="67" s="1"/>
  <c r="AI98" i="67"/>
  <c r="AH89" i="67" a="1"/>
  <c r="AH89" i="67" s="1"/>
  <c r="AI82" i="67"/>
  <c r="AH73" i="67" a="1"/>
  <c r="AH73" i="67" s="1"/>
  <c r="AI66" i="67"/>
  <c r="AH57" i="67" a="1"/>
  <c r="AH57" i="67" s="1"/>
  <c r="AI50" i="67"/>
  <c r="AH41" i="67" a="1"/>
  <c r="AH41" i="67" s="1"/>
  <c r="AI34" i="67"/>
  <c r="AH25" i="67" a="1"/>
  <c r="AH25" i="67" s="1"/>
  <c r="AI18" i="67"/>
  <c r="AI103" i="67"/>
  <c r="AH94" i="67" a="1"/>
  <c r="AH94" i="67" s="1"/>
  <c r="AI87" i="67"/>
  <c r="AH78" i="67" a="1"/>
  <c r="AH78" i="67" s="1"/>
  <c r="AI71" i="67"/>
  <c r="AH62" i="67" a="1"/>
  <c r="AH62" i="67" s="1"/>
  <c r="AI55" i="67"/>
  <c r="AH46" i="67" a="1"/>
  <c r="AH46" i="67" s="1"/>
  <c r="AI39" i="67"/>
  <c r="AH30" i="67" a="1"/>
  <c r="AH30" i="67" s="1"/>
  <c r="AI23" i="67"/>
  <c r="AH14" i="67" a="1"/>
  <c r="AH14" i="67" s="1"/>
  <c r="AI76" i="67"/>
  <c r="AI60" i="67"/>
  <c r="AI44" i="67"/>
  <c r="AI28" i="67"/>
  <c r="P110" i="67"/>
  <c r="AI27" i="67"/>
  <c r="AI96" i="67"/>
  <c r="AI101" i="67"/>
  <c r="AI85" i="67"/>
  <c r="AI69" i="67"/>
  <c r="AI53" i="67"/>
  <c r="AI37" i="67"/>
  <c r="AI21" i="67"/>
  <c r="AI52" i="67"/>
  <c r="AI36" i="67"/>
  <c r="AI20" i="67"/>
  <c r="AI100" i="67"/>
  <c r="AI84" i="67"/>
  <c r="AI68" i="67"/>
  <c r="K59" i="77" l="1"/>
  <c r="V11" i="87" a="1"/>
  <c r="V11" i="87" s="1"/>
  <c r="E8" i="84"/>
  <c r="C106" i="84" s="1"/>
  <c r="AI9" i="67"/>
  <c r="W61" i="87"/>
  <c r="W53" i="87"/>
  <c r="W33" i="87"/>
  <c r="W27" i="87"/>
  <c r="V12" i="87" a="1"/>
  <c r="V12" i="87" s="1"/>
  <c r="K60" i="77"/>
  <c r="W54" i="87"/>
  <c r="V13" i="87" a="1"/>
  <c r="V13" i="87" s="1"/>
  <c r="K61" i="77"/>
  <c r="W104" i="87"/>
  <c r="W106" i="87"/>
  <c r="W100" i="87"/>
  <c r="W96" i="87"/>
  <c r="W102" i="87"/>
  <c r="W108" i="87"/>
  <c r="S110" i="87"/>
  <c r="W12" i="87"/>
  <c r="W109" i="87"/>
  <c r="W31" i="87"/>
  <c r="V15" i="87" a="1"/>
  <c r="V15" i="87" s="1"/>
  <c r="W15" i="87"/>
  <c r="W95" i="87"/>
  <c r="W29" i="87"/>
  <c r="W38" i="87"/>
  <c r="W60" i="87"/>
  <c r="W10" i="87"/>
  <c r="V10" i="87" a="1"/>
  <c r="V10" i="87" s="1"/>
  <c r="W93" i="87"/>
  <c r="W59" i="87"/>
  <c r="W44" i="87"/>
  <c r="W91" i="87"/>
  <c r="W57" i="87"/>
  <c r="W25" i="87"/>
  <c r="W24" i="87"/>
  <c r="W89" i="87"/>
  <c r="W55" i="87"/>
  <c r="W23" i="87"/>
  <c r="V14" i="87" a="1"/>
  <c r="V14" i="87" s="1"/>
  <c r="W14" i="87"/>
  <c r="W87" i="87"/>
  <c r="W21" i="87"/>
  <c r="W92" i="87"/>
  <c r="W85" i="87"/>
  <c r="W51" i="87"/>
  <c r="W19" i="87"/>
  <c r="W80" i="87"/>
  <c r="W94" i="87"/>
  <c r="W34" i="87"/>
  <c r="W83" i="87"/>
  <c r="W49" i="87"/>
  <c r="W17" i="87"/>
  <c r="W74" i="87"/>
  <c r="W88" i="87"/>
  <c r="W11" i="87"/>
  <c r="W70" i="87"/>
  <c r="W79" i="87"/>
  <c r="W47" i="87"/>
  <c r="W84" i="87"/>
  <c r="W72" i="87"/>
  <c r="W76" i="87"/>
  <c r="W13" i="87"/>
  <c r="W77" i="87"/>
  <c r="W45" i="87"/>
  <c r="W52" i="87"/>
  <c r="W66" i="87"/>
  <c r="W68" i="87"/>
  <c r="W82" i="87"/>
  <c r="W75" i="87"/>
  <c r="W43" i="87"/>
  <c r="W48" i="87"/>
  <c r="W62" i="87"/>
  <c r="W64" i="87"/>
  <c r="W58" i="87"/>
  <c r="W73" i="87"/>
  <c r="W41" i="87"/>
  <c r="W36" i="87"/>
  <c r="W50" i="87"/>
  <c r="W56" i="87"/>
  <c r="W90" i="87"/>
  <c r="W40" i="87"/>
  <c r="W71" i="87"/>
  <c r="W39" i="87"/>
  <c r="W20" i="87"/>
  <c r="W46" i="87"/>
  <c r="W42" i="87"/>
  <c r="W30" i="87"/>
  <c r="W26" i="87"/>
  <c r="W69" i="87"/>
  <c r="W37" i="87"/>
  <c r="W78" i="87"/>
  <c r="W32" i="87"/>
  <c r="W22" i="87"/>
  <c r="W86" i="87"/>
  <c r="W16" i="87"/>
  <c r="W67" i="87"/>
  <c r="W35" i="87"/>
  <c r="W28" i="87"/>
  <c r="W18" i="87"/>
  <c r="W9" i="87"/>
  <c r="AI59" i="67"/>
  <c r="AI58" i="67"/>
  <c r="AI81" i="67"/>
  <c r="AI30" i="67"/>
  <c r="AI41" i="67"/>
  <c r="AF110" i="67"/>
  <c r="AI73" i="67"/>
  <c r="AI89" i="67"/>
  <c r="AI46" i="67"/>
  <c r="AI62" i="67"/>
  <c r="AI78" i="67"/>
  <c r="AI57" i="67"/>
  <c r="AI14" i="67"/>
  <c r="AI94" i="67"/>
  <c r="AI105" i="67"/>
  <c r="AI25" i="67"/>
  <c r="V110" i="87" l="1" a="1"/>
  <c r="V110" i="87" s="1"/>
  <c r="AI110" i="67"/>
  <c r="W110" i="87"/>
  <c r="O10" i="79" l="1"/>
  <c r="E48" i="77"/>
  <c r="E49" i="77"/>
  <c r="E50" i="77"/>
  <c r="E10" i="88" l="1"/>
  <c r="F10" i="88" s="1"/>
  <c r="AC10" i="79"/>
  <c r="E18" i="77"/>
  <c r="E10" i="77"/>
  <c r="E9" i="77"/>
  <c r="O109" i="79" l="1"/>
  <c r="H10" i="88" l="1"/>
  <c r="O35" i="79"/>
  <c r="O15" i="79" l="1"/>
  <c r="X109" i="80" l="1" a="1"/>
  <c r="X109" i="80" s="1"/>
  <c r="X108" i="80" a="1"/>
  <c r="X108" i="80" s="1"/>
  <c r="X107" i="80" a="1"/>
  <c r="X107" i="80" s="1"/>
  <c r="X106" i="80" a="1"/>
  <c r="X106" i="80" s="1"/>
  <c r="X105" i="80" a="1"/>
  <c r="X105" i="80" s="1"/>
  <c r="X104" i="80" a="1"/>
  <c r="X104" i="80" s="1"/>
  <c r="X103" i="80" a="1"/>
  <c r="X103" i="80" s="1"/>
  <c r="X102" i="80" a="1"/>
  <c r="X102" i="80" s="1"/>
  <c r="Y102" i="80" s="1"/>
  <c r="X101" i="80" a="1"/>
  <c r="X101" i="80" s="1"/>
  <c r="X100" i="80" a="1"/>
  <c r="X100" i="80" s="1"/>
  <c r="Y100" i="80" s="1"/>
  <c r="X99" i="80" a="1"/>
  <c r="X99" i="80" s="1"/>
  <c r="X98" i="80" a="1"/>
  <c r="X98" i="80" s="1"/>
  <c r="X96" i="80" a="1"/>
  <c r="X96" i="80" s="1"/>
  <c r="Y96" i="80" s="1"/>
  <c r="X95" i="80" a="1"/>
  <c r="X95" i="80" s="1"/>
  <c r="Y95" i="80" s="1"/>
  <c r="X94" i="80" a="1"/>
  <c r="X94" i="80" s="1"/>
  <c r="Y94" i="80" s="1"/>
  <c r="X93" i="80" a="1"/>
  <c r="X93" i="80" s="1"/>
  <c r="Y93" i="80" s="1"/>
  <c r="X92" i="80" a="1"/>
  <c r="X92" i="80" s="1"/>
  <c r="X91" i="80" a="1"/>
  <c r="X91" i="80" s="1"/>
  <c r="Y91" i="80" s="1"/>
  <c r="X90" i="80" a="1"/>
  <c r="X90" i="80" s="1"/>
  <c r="Y90" i="80" s="1"/>
  <c r="X89" i="80" a="1"/>
  <c r="X89" i="80" s="1"/>
  <c r="Y89" i="80" s="1"/>
  <c r="X88" i="80" a="1"/>
  <c r="X88" i="80" s="1"/>
  <c r="X87" i="80" a="1"/>
  <c r="X87" i="80" s="1"/>
  <c r="X86" i="80" a="1"/>
  <c r="X86" i="80" s="1"/>
  <c r="X85" i="80" a="1"/>
  <c r="X85" i="80" s="1"/>
  <c r="X84" i="80" a="1"/>
  <c r="X84" i="80" s="1"/>
  <c r="Y84" i="80" s="1"/>
  <c r="X83" i="80" a="1"/>
  <c r="X83" i="80" s="1"/>
  <c r="X82" i="80" a="1"/>
  <c r="X82" i="80" s="1"/>
  <c r="X81" i="80" a="1"/>
  <c r="X81" i="80" s="1"/>
  <c r="Y81" i="80" s="1"/>
  <c r="X79" i="80" a="1"/>
  <c r="X79" i="80" s="1"/>
  <c r="Y79" i="80" s="1"/>
  <c r="X78" i="80" a="1"/>
  <c r="X78" i="80" s="1"/>
  <c r="X76" i="80" a="1"/>
  <c r="X76" i="80" s="1"/>
  <c r="Y76" i="80" s="1"/>
  <c r="X75" i="80" a="1"/>
  <c r="X75" i="80" s="1"/>
  <c r="X74" i="80" a="1"/>
  <c r="X74" i="80" s="1"/>
  <c r="Y74" i="80" s="1"/>
  <c r="X73" i="80" a="1"/>
  <c r="X73" i="80" s="1"/>
  <c r="X72" i="80" a="1"/>
  <c r="X72" i="80" s="1"/>
  <c r="Y72" i="80" s="1"/>
  <c r="X71" i="80" a="1"/>
  <c r="X71" i="80" s="1"/>
  <c r="X70" i="80" a="1"/>
  <c r="X70" i="80" s="1"/>
  <c r="Y70" i="80" s="1"/>
  <c r="X68" i="80" a="1"/>
  <c r="X68" i="80" s="1"/>
  <c r="Y68" i="80" s="1"/>
  <c r="X67" i="80" a="1"/>
  <c r="X67" i="80" s="1"/>
  <c r="X66" i="80" a="1"/>
  <c r="X66" i="80" s="1"/>
  <c r="X65" i="80" a="1"/>
  <c r="X65" i="80" s="1"/>
  <c r="X64" i="80" a="1"/>
  <c r="X64" i="80" s="1"/>
  <c r="X63" i="80" a="1"/>
  <c r="X63" i="80" s="1"/>
  <c r="X62" i="80" a="1"/>
  <c r="X62" i="80" s="1"/>
  <c r="X61" i="80" a="1"/>
  <c r="X61" i="80" s="1"/>
  <c r="Y61" i="80" s="1"/>
  <c r="X60" i="80" a="1"/>
  <c r="X60" i="80" s="1"/>
  <c r="Y60" i="80" s="1"/>
  <c r="X59" i="80" a="1"/>
  <c r="X59" i="80" s="1"/>
  <c r="X58" i="80" a="1"/>
  <c r="X58" i="80" s="1"/>
  <c r="Y58" i="80" s="1"/>
  <c r="X57" i="80" a="1"/>
  <c r="X57" i="80" s="1"/>
  <c r="X56" i="80" a="1"/>
  <c r="X56" i="80" s="1"/>
  <c r="X55" i="80" a="1"/>
  <c r="X55" i="80" s="1"/>
  <c r="X54" i="80" a="1"/>
  <c r="X54" i="80" s="1"/>
  <c r="X53" i="80" a="1"/>
  <c r="X53" i="80" s="1"/>
  <c r="Y53" i="80" s="1"/>
  <c r="X52" i="80" a="1"/>
  <c r="X52" i="80" s="1"/>
  <c r="Y52" i="80" s="1"/>
  <c r="X51" i="80" a="1"/>
  <c r="X51" i="80" s="1"/>
  <c r="X50" i="80" a="1"/>
  <c r="X50" i="80" s="1"/>
  <c r="Y50" i="80" s="1"/>
  <c r="X49" i="80" a="1"/>
  <c r="X49" i="80" s="1"/>
  <c r="X48" i="80" a="1"/>
  <c r="X48" i="80" s="1"/>
  <c r="Y48" i="80" s="1"/>
  <c r="X47" i="80" a="1"/>
  <c r="X47" i="80" s="1"/>
  <c r="Y47" i="80" s="1"/>
  <c r="X46" i="80" a="1"/>
  <c r="X46" i="80" s="1"/>
  <c r="X45" i="80" a="1"/>
  <c r="X45" i="80" s="1"/>
  <c r="X44" i="80" a="1"/>
  <c r="X44" i="80" s="1"/>
  <c r="Y44" i="80" s="1"/>
  <c r="X43" i="80" a="1"/>
  <c r="X43" i="80" s="1"/>
  <c r="X42" i="80" a="1"/>
  <c r="X42" i="80" s="1"/>
  <c r="X41" i="80" a="1"/>
  <c r="X41" i="80" s="1"/>
  <c r="X40" i="80" a="1"/>
  <c r="X40" i="80" s="1"/>
  <c r="Y40" i="80" s="1"/>
  <c r="X39" i="80" a="1"/>
  <c r="X39" i="80" s="1"/>
  <c r="X38" i="80" a="1"/>
  <c r="X38" i="80" s="1"/>
  <c r="Y38" i="80" s="1"/>
  <c r="X37" i="80" a="1"/>
  <c r="X37" i="80" s="1"/>
  <c r="X36" i="80" a="1"/>
  <c r="X36" i="80" s="1"/>
  <c r="Y36" i="80" s="1"/>
  <c r="X35" i="80" a="1"/>
  <c r="X35" i="80" s="1"/>
  <c r="Y35" i="80" s="1"/>
  <c r="X34" i="80" a="1"/>
  <c r="X34" i="80" s="1"/>
  <c r="X33" i="80" a="1"/>
  <c r="X33" i="80" s="1"/>
  <c r="Y33" i="80" s="1"/>
  <c r="X32" i="80" a="1"/>
  <c r="X32" i="80" s="1"/>
  <c r="X31" i="80" a="1"/>
  <c r="X31" i="80" s="1"/>
  <c r="Y31" i="80" s="1"/>
  <c r="X30" i="80" a="1"/>
  <c r="X30" i="80" s="1"/>
  <c r="X28" i="80" a="1"/>
  <c r="X28" i="80" s="1"/>
  <c r="X27" i="80" a="1"/>
  <c r="X27" i="80" s="1"/>
  <c r="X26" i="80" a="1"/>
  <c r="X26" i="80" s="1"/>
  <c r="X25" i="80" a="1"/>
  <c r="X25" i="80" s="1"/>
  <c r="Y25" i="80" s="1"/>
  <c r="X24" i="80" a="1"/>
  <c r="X24" i="80" s="1"/>
  <c r="X23" i="80" a="1"/>
  <c r="X23" i="80" s="1"/>
  <c r="X22" i="80" a="1"/>
  <c r="X22" i="80" s="1"/>
  <c r="X21" i="80" a="1"/>
  <c r="X21" i="80" s="1"/>
  <c r="X20" i="80" a="1"/>
  <c r="X20" i="80" s="1"/>
  <c r="Y20" i="80" s="1"/>
  <c r="X18" i="80" a="1"/>
  <c r="X18" i="80" s="1"/>
  <c r="Y18" i="80" s="1"/>
  <c r="X16" i="80" a="1"/>
  <c r="X16" i="80" s="1"/>
  <c r="X15" i="80" a="1"/>
  <c r="X15" i="80" s="1"/>
  <c r="X14" i="80" a="1"/>
  <c r="X14" i="80" s="1"/>
  <c r="Y10" i="80"/>
  <c r="N9" i="80"/>
  <c r="O9" i="80" s="1"/>
  <c r="Q9" i="80"/>
  <c r="R9" i="80" s="1"/>
  <c r="U9" i="80"/>
  <c r="AA9" i="80"/>
  <c r="AD9" i="80"/>
  <c r="AE9" i="80"/>
  <c r="AF9" i="80"/>
  <c r="AG9" i="80"/>
  <c r="AH9" i="80"/>
  <c r="AI9" i="80"/>
  <c r="AJ9" i="80"/>
  <c r="AK9" i="80"/>
  <c r="AN9" i="80"/>
  <c r="AQ9" i="80"/>
  <c r="AR9" i="80"/>
  <c r="AT9" i="80"/>
  <c r="O10" i="80"/>
  <c r="R10" i="80"/>
  <c r="AA10" i="80"/>
  <c r="AD10" i="80"/>
  <c r="AE10" i="80"/>
  <c r="AF10" i="80"/>
  <c r="AG10" i="80"/>
  <c r="AH10" i="80"/>
  <c r="AI10" i="80"/>
  <c r="AJ10" i="80"/>
  <c r="AK10" i="80"/>
  <c r="AL10" i="80"/>
  <c r="AN10" i="80"/>
  <c r="AO10" i="80"/>
  <c r="AQ10" i="80"/>
  <c r="AR10" i="80"/>
  <c r="AT10" i="80"/>
  <c r="AA11" i="80"/>
  <c r="AB11" i="80"/>
  <c r="AD11" i="80"/>
  <c r="AE11" i="80"/>
  <c r="AF11" i="80"/>
  <c r="AG11" i="80"/>
  <c r="AH11" i="80"/>
  <c r="AI11" i="80"/>
  <c r="AJ11" i="80"/>
  <c r="AK11" i="80"/>
  <c r="AL11" i="80"/>
  <c r="AN11" i="80"/>
  <c r="AO11" i="80"/>
  <c r="AQ11" i="80"/>
  <c r="AR11" i="80"/>
  <c r="AT11" i="80"/>
  <c r="O12" i="80"/>
  <c r="R12" i="80"/>
  <c r="U12" i="80"/>
  <c r="AA12" i="80"/>
  <c r="AB12" i="80"/>
  <c r="AD12" i="80"/>
  <c r="AE12" i="80"/>
  <c r="AF12" i="80"/>
  <c r="H48" i="77" s="1"/>
  <c r="AG12" i="80"/>
  <c r="AH12" i="80"/>
  <c r="AI12" i="80"/>
  <c r="AJ12" i="80"/>
  <c r="AK12" i="80"/>
  <c r="AL12" i="80"/>
  <c r="AN12" i="80"/>
  <c r="AO12" i="80"/>
  <c r="AQ12" i="80"/>
  <c r="AR12" i="80"/>
  <c r="AT12" i="80"/>
  <c r="O13" i="80"/>
  <c r="R13" i="80"/>
  <c r="U13" i="80"/>
  <c r="AA13" i="80"/>
  <c r="AB13" i="80"/>
  <c r="AD13" i="80"/>
  <c r="AE13" i="80"/>
  <c r="AF13" i="80"/>
  <c r="H49" i="77" s="1"/>
  <c r="AG13" i="80"/>
  <c r="AH13" i="80"/>
  <c r="AI13" i="80"/>
  <c r="AJ13" i="80"/>
  <c r="AK13" i="80"/>
  <c r="AL13" i="80"/>
  <c r="AN13" i="80"/>
  <c r="AO13" i="80"/>
  <c r="AQ13" i="80"/>
  <c r="AR13" i="80"/>
  <c r="AT13" i="80"/>
  <c r="O14" i="80"/>
  <c r="R14" i="80"/>
  <c r="U14" i="80"/>
  <c r="AA14" i="80"/>
  <c r="AB14" i="80"/>
  <c r="AD14" i="80"/>
  <c r="AE14" i="80"/>
  <c r="AF14" i="80"/>
  <c r="H50" i="77" s="1"/>
  <c r="AG14" i="80"/>
  <c r="AH14" i="80"/>
  <c r="AI14" i="80"/>
  <c r="AJ14" i="80"/>
  <c r="AK14" i="80"/>
  <c r="AL14" i="80"/>
  <c r="AN14" i="80"/>
  <c r="AO14" i="80"/>
  <c r="AQ14" i="80"/>
  <c r="AR14" i="80"/>
  <c r="AT14" i="80"/>
  <c r="O15" i="80"/>
  <c r="R15" i="80"/>
  <c r="U15" i="80"/>
  <c r="AA15" i="80"/>
  <c r="AB15" i="80"/>
  <c r="AD15" i="80"/>
  <c r="AE15" i="80"/>
  <c r="AF15" i="80"/>
  <c r="AG15" i="80"/>
  <c r="AH15" i="80"/>
  <c r="AI15" i="80"/>
  <c r="AJ15" i="80"/>
  <c r="AK15" i="80"/>
  <c r="AL15" i="80"/>
  <c r="AN15" i="80"/>
  <c r="AO15" i="80"/>
  <c r="AQ15" i="80"/>
  <c r="AR15" i="80"/>
  <c r="AT15" i="80"/>
  <c r="O16" i="80"/>
  <c r="R16" i="80"/>
  <c r="U16" i="80"/>
  <c r="AA16" i="80"/>
  <c r="AB16" i="80"/>
  <c r="AZ16" i="80" s="1" a="1"/>
  <c r="AZ16" i="80" s="1"/>
  <c r="AD16" i="80"/>
  <c r="AE16" i="80"/>
  <c r="AF16" i="80"/>
  <c r="AG16" i="80"/>
  <c r="AH16" i="80"/>
  <c r="AI16" i="80"/>
  <c r="AJ16" i="80"/>
  <c r="AK16" i="80"/>
  <c r="AL16" i="80"/>
  <c r="AN16" i="80"/>
  <c r="AO16" i="80"/>
  <c r="AQ16" i="80"/>
  <c r="AR16" i="80"/>
  <c r="AT16" i="80"/>
  <c r="O17" i="80"/>
  <c r="R17" i="80"/>
  <c r="U17" i="80"/>
  <c r="AA17" i="80"/>
  <c r="AB17" i="80"/>
  <c r="BA17" i="80" s="1" a="1"/>
  <c r="BA17" i="80" s="1"/>
  <c r="AD17" i="80"/>
  <c r="AE17" i="80"/>
  <c r="AF17" i="80"/>
  <c r="AG17" i="80"/>
  <c r="AH17" i="80"/>
  <c r="AI17" i="80"/>
  <c r="AJ17" i="80"/>
  <c r="AK17" i="80"/>
  <c r="AL17" i="80"/>
  <c r="AN17" i="80"/>
  <c r="AO17" i="80"/>
  <c r="AQ17" i="80"/>
  <c r="AR17" i="80"/>
  <c r="AT17" i="80"/>
  <c r="O18" i="80"/>
  <c r="R18" i="80"/>
  <c r="U18" i="80"/>
  <c r="AA18" i="80"/>
  <c r="AB18" i="80"/>
  <c r="AD18" i="80"/>
  <c r="AE18" i="80"/>
  <c r="AF18" i="80"/>
  <c r="AG18" i="80"/>
  <c r="AH18" i="80"/>
  <c r="AI18" i="80"/>
  <c r="AJ18" i="80"/>
  <c r="AK18" i="80"/>
  <c r="AL18" i="80"/>
  <c r="AN18" i="80"/>
  <c r="AO18" i="80"/>
  <c r="AQ18" i="80"/>
  <c r="AR18" i="80"/>
  <c r="AT18" i="80"/>
  <c r="O19" i="80"/>
  <c r="R19" i="80"/>
  <c r="U19" i="80"/>
  <c r="AA19" i="80"/>
  <c r="AB19" i="80"/>
  <c r="AD19" i="80"/>
  <c r="AE19" i="80"/>
  <c r="AF19" i="80"/>
  <c r="AG19" i="80"/>
  <c r="AH19" i="80"/>
  <c r="AI19" i="80"/>
  <c r="AJ19" i="80"/>
  <c r="AK19" i="80"/>
  <c r="AL19" i="80"/>
  <c r="AN19" i="80"/>
  <c r="AO19" i="80"/>
  <c r="AQ19" i="80"/>
  <c r="AR19" i="80"/>
  <c r="AT19" i="80"/>
  <c r="O20" i="80"/>
  <c r="R20" i="80"/>
  <c r="U20" i="80"/>
  <c r="AA20" i="80"/>
  <c r="AB20" i="80"/>
  <c r="BA20" i="80" s="1" a="1"/>
  <c r="BA20" i="80" s="1"/>
  <c r="AD20" i="80"/>
  <c r="AE20" i="80"/>
  <c r="AF20" i="80"/>
  <c r="AG20" i="80"/>
  <c r="AH20" i="80"/>
  <c r="AI20" i="80"/>
  <c r="AJ20" i="80"/>
  <c r="AK20" i="80"/>
  <c r="AL20" i="80"/>
  <c r="AN20" i="80"/>
  <c r="AO20" i="80"/>
  <c r="AQ20" i="80"/>
  <c r="AR20" i="80"/>
  <c r="AT20" i="80"/>
  <c r="O21" i="80"/>
  <c r="R21" i="80"/>
  <c r="U21" i="80"/>
  <c r="AA21" i="80"/>
  <c r="AB21" i="80"/>
  <c r="AD21" i="80"/>
  <c r="AE21" i="80"/>
  <c r="AF21" i="80"/>
  <c r="AG21" i="80"/>
  <c r="AH21" i="80"/>
  <c r="AI21" i="80"/>
  <c r="AJ21" i="80"/>
  <c r="AK21" i="80"/>
  <c r="AL21" i="80"/>
  <c r="AN21" i="80"/>
  <c r="AO21" i="80"/>
  <c r="AQ21" i="80"/>
  <c r="AR21" i="80"/>
  <c r="AT21" i="80"/>
  <c r="O22" i="80"/>
  <c r="R22" i="80"/>
  <c r="U22" i="80"/>
  <c r="AA22" i="80"/>
  <c r="AB22" i="80"/>
  <c r="BA22" i="80" s="1" a="1"/>
  <c r="BA22" i="80" s="1"/>
  <c r="AD22" i="80"/>
  <c r="AE22" i="80"/>
  <c r="AF22" i="80"/>
  <c r="AG22" i="80"/>
  <c r="AH22" i="80"/>
  <c r="AI22" i="80"/>
  <c r="AJ22" i="80"/>
  <c r="AK22" i="80"/>
  <c r="AL22" i="80"/>
  <c r="AN22" i="80"/>
  <c r="AO22" i="80"/>
  <c r="AQ22" i="80"/>
  <c r="AR22" i="80"/>
  <c r="AT22" i="80"/>
  <c r="O23" i="80"/>
  <c r="R23" i="80"/>
  <c r="U23" i="80"/>
  <c r="AA23" i="80"/>
  <c r="AB23" i="80"/>
  <c r="BA23" i="80" s="1" a="1"/>
  <c r="BA23" i="80" s="1"/>
  <c r="AD23" i="80"/>
  <c r="AE23" i="80"/>
  <c r="AF23" i="80"/>
  <c r="AG23" i="80"/>
  <c r="AH23" i="80"/>
  <c r="AI23" i="80"/>
  <c r="AJ23" i="80"/>
  <c r="AK23" i="80"/>
  <c r="AL23" i="80"/>
  <c r="AN23" i="80"/>
  <c r="AO23" i="80"/>
  <c r="AQ23" i="80"/>
  <c r="AR23" i="80"/>
  <c r="AT23" i="80"/>
  <c r="O24" i="80"/>
  <c r="R24" i="80"/>
  <c r="U24" i="80"/>
  <c r="AA24" i="80"/>
  <c r="AB24" i="80"/>
  <c r="AD24" i="80"/>
  <c r="AE24" i="80"/>
  <c r="AF24" i="80"/>
  <c r="AG24" i="80"/>
  <c r="AH24" i="80"/>
  <c r="AI24" i="80"/>
  <c r="AJ24" i="80"/>
  <c r="AK24" i="80"/>
  <c r="AL24" i="80"/>
  <c r="AN24" i="80"/>
  <c r="AO24" i="80"/>
  <c r="AQ24" i="80"/>
  <c r="AR24" i="80"/>
  <c r="AT24" i="80"/>
  <c r="O25" i="80"/>
  <c r="R25" i="80"/>
  <c r="U25" i="80"/>
  <c r="AA25" i="80"/>
  <c r="AB25" i="80"/>
  <c r="AD25" i="80"/>
  <c r="AE25" i="80"/>
  <c r="AF25" i="80"/>
  <c r="AG25" i="80"/>
  <c r="AH25" i="80"/>
  <c r="AI25" i="80"/>
  <c r="AJ25" i="80"/>
  <c r="AK25" i="80"/>
  <c r="AL25" i="80"/>
  <c r="AN25" i="80"/>
  <c r="AP25" i="80" s="1"/>
  <c r="AO25" i="80"/>
  <c r="AQ25" i="80"/>
  <c r="AR25" i="80"/>
  <c r="AT25" i="80"/>
  <c r="O26" i="80"/>
  <c r="R26" i="80"/>
  <c r="U26" i="80"/>
  <c r="AA26" i="80"/>
  <c r="AB26" i="80"/>
  <c r="BA26" i="80" s="1" a="1"/>
  <c r="BA26" i="80" s="1"/>
  <c r="AD26" i="80"/>
  <c r="AE26" i="80"/>
  <c r="AF26" i="80"/>
  <c r="AG26" i="80"/>
  <c r="AH26" i="80"/>
  <c r="AI26" i="80"/>
  <c r="AJ26" i="80"/>
  <c r="AK26" i="80"/>
  <c r="AL26" i="80"/>
  <c r="AN26" i="80"/>
  <c r="AO26" i="80"/>
  <c r="AQ26" i="80"/>
  <c r="AR26" i="80"/>
  <c r="AT26" i="80"/>
  <c r="O27" i="80"/>
  <c r="R27" i="80"/>
  <c r="U27" i="80"/>
  <c r="AA27" i="80"/>
  <c r="AB27" i="80"/>
  <c r="AD27" i="80"/>
  <c r="AE27" i="80"/>
  <c r="AF27" i="80"/>
  <c r="AG27" i="80"/>
  <c r="AH27" i="80"/>
  <c r="AI27" i="80"/>
  <c r="AJ27" i="80"/>
  <c r="AK27" i="80"/>
  <c r="AL27" i="80"/>
  <c r="AN27" i="80"/>
  <c r="AO27" i="80"/>
  <c r="AQ27" i="80"/>
  <c r="AR27" i="80"/>
  <c r="AT27" i="80"/>
  <c r="O28" i="80"/>
  <c r="R28" i="80"/>
  <c r="U28" i="80"/>
  <c r="AA28" i="80"/>
  <c r="AB28" i="80"/>
  <c r="AD28" i="80"/>
  <c r="AE28" i="80"/>
  <c r="AF28" i="80"/>
  <c r="AG28" i="80"/>
  <c r="AH28" i="80"/>
  <c r="AI28" i="80"/>
  <c r="AJ28" i="80"/>
  <c r="AK28" i="80"/>
  <c r="AL28" i="80"/>
  <c r="AN28" i="80"/>
  <c r="AO28" i="80"/>
  <c r="AQ28" i="80"/>
  <c r="AR28" i="80"/>
  <c r="AT28" i="80"/>
  <c r="O29" i="80"/>
  <c r="R29" i="80"/>
  <c r="U29" i="80"/>
  <c r="AA29" i="80"/>
  <c r="AB29" i="80"/>
  <c r="AD29" i="80"/>
  <c r="AE29" i="80"/>
  <c r="AF29" i="80"/>
  <c r="AG29" i="80"/>
  <c r="AH29" i="80"/>
  <c r="AI29" i="80"/>
  <c r="AJ29" i="80"/>
  <c r="AK29" i="80"/>
  <c r="AL29" i="80"/>
  <c r="AN29" i="80"/>
  <c r="AO29" i="80"/>
  <c r="AQ29" i="80"/>
  <c r="AR29" i="80"/>
  <c r="AT29" i="80"/>
  <c r="O30" i="80"/>
  <c r="R30" i="80"/>
  <c r="U30" i="80"/>
  <c r="AA30" i="80"/>
  <c r="AB30" i="80"/>
  <c r="AD30" i="80"/>
  <c r="AE30" i="80"/>
  <c r="AF30" i="80"/>
  <c r="AG30" i="80"/>
  <c r="AH30" i="80"/>
  <c r="AI30" i="80"/>
  <c r="AJ30" i="80"/>
  <c r="AK30" i="80"/>
  <c r="AL30" i="80"/>
  <c r="AN30" i="80"/>
  <c r="AO30" i="80"/>
  <c r="AQ30" i="80"/>
  <c r="AR30" i="80"/>
  <c r="AT30" i="80"/>
  <c r="O31" i="80"/>
  <c r="R31" i="80"/>
  <c r="U31" i="80"/>
  <c r="AA31" i="80"/>
  <c r="AB31" i="80"/>
  <c r="AD31" i="80"/>
  <c r="AE31" i="80"/>
  <c r="AF31" i="80"/>
  <c r="AG31" i="80"/>
  <c r="AH31" i="80"/>
  <c r="AI31" i="80"/>
  <c r="AJ31" i="80"/>
  <c r="AK31" i="80"/>
  <c r="AL31" i="80"/>
  <c r="AN31" i="80"/>
  <c r="AO31" i="80"/>
  <c r="AQ31" i="80"/>
  <c r="AR31" i="80"/>
  <c r="AT31" i="80"/>
  <c r="O32" i="80"/>
  <c r="R32" i="80"/>
  <c r="U32" i="80"/>
  <c r="AA32" i="80"/>
  <c r="AB32" i="80"/>
  <c r="BA32" i="80" s="1" a="1"/>
  <c r="BA32" i="80" s="1"/>
  <c r="AD32" i="80"/>
  <c r="AE32" i="80"/>
  <c r="AF32" i="80"/>
  <c r="AG32" i="80"/>
  <c r="AH32" i="80"/>
  <c r="AI32" i="80"/>
  <c r="AJ32" i="80"/>
  <c r="AK32" i="80"/>
  <c r="AL32" i="80"/>
  <c r="AN32" i="80"/>
  <c r="AO32" i="80"/>
  <c r="AQ32" i="80"/>
  <c r="AR32" i="80"/>
  <c r="AT32" i="80"/>
  <c r="O33" i="80"/>
  <c r="R33" i="80"/>
  <c r="U33" i="80"/>
  <c r="AA33" i="80"/>
  <c r="AB33" i="80"/>
  <c r="AZ33" i="80" s="1" a="1"/>
  <c r="AZ33" i="80" s="1"/>
  <c r="AD33" i="80"/>
  <c r="AE33" i="80"/>
  <c r="AF33" i="80"/>
  <c r="AG33" i="80"/>
  <c r="AH33" i="80"/>
  <c r="AI33" i="80"/>
  <c r="AJ33" i="80"/>
  <c r="AK33" i="80"/>
  <c r="AL33" i="80"/>
  <c r="AN33" i="80"/>
  <c r="AO33" i="80"/>
  <c r="AQ33" i="80"/>
  <c r="AR33" i="80"/>
  <c r="AT33" i="80"/>
  <c r="O34" i="80"/>
  <c r="R34" i="80"/>
  <c r="U34" i="80"/>
  <c r="AA34" i="80"/>
  <c r="AB34" i="80"/>
  <c r="AD34" i="80"/>
  <c r="AE34" i="80"/>
  <c r="AF34" i="80"/>
  <c r="AG34" i="80"/>
  <c r="AH34" i="80"/>
  <c r="AI34" i="80"/>
  <c r="AJ34" i="80"/>
  <c r="AK34" i="80"/>
  <c r="AL34" i="80"/>
  <c r="AN34" i="80"/>
  <c r="AO34" i="80"/>
  <c r="AQ34" i="80"/>
  <c r="AR34" i="80"/>
  <c r="AT34" i="80"/>
  <c r="O35" i="80"/>
  <c r="R35" i="80"/>
  <c r="U35" i="80"/>
  <c r="AA35" i="80"/>
  <c r="AB35" i="80"/>
  <c r="AY35" i="80" s="1" a="1"/>
  <c r="AY35" i="80" s="1"/>
  <c r="AD35" i="80"/>
  <c r="AE35" i="80"/>
  <c r="AF35" i="80"/>
  <c r="AG35" i="80"/>
  <c r="AH35" i="80"/>
  <c r="AI35" i="80"/>
  <c r="AJ35" i="80"/>
  <c r="AK35" i="80"/>
  <c r="AL35" i="80"/>
  <c r="AN35" i="80"/>
  <c r="AO35" i="80"/>
  <c r="AQ35" i="80"/>
  <c r="AR35" i="80"/>
  <c r="AT35" i="80"/>
  <c r="O36" i="80"/>
  <c r="R36" i="80"/>
  <c r="U36" i="80"/>
  <c r="AA36" i="80"/>
  <c r="AB36" i="80"/>
  <c r="AD36" i="80"/>
  <c r="AE36" i="80"/>
  <c r="AF36" i="80"/>
  <c r="AG36" i="80"/>
  <c r="AH36" i="80"/>
  <c r="AI36" i="80"/>
  <c r="AJ36" i="80"/>
  <c r="AK36" i="80"/>
  <c r="AL36" i="80"/>
  <c r="AN36" i="80"/>
  <c r="AO36" i="80"/>
  <c r="AQ36" i="80"/>
  <c r="AR36" i="80"/>
  <c r="AT36" i="80"/>
  <c r="O37" i="80"/>
  <c r="R37" i="80"/>
  <c r="U37" i="80"/>
  <c r="AA37" i="80"/>
  <c r="AB37" i="80"/>
  <c r="AY37" i="80" s="1" a="1"/>
  <c r="AY37" i="80" s="1"/>
  <c r="AD37" i="80"/>
  <c r="AE37" i="80"/>
  <c r="AF37" i="80"/>
  <c r="AG37" i="80"/>
  <c r="AH37" i="80"/>
  <c r="AI37" i="80"/>
  <c r="AJ37" i="80"/>
  <c r="AK37" i="80"/>
  <c r="AL37" i="80"/>
  <c r="AN37" i="80"/>
  <c r="AO37" i="80"/>
  <c r="AQ37" i="80"/>
  <c r="AR37" i="80"/>
  <c r="AT37" i="80"/>
  <c r="O38" i="80"/>
  <c r="R38" i="80"/>
  <c r="U38" i="80"/>
  <c r="AA38" i="80"/>
  <c r="AB38" i="80"/>
  <c r="AD38" i="80"/>
  <c r="AE38" i="80"/>
  <c r="AF38" i="80"/>
  <c r="AG38" i="80"/>
  <c r="AH38" i="80"/>
  <c r="AI38" i="80"/>
  <c r="AJ38" i="80"/>
  <c r="AK38" i="80"/>
  <c r="AL38" i="80"/>
  <c r="AN38" i="80"/>
  <c r="AO38" i="80"/>
  <c r="AQ38" i="80"/>
  <c r="AR38" i="80"/>
  <c r="AT38" i="80"/>
  <c r="O39" i="80"/>
  <c r="R39" i="80"/>
  <c r="U39" i="80"/>
  <c r="AA39" i="80"/>
  <c r="AB39" i="80"/>
  <c r="AZ39" i="80" s="1" a="1"/>
  <c r="AZ39" i="80" s="1"/>
  <c r="AD39" i="80"/>
  <c r="AE39" i="80"/>
  <c r="AF39" i="80"/>
  <c r="AG39" i="80"/>
  <c r="AH39" i="80"/>
  <c r="AI39" i="80"/>
  <c r="AJ39" i="80"/>
  <c r="AK39" i="80"/>
  <c r="AL39" i="80"/>
  <c r="AN39" i="80"/>
  <c r="AO39" i="80"/>
  <c r="AQ39" i="80"/>
  <c r="AR39" i="80"/>
  <c r="AT39" i="80"/>
  <c r="O40" i="80"/>
  <c r="R40" i="80"/>
  <c r="U40" i="80"/>
  <c r="AA40" i="80"/>
  <c r="AB40" i="80"/>
  <c r="AD40" i="80"/>
  <c r="AE40" i="80"/>
  <c r="AF40" i="80"/>
  <c r="AG40" i="80"/>
  <c r="AH40" i="80"/>
  <c r="AI40" i="80"/>
  <c r="AJ40" i="80"/>
  <c r="AK40" i="80"/>
  <c r="AL40" i="80"/>
  <c r="AN40" i="80"/>
  <c r="AO40" i="80"/>
  <c r="AQ40" i="80"/>
  <c r="AR40" i="80"/>
  <c r="AT40" i="80"/>
  <c r="O41" i="80"/>
  <c r="R41" i="80"/>
  <c r="U41" i="80"/>
  <c r="Y41" i="80"/>
  <c r="AA41" i="80"/>
  <c r="AB41" i="80"/>
  <c r="AZ41" i="80" s="1" a="1"/>
  <c r="AZ41" i="80" s="1"/>
  <c r="BF41" i="80" s="1"/>
  <c r="AD41" i="80"/>
  <c r="AE41" i="80"/>
  <c r="AF41" i="80"/>
  <c r="AG41" i="80"/>
  <c r="AH41" i="80"/>
  <c r="AI41" i="80"/>
  <c r="AJ41" i="80"/>
  <c r="AK41" i="80"/>
  <c r="AL41" i="80"/>
  <c r="AN41" i="80"/>
  <c r="AO41" i="80"/>
  <c r="AQ41" i="80"/>
  <c r="AR41" i="80"/>
  <c r="AT41" i="80"/>
  <c r="O42" i="80"/>
  <c r="R42" i="80"/>
  <c r="U42" i="80"/>
  <c r="AA42" i="80"/>
  <c r="AB42" i="80"/>
  <c r="BA42" i="80" s="1" a="1"/>
  <c r="BA42" i="80" s="1"/>
  <c r="AD42" i="80"/>
  <c r="AE42" i="80"/>
  <c r="AF42" i="80"/>
  <c r="AG42" i="80"/>
  <c r="AH42" i="80"/>
  <c r="AI42" i="80"/>
  <c r="AJ42" i="80"/>
  <c r="AK42" i="80"/>
  <c r="AL42" i="80"/>
  <c r="AN42" i="80"/>
  <c r="AO42" i="80"/>
  <c r="AQ42" i="80"/>
  <c r="AR42" i="80"/>
  <c r="AT42" i="80"/>
  <c r="O43" i="80"/>
  <c r="R43" i="80"/>
  <c r="U43" i="80"/>
  <c r="AA43" i="80"/>
  <c r="AB43" i="80"/>
  <c r="AD43" i="80"/>
  <c r="AE43" i="80"/>
  <c r="AF43" i="80"/>
  <c r="AG43" i="80"/>
  <c r="AH43" i="80"/>
  <c r="AI43" i="80"/>
  <c r="AJ43" i="80"/>
  <c r="AK43" i="80"/>
  <c r="AL43" i="80"/>
  <c r="AN43" i="80"/>
  <c r="AO43" i="80"/>
  <c r="AQ43" i="80"/>
  <c r="AR43" i="80"/>
  <c r="AT43" i="80"/>
  <c r="O44" i="80"/>
  <c r="R44" i="80"/>
  <c r="U44" i="80"/>
  <c r="AA44" i="80"/>
  <c r="AB44" i="80"/>
  <c r="AD44" i="80"/>
  <c r="AE44" i="80"/>
  <c r="AF44" i="80"/>
  <c r="AG44" i="80"/>
  <c r="AH44" i="80"/>
  <c r="AI44" i="80"/>
  <c r="AJ44" i="80"/>
  <c r="AK44" i="80"/>
  <c r="AL44" i="80"/>
  <c r="AN44" i="80"/>
  <c r="AO44" i="80"/>
  <c r="AQ44" i="80"/>
  <c r="AR44" i="80"/>
  <c r="AT44" i="80"/>
  <c r="O45" i="80"/>
  <c r="R45" i="80"/>
  <c r="U45" i="80"/>
  <c r="AA45" i="80"/>
  <c r="AB45" i="80"/>
  <c r="AZ45" i="80" s="1" a="1"/>
  <c r="AZ45" i="80" s="1"/>
  <c r="AD45" i="80"/>
  <c r="AE45" i="80"/>
  <c r="AF45" i="80"/>
  <c r="AG45" i="80"/>
  <c r="AH45" i="80"/>
  <c r="AI45" i="80"/>
  <c r="AJ45" i="80"/>
  <c r="AK45" i="80"/>
  <c r="AL45" i="80"/>
  <c r="AN45" i="80"/>
  <c r="AO45" i="80"/>
  <c r="AQ45" i="80"/>
  <c r="AR45" i="80"/>
  <c r="AT45" i="80"/>
  <c r="O46" i="80"/>
  <c r="R46" i="80"/>
  <c r="U46" i="80"/>
  <c r="AA46" i="80"/>
  <c r="AB46" i="80"/>
  <c r="AD46" i="80"/>
  <c r="AE46" i="80"/>
  <c r="AF46" i="80"/>
  <c r="AG46" i="80"/>
  <c r="AH46" i="80"/>
  <c r="AI46" i="80"/>
  <c r="AJ46" i="80"/>
  <c r="AK46" i="80"/>
  <c r="AL46" i="80"/>
  <c r="AN46" i="80"/>
  <c r="AO46" i="80"/>
  <c r="AQ46" i="80"/>
  <c r="AR46" i="80"/>
  <c r="AT46" i="80"/>
  <c r="O47" i="80"/>
  <c r="R47" i="80"/>
  <c r="U47" i="80"/>
  <c r="AA47" i="80"/>
  <c r="AB47" i="80"/>
  <c r="AD47" i="80"/>
  <c r="AE47" i="80"/>
  <c r="AF47" i="80"/>
  <c r="AG47" i="80"/>
  <c r="AH47" i="80"/>
  <c r="AI47" i="80"/>
  <c r="AJ47" i="80"/>
  <c r="AK47" i="80"/>
  <c r="AL47" i="80"/>
  <c r="AN47" i="80"/>
  <c r="AO47" i="80"/>
  <c r="AQ47" i="80"/>
  <c r="AR47" i="80"/>
  <c r="AT47" i="80"/>
  <c r="O48" i="80"/>
  <c r="R48" i="80"/>
  <c r="U48" i="80"/>
  <c r="AA48" i="80"/>
  <c r="AB48" i="80"/>
  <c r="BA48" i="80" s="1" a="1"/>
  <c r="BA48" i="80" s="1"/>
  <c r="AD48" i="80"/>
  <c r="AE48" i="80"/>
  <c r="AF48" i="80"/>
  <c r="AG48" i="80"/>
  <c r="AH48" i="80"/>
  <c r="AI48" i="80"/>
  <c r="AJ48" i="80"/>
  <c r="AK48" i="80"/>
  <c r="AL48" i="80"/>
  <c r="AN48" i="80"/>
  <c r="AO48" i="80"/>
  <c r="AQ48" i="80"/>
  <c r="AR48" i="80"/>
  <c r="AT48" i="80"/>
  <c r="O49" i="80"/>
  <c r="R49" i="80"/>
  <c r="U49" i="80"/>
  <c r="AA49" i="80"/>
  <c r="AB49" i="80"/>
  <c r="AY49" i="80" s="1" a="1"/>
  <c r="AY49" i="80" s="1"/>
  <c r="AD49" i="80"/>
  <c r="AE49" i="80"/>
  <c r="AF49" i="80"/>
  <c r="AG49" i="80"/>
  <c r="AH49" i="80"/>
  <c r="AI49" i="80"/>
  <c r="AJ49" i="80"/>
  <c r="AK49" i="80"/>
  <c r="AL49" i="80"/>
  <c r="AN49" i="80"/>
  <c r="AO49" i="80"/>
  <c r="AQ49" i="80"/>
  <c r="AR49" i="80"/>
  <c r="AT49" i="80"/>
  <c r="O50" i="80"/>
  <c r="R50" i="80"/>
  <c r="U50" i="80"/>
  <c r="AA50" i="80"/>
  <c r="AB50" i="80"/>
  <c r="AD50" i="80"/>
  <c r="AE50" i="80"/>
  <c r="AF50" i="80"/>
  <c r="AG50" i="80"/>
  <c r="AH50" i="80"/>
  <c r="AI50" i="80"/>
  <c r="AJ50" i="80"/>
  <c r="AK50" i="80"/>
  <c r="AL50" i="80"/>
  <c r="AN50" i="80"/>
  <c r="AO50" i="80"/>
  <c r="AQ50" i="80"/>
  <c r="AR50" i="80"/>
  <c r="AT50" i="80"/>
  <c r="O51" i="80"/>
  <c r="R51" i="80"/>
  <c r="U51" i="80"/>
  <c r="AA51" i="80"/>
  <c r="AB51" i="80"/>
  <c r="BA51" i="80" s="1" a="1"/>
  <c r="BA51" i="80" s="1"/>
  <c r="AD51" i="80"/>
  <c r="AE51" i="80"/>
  <c r="AF51" i="80"/>
  <c r="AG51" i="80"/>
  <c r="AH51" i="80"/>
  <c r="AI51" i="80"/>
  <c r="AJ51" i="80"/>
  <c r="AK51" i="80"/>
  <c r="AL51" i="80"/>
  <c r="AN51" i="80"/>
  <c r="AO51" i="80"/>
  <c r="AQ51" i="80"/>
  <c r="AR51" i="80"/>
  <c r="AT51" i="80"/>
  <c r="O52" i="80"/>
  <c r="R52" i="80"/>
  <c r="U52" i="80"/>
  <c r="AA52" i="80"/>
  <c r="AB52" i="80"/>
  <c r="AD52" i="80"/>
  <c r="AE52" i="80"/>
  <c r="AF52" i="80"/>
  <c r="AG52" i="80"/>
  <c r="AH52" i="80"/>
  <c r="AI52" i="80"/>
  <c r="AJ52" i="80"/>
  <c r="AK52" i="80"/>
  <c r="AL52" i="80"/>
  <c r="AN52" i="80"/>
  <c r="AO52" i="80"/>
  <c r="AQ52" i="80"/>
  <c r="AR52" i="80"/>
  <c r="AT52" i="80"/>
  <c r="O53" i="80"/>
  <c r="R53" i="80"/>
  <c r="U53" i="80"/>
  <c r="AA53" i="80"/>
  <c r="AB53" i="80"/>
  <c r="BA53" i="80" s="1" a="1"/>
  <c r="BA53" i="80" s="1"/>
  <c r="AD53" i="80"/>
  <c r="AE53" i="80"/>
  <c r="AF53" i="80"/>
  <c r="AG53" i="80"/>
  <c r="AH53" i="80"/>
  <c r="AI53" i="80"/>
  <c r="AJ53" i="80"/>
  <c r="AK53" i="80"/>
  <c r="AL53" i="80"/>
  <c r="AN53" i="80"/>
  <c r="AO53" i="80"/>
  <c r="AQ53" i="80"/>
  <c r="AR53" i="80"/>
  <c r="AT53" i="80"/>
  <c r="O54" i="80"/>
  <c r="R54" i="80"/>
  <c r="U54" i="80"/>
  <c r="Y54" i="80"/>
  <c r="AA54" i="80"/>
  <c r="AB54" i="80"/>
  <c r="AD54" i="80"/>
  <c r="AE54" i="80"/>
  <c r="AF54" i="80"/>
  <c r="AG54" i="80"/>
  <c r="AH54" i="80"/>
  <c r="AI54" i="80"/>
  <c r="AJ54" i="80"/>
  <c r="AK54" i="80"/>
  <c r="AL54" i="80"/>
  <c r="AN54" i="80"/>
  <c r="AO54" i="80"/>
  <c r="AQ54" i="80"/>
  <c r="AR54" i="80"/>
  <c r="AT54" i="80"/>
  <c r="O55" i="80"/>
  <c r="R55" i="80"/>
  <c r="U55" i="80"/>
  <c r="AA55" i="80"/>
  <c r="AB55" i="80"/>
  <c r="AY55" i="80" s="1" a="1"/>
  <c r="AY55" i="80" s="1"/>
  <c r="BE55" i="80" s="1"/>
  <c r="AD55" i="80"/>
  <c r="AE55" i="80"/>
  <c r="AF55" i="80"/>
  <c r="AG55" i="80"/>
  <c r="AH55" i="80"/>
  <c r="AI55" i="80"/>
  <c r="AJ55" i="80"/>
  <c r="AK55" i="80"/>
  <c r="AL55" i="80"/>
  <c r="AN55" i="80"/>
  <c r="AO55" i="80"/>
  <c r="AQ55" i="80"/>
  <c r="AR55" i="80"/>
  <c r="AT55" i="80"/>
  <c r="O56" i="80"/>
  <c r="R56" i="80"/>
  <c r="U56" i="80"/>
  <c r="AA56" i="80"/>
  <c r="AB56" i="80"/>
  <c r="AD56" i="80"/>
  <c r="AE56" i="80"/>
  <c r="AF56" i="80"/>
  <c r="AG56" i="80"/>
  <c r="AH56" i="80"/>
  <c r="AI56" i="80"/>
  <c r="AJ56" i="80"/>
  <c r="AK56" i="80"/>
  <c r="AL56" i="80"/>
  <c r="AN56" i="80"/>
  <c r="AO56" i="80"/>
  <c r="AQ56" i="80"/>
  <c r="AR56" i="80"/>
  <c r="AT56" i="80"/>
  <c r="O57" i="80"/>
  <c r="R57" i="80"/>
  <c r="U57" i="80"/>
  <c r="Y57" i="80"/>
  <c r="AA57" i="80"/>
  <c r="AB57" i="80"/>
  <c r="AD57" i="80"/>
  <c r="AE57" i="80"/>
  <c r="AF57" i="80"/>
  <c r="AG57" i="80"/>
  <c r="AH57" i="80"/>
  <c r="AI57" i="80"/>
  <c r="AJ57" i="80"/>
  <c r="AK57" i="80"/>
  <c r="AL57" i="80"/>
  <c r="AN57" i="80"/>
  <c r="AO57" i="80"/>
  <c r="AQ57" i="80"/>
  <c r="AR57" i="80"/>
  <c r="AT57" i="80"/>
  <c r="O58" i="80"/>
  <c r="R58" i="80"/>
  <c r="U58" i="80"/>
  <c r="AA58" i="80"/>
  <c r="AB58" i="80"/>
  <c r="BA58" i="80" s="1" a="1"/>
  <c r="BA58" i="80" s="1"/>
  <c r="AD58" i="80"/>
  <c r="AE58" i="80"/>
  <c r="AF58" i="80"/>
  <c r="AG58" i="80"/>
  <c r="AH58" i="80"/>
  <c r="AI58" i="80"/>
  <c r="AJ58" i="80"/>
  <c r="AK58" i="80"/>
  <c r="AL58" i="80"/>
  <c r="AN58" i="80"/>
  <c r="AO58" i="80"/>
  <c r="AQ58" i="80"/>
  <c r="AR58" i="80"/>
  <c r="AT58" i="80"/>
  <c r="O59" i="80"/>
  <c r="R59" i="80"/>
  <c r="U59" i="80"/>
  <c r="AA59" i="80"/>
  <c r="AB59" i="80"/>
  <c r="AD59" i="80"/>
  <c r="AE59" i="80"/>
  <c r="AF59" i="80"/>
  <c r="AG59" i="80"/>
  <c r="AH59" i="80"/>
  <c r="AI59" i="80"/>
  <c r="AJ59" i="80"/>
  <c r="AK59" i="80"/>
  <c r="AL59" i="80"/>
  <c r="AN59" i="80"/>
  <c r="AO59" i="80"/>
  <c r="AQ59" i="80"/>
  <c r="AR59" i="80"/>
  <c r="AT59" i="80"/>
  <c r="O60" i="80"/>
  <c r="R60" i="80"/>
  <c r="U60" i="80"/>
  <c r="AA60" i="80"/>
  <c r="AB60" i="80"/>
  <c r="AD60" i="80"/>
  <c r="AE60" i="80"/>
  <c r="AF60" i="80"/>
  <c r="AG60" i="80"/>
  <c r="AH60" i="80"/>
  <c r="AI60" i="80"/>
  <c r="AJ60" i="80"/>
  <c r="AK60" i="80"/>
  <c r="AL60" i="80"/>
  <c r="AN60" i="80"/>
  <c r="AO60" i="80"/>
  <c r="AQ60" i="80"/>
  <c r="AR60" i="80"/>
  <c r="AT60" i="80"/>
  <c r="O61" i="80"/>
  <c r="R61" i="80"/>
  <c r="U61" i="80"/>
  <c r="AA61" i="80"/>
  <c r="AB61" i="80"/>
  <c r="AD61" i="80"/>
  <c r="AE61" i="80"/>
  <c r="AF61" i="80"/>
  <c r="AG61" i="80"/>
  <c r="AH61" i="80"/>
  <c r="AI61" i="80"/>
  <c r="AJ61" i="80"/>
  <c r="AK61" i="80"/>
  <c r="AL61" i="80"/>
  <c r="AN61" i="80"/>
  <c r="AO61" i="80"/>
  <c r="AQ61" i="80"/>
  <c r="AR61" i="80"/>
  <c r="AT61" i="80"/>
  <c r="O62" i="80"/>
  <c r="R62" i="80"/>
  <c r="U62" i="80"/>
  <c r="AA62" i="80"/>
  <c r="AB62" i="80"/>
  <c r="AD62" i="80"/>
  <c r="AE62" i="80"/>
  <c r="AF62" i="80"/>
  <c r="AG62" i="80"/>
  <c r="AH62" i="80"/>
  <c r="AI62" i="80"/>
  <c r="AJ62" i="80"/>
  <c r="AK62" i="80"/>
  <c r="AL62" i="80"/>
  <c r="AN62" i="80"/>
  <c r="AO62" i="80"/>
  <c r="AQ62" i="80"/>
  <c r="AR62" i="80"/>
  <c r="AT62" i="80"/>
  <c r="O63" i="80"/>
  <c r="R63" i="80"/>
  <c r="U63" i="80"/>
  <c r="AA63" i="80"/>
  <c r="AB63" i="80"/>
  <c r="AD63" i="80"/>
  <c r="AE63" i="80"/>
  <c r="AF63" i="80"/>
  <c r="AG63" i="80"/>
  <c r="AH63" i="80"/>
  <c r="AI63" i="80"/>
  <c r="AJ63" i="80"/>
  <c r="AK63" i="80"/>
  <c r="AL63" i="80"/>
  <c r="AN63" i="80"/>
  <c r="AO63" i="80"/>
  <c r="AQ63" i="80"/>
  <c r="AR63" i="80"/>
  <c r="AT63" i="80"/>
  <c r="O64" i="80"/>
  <c r="R64" i="80"/>
  <c r="U64" i="80"/>
  <c r="AA64" i="80"/>
  <c r="AB64" i="80"/>
  <c r="BA64" i="80" s="1" a="1"/>
  <c r="BA64" i="80" s="1"/>
  <c r="AD64" i="80"/>
  <c r="AE64" i="80"/>
  <c r="AF64" i="80"/>
  <c r="AG64" i="80"/>
  <c r="AH64" i="80"/>
  <c r="AI64" i="80"/>
  <c r="AJ64" i="80"/>
  <c r="AK64" i="80"/>
  <c r="AL64" i="80"/>
  <c r="AN64" i="80"/>
  <c r="AO64" i="80"/>
  <c r="AQ64" i="80"/>
  <c r="AR64" i="80"/>
  <c r="AT64" i="80"/>
  <c r="O65" i="80"/>
  <c r="R65" i="80"/>
  <c r="U65" i="80"/>
  <c r="AA65" i="80"/>
  <c r="AB65" i="80"/>
  <c r="AD65" i="80"/>
  <c r="AE65" i="80"/>
  <c r="AF65" i="80"/>
  <c r="AG65" i="80"/>
  <c r="AH65" i="80"/>
  <c r="AI65" i="80"/>
  <c r="AJ65" i="80"/>
  <c r="AK65" i="80"/>
  <c r="AL65" i="80"/>
  <c r="AN65" i="80"/>
  <c r="AO65" i="80"/>
  <c r="AQ65" i="80"/>
  <c r="AR65" i="80"/>
  <c r="AT65" i="80"/>
  <c r="O66" i="80"/>
  <c r="R66" i="80"/>
  <c r="U66" i="80"/>
  <c r="AA66" i="80"/>
  <c r="AB66" i="80"/>
  <c r="AD66" i="80"/>
  <c r="AE66" i="80"/>
  <c r="AF66" i="80"/>
  <c r="AG66" i="80"/>
  <c r="AH66" i="80"/>
  <c r="AI66" i="80"/>
  <c r="AJ66" i="80"/>
  <c r="AK66" i="80"/>
  <c r="AL66" i="80"/>
  <c r="AN66" i="80"/>
  <c r="AO66" i="80"/>
  <c r="AQ66" i="80"/>
  <c r="AR66" i="80"/>
  <c r="AT66" i="80"/>
  <c r="O67" i="80"/>
  <c r="R67" i="80"/>
  <c r="U67" i="80"/>
  <c r="AA67" i="80"/>
  <c r="AB67" i="80"/>
  <c r="AD67" i="80"/>
  <c r="AE67" i="80"/>
  <c r="AF67" i="80"/>
  <c r="AG67" i="80"/>
  <c r="AH67" i="80"/>
  <c r="AI67" i="80"/>
  <c r="AJ67" i="80"/>
  <c r="AK67" i="80"/>
  <c r="AL67" i="80"/>
  <c r="AN67" i="80"/>
  <c r="AO67" i="80"/>
  <c r="AQ67" i="80"/>
  <c r="AR67" i="80"/>
  <c r="AT67" i="80"/>
  <c r="O68" i="80"/>
  <c r="R68" i="80"/>
  <c r="U68" i="80"/>
  <c r="AA68" i="80"/>
  <c r="AB68" i="80"/>
  <c r="AD68" i="80"/>
  <c r="AE68" i="80"/>
  <c r="AF68" i="80"/>
  <c r="AG68" i="80"/>
  <c r="AH68" i="80"/>
  <c r="AI68" i="80"/>
  <c r="AJ68" i="80"/>
  <c r="AK68" i="80"/>
  <c r="AL68" i="80"/>
  <c r="AN68" i="80"/>
  <c r="AO68" i="80"/>
  <c r="AQ68" i="80"/>
  <c r="AR68" i="80"/>
  <c r="AT68" i="80"/>
  <c r="O69" i="80"/>
  <c r="R69" i="80"/>
  <c r="U69" i="80"/>
  <c r="AA69" i="80"/>
  <c r="AB69" i="80"/>
  <c r="AD69" i="80"/>
  <c r="AE69" i="80"/>
  <c r="AF69" i="80"/>
  <c r="AG69" i="80"/>
  <c r="AH69" i="80"/>
  <c r="AI69" i="80"/>
  <c r="AJ69" i="80"/>
  <c r="AK69" i="80"/>
  <c r="AL69" i="80"/>
  <c r="AN69" i="80"/>
  <c r="AO69" i="80"/>
  <c r="AQ69" i="80"/>
  <c r="AR69" i="80"/>
  <c r="AT69" i="80"/>
  <c r="O70" i="80"/>
  <c r="R70" i="80"/>
  <c r="U70" i="80"/>
  <c r="AA70" i="80"/>
  <c r="AB70" i="80"/>
  <c r="AD70" i="80"/>
  <c r="AE70" i="80"/>
  <c r="AF70" i="80"/>
  <c r="AG70" i="80"/>
  <c r="AH70" i="80"/>
  <c r="AI70" i="80"/>
  <c r="AJ70" i="80"/>
  <c r="AK70" i="80"/>
  <c r="AL70" i="80"/>
  <c r="AN70" i="80"/>
  <c r="AO70" i="80"/>
  <c r="AQ70" i="80"/>
  <c r="AR70" i="80"/>
  <c r="AT70" i="80"/>
  <c r="O71" i="80"/>
  <c r="R71" i="80"/>
  <c r="U71" i="80"/>
  <c r="AA71" i="80"/>
  <c r="AB71" i="80"/>
  <c r="BA71" i="80" s="1" a="1"/>
  <c r="BA71" i="80" s="1"/>
  <c r="AD71" i="80"/>
  <c r="AE71" i="80"/>
  <c r="AF71" i="80"/>
  <c r="AG71" i="80"/>
  <c r="AH71" i="80"/>
  <c r="AI71" i="80"/>
  <c r="AJ71" i="80"/>
  <c r="AK71" i="80"/>
  <c r="AL71" i="80"/>
  <c r="AN71" i="80"/>
  <c r="AO71" i="80"/>
  <c r="AQ71" i="80"/>
  <c r="AR71" i="80"/>
  <c r="AT71" i="80"/>
  <c r="O72" i="80"/>
  <c r="R72" i="80"/>
  <c r="U72" i="80"/>
  <c r="AA72" i="80"/>
  <c r="AB72" i="80"/>
  <c r="AD72" i="80"/>
  <c r="AE72" i="80"/>
  <c r="AF72" i="80"/>
  <c r="AG72" i="80"/>
  <c r="AH72" i="80"/>
  <c r="AI72" i="80"/>
  <c r="AJ72" i="80"/>
  <c r="AK72" i="80"/>
  <c r="AL72" i="80"/>
  <c r="AN72" i="80"/>
  <c r="AO72" i="80"/>
  <c r="AQ72" i="80"/>
  <c r="AR72" i="80"/>
  <c r="AT72" i="80"/>
  <c r="O73" i="80"/>
  <c r="R73" i="80"/>
  <c r="U73" i="80"/>
  <c r="Y73" i="80"/>
  <c r="AA73" i="80"/>
  <c r="AB73" i="80"/>
  <c r="AD73" i="80"/>
  <c r="AE73" i="80"/>
  <c r="AF73" i="80"/>
  <c r="AG73" i="80"/>
  <c r="AH73" i="80"/>
  <c r="AI73" i="80"/>
  <c r="AJ73" i="80"/>
  <c r="AK73" i="80"/>
  <c r="AL73" i="80"/>
  <c r="AN73" i="80"/>
  <c r="AO73" i="80"/>
  <c r="AQ73" i="80"/>
  <c r="AR73" i="80"/>
  <c r="AT73" i="80"/>
  <c r="O74" i="80"/>
  <c r="R74" i="80"/>
  <c r="U74" i="80"/>
  <c r="AA74" i="80"/>
  <c r="AB74" i="80"/>
  <c r="BA74" i="80" s="1" a="1"/>
  <c r="BA74" i="80" s="1"/>
  <c r="AD74" i="80"/>
  <c r="AE74" i="80"/>
  <c r="AF74" i="80"/>
  <c r="AG74" i="80"/>
  <c r="AH74" i="80"/>
  <c r="AI74" i="80"/>
  <c r="AJ74" i="80"/>
  <c r="AK74" i="80"/>
  <c r="AL74" i="80"/>
  <c r="AN74" i="80"/>
  <c r="AO74" i="80"/>
  <c r="AQ74" i="80"/>
  <c r="AR74" i="80"/>
  <c r="AT74" i="80"/>
  <c r="O75" i="80"/>
  <c r="R75" i="80"/>
  <c r="U75" i="80"/>
  <c r="AA75" i="80"/>
  <c r="AB75" i="80"/>
  <c r="AD75" i="80"/>
  <c r="AE75" i="80"/>
  <c r="AF75" i="80"/>
  <c r="AG75" i="80"/>
  <c r="AH75" i="80"/>
  <c r="AI75" i="80"/>
  <c r="AJ75" i="80"/>
  <c r="AK75" i="80"/>
  <c r="AL75" i="80"/>
  <c r="AN75" i="80"/>
  <c r="AO75" i="80"/>
  <c r="AQ75" i="80"/>
  <c r="AR75" i="80"/>
  <c r="AT75" i="80"/>
  <c r="O76" i="80"/>
  <c r="R76" i="80"/>
  <c r="U76" i="80"/>
  <c r="AA76" i="80"/>
  <c r="AB76" i="80"/>
  <c r="AD76" i="80"/>
  <c r="AE76" i="80"/>
  <c r="AF76" i="80"/>
  <c r="AG76" i="80"/>
  <c r="AH76" i="80"/>
  <c r="AI76" i="80"/>
  <c r="AJ76" i="80"/>
  <c r="AK76" i="80"/>
  <c r="AL76" i="80"/>
  <c r="AN76" i="80"/>
  <c r="AO76" i="80"/>
  <c r="AQ76" i="80"/>
  <c r="AR76" i="80"/>
  <c r="AT76" i="80"/>
  <c r="O77" i="80"/>
  <c r="R77" i="80"/>
  <c r="U77" i="80"/>
  <c r="AA77" i="80"/>
  <c r="AB77" i="80"/>
  <c r="AD77" i="80"/>
  <c r="AE77" i="80"/>
  <c r="AF77" i="80"/>
  <c r="AG77" i="80"/>
  <c r="AH77" i="80"/>
  <c r="AI77" i="80"/>
  <c r="AJ77" i="80"/>
  <c r="AK77" i="80"/>
  <c r="AL77" i="80"/>
  <c r="AN77" i="80"/>
  <c r="AO77" i="80"/>
  <c r="AQ77" i="80"/>
  <c r="AR77" i="80"/>
  <c r="AT77" i="80"/>
  <c r="O78" i="80"/>
  <c r="R78" i="80"/>
  <c r="U78" i="80"/>
  <c r="AA78" i="80"/>
  <c r="AB78" i="80"/>
  <c r="AD78" i="80"/>
  <c r="AE78" i="80"/>
  <c r="AF78" i="80"/>
  <c r="AG78" i="80"/>
  <c r="AH78" i="80"/>
  <c r="AI78" i="80"/>
  <c r="AJ78" i="80"/>
  <c r="AK78" i="80"/>
  <c r="AL78" i="80"/>
  <c r="AN78" i="80"/>
  <c r="AO78" i="80"/>
  <c r="AQ78" i="80"/>
  <c r="AR78" i="80"/>
  <c r="AT78" i="80"/>
  <c r="O79" i="80"/>
  <c r="R79" i="80"/>
  <c r="U79" i="80"/>
  <c r="AA79" i="80"/>
  <c r="AB79" i="80"/>
  <c r="AD79" i="80"/>
  <c r="AE79" i="80"/>
  <c r="AF79" i="80"/>
  <c r="AG79" i="80"/>
  <c r="AH79" i="80"/>
  <c r="AI79" i="80"/>
  <c r="AJ79" i="80"/>
  <c r="AK79" i="80"/>
  <c r="AL79" i="80"/>
  <c r="AN79" i="80"/>
  <c r="AO79" i="80"/>
  <c r="AQ79" i="80"/>
  <c r="AR79" i="80"/>
  <c r="AT79" i="80"/>
  <c r="O80" i="80"/>
  <c r="R80" i="80"/>
  <c r="U80" i="80"/>
  <c r="AA80" i="80"/>
  <c r="AB80" i="80"/>
  <c r="AD80" i="80"/>
  <c r="AE80" i="80"/>
  <c r="AF80" i="80"/>
  <c r="AG80" i="80"/>
  <c r="AH80" i="80"/>
  <c r="AI80" i="80"/>
  <c r="AJ80" i="80"/>
  <c r="AK80" i="80"/>
  <c r="AL80" i="80"/>
  <c r="AN80" i="80"/>
  <c r="AO80" i="80"/>
  <c r="AQ80" i="80"/>
  <c r="AR80" i="80"/>
  <c r="AT80" i="80"/>
  <c r="O81" i="80"/>
  <c r="R81" i="80"/>
  <c r="U81" i="80"/>
  <c r="AA81" i="80"/>
  <c r="AB81" i="80"/>
  <c r="AD81" i="80"/>
  <c r="AE81" i="80"/>
  <c r="AF81" i="80"/>
  <c r="AG81" i="80"/>
  <c r="AH81" i="80"/>
  <c r="AI81" i="80"/>
  <c r="AJ81" i="80"/>
  <c r="AK81" i="80"/>
  <c r="AL81" i="80"/>
  <c r="AN81" i="80"/>
  <c r="AO81" i="80"/>
  <c r="AQ81" i="80"/>
  <c r="AR81" i="80"/>
  <c r="AT81" i="80"/>
  <c r="O82" i="80"/>
  <c r="R82" i="80"/>
  <c r="U82" i="80"/>
  <c r="AA82" i="80"/>
  <c r="AB82" i="80"/>
  <c r="AD82" i="80"/>
  <c r="AE82" i="80"/>
  <c r="AF82" i="80"/>
  <c r="AG82" i="80"/>
  <c r="AH82" i="80"/>
  <c r="AI82" i="80"/>
  <c r="AJ82" i="80"/>
  <c r="AK82" i="80"/>
  <c r="AL82" i="80"/>
  <c r="AN82" i="80"/>
  <c r="AO82" i="80"/>
  <c r="AQ82" i="80"/>
  <c r="AR82" i="80"/>
  <c r="AT82" i="80"/>
  <c r="O83" i="80"/>
  <c r="R83" i="80"/>
  <c r="U83" i="80"/>
  <c r="AA83" i="80"/>
  <c r="AB83" i="80"/>
  <c r="AD83" i="80"/>
  <c r="AE83" i="80"/>
  <c r="AF83" i="80"/>
  <c r="AG83" i="80"/>
  <c r="AH83" i="80"/>
  <c r="AI83" i="80"/>
  <c r="AJ83" i="80"/>
  <c r="AK83" i="80"/>
  <c r="AL83" i="80"/>
  <c r="AN83" i="80"/>
  <c r="AO83" i="80"/>
  <c r="AQ83" i="80"/>
  <c r="AR83" i="80"/>
  <c r="AT83" i="80"/>
  <c r="O84" i="80"/>
  <c r="R84" i="80"/>
  <c r="U84" i="80"/>
  <c r="AA84" i="80"/>
  <c r="AB84" i="80"/>
  <c r="AY84" i="80" s="1" a="1"/>
  <c r="AY84" i="80" s="1"/>
  <c r="AD84" i="80"/>
  <c r="AE84" i="80"/>
  <c r="AF84" i="80"/>
  <c r="AG84" i="80"/>
  <c r="AH84" i="80"/>
  <c r="AI84" i="80"/>
  <c r="AJ84" i="80"/>
  <c r="AK84" i="80"/>
  <c r="AL84" i="80"/>
  <c r="AN84" i="80"/>
  <c r="AO84" i="80"/>
  <c r="AQ84" i="80"/>
  <c r="AR84" i="80"/>
  <c r="AT84" i="80"/>
  <c r="O85" i="80"/>
  <c r="R85" i="80"/>
  <c r="U85" i="80"/>
  <c r="AA85" i="80"/>
  <c r="AB85" i="80"/>
  <c r="AD85" i="80"/>
  <c r="AE85" i="80"/>
  <c r="AF85" i="80"/>
  <c r="AG85" i="80"/>
  <c r="AH85" i="80"/>
  <c r="AI85" i="80"/>
  <c r="AJ85" i="80"/>
  <c r="AK85" i="80"/>
  <c r="AL85" i="80"/>
  <c r="AN85" i="80"/>
  <c r="AO85" i="80"/>
  <c r="AQ85" i="80"/>
  <c r="AR85" i="80"/>
  <c r="AT85" i="80"/>
  <c r="O86" i="80"/>
  <c r="R86" i="80"/>
  <c r="U86" i="80"/>
  <c r="AA86" i="80"/>
  <c r="AB86" i="80"/>
  <c r="BA86" i="80" s="1" a="1"/>
  <c r="BA86" i="80" s="1"/>
  <c r="AD86" i="80"/>
  <c r="AE86" i="80"/>
  <c r="AF86" i="80"/>
  <c r="AG86" i="80"/>
  <c r="AH86" i="80"/>
  <c r="AI86" i="80"/>
  <c r="AJ86" i="80"/>
  <c r="AK86" i="80"/>
  <c r="AL86" i="80"/>
  <c r="AN86" i="80"/>
  <c r="AO86" i="80"/>
  <c r="AQ86" i="80"/>
  <c r="AR86" i="80"/>
  <c r="AT86" i="80"/>
  <c r="O87" i="80"/>
  <c r="R87" i="80"/>
  <c r="U87" i="80"/>
  <c r="AA87" i="80"/>
  <c r="AB87" i="80"/>
  <c r="AD87" i="80"/>
  <c r="AE87" i="80"/>
  <c r="AF87" i="80"/>
  <c r="AG87" i="80"/>
  <c r="AH87" i="80"/>
  <c r="AI87" i="80"/>
  <c r="AJ87" i="80"/>
  <c r="AK87" i="80"/>
  <c r="AL87" i="80"/>
  <c r="AN87" i="80"/>
  <c r="AO87" i="80"/>
  <c r="AQ87" i="80"/>
  <c r="AR87" i="80"/>
  <c r="AT87" i="80"/>
  <c r="O88" i="80"/>
  <c r="R88" i="80"/>
  <c r="U88" i="80"/>
  <c r="Y88" i="80"/>
  <c r="AA88" i="80"/>
  <c r="AB88" i="80"/>
  <c r="AD88" i="80"/>
  <c r="AE88" i="80"/>
  <c r="AF88" i="80"/>
  <c r="AG88" i="80"/>
  <c r="AH88" i="80"/>
  <c r="AI88" i="80"/>
  <c r="AJ88" i="80"/>
  <c r="AK88" i="80"/>
  <c r="AL88" i="80"/>
  <c r="AN88" i="80"/>
  <c r="AO88" i="80"/>
  <c r="AQ88" i="80"/>
  <c r="AR88" i="80"/>
  <c r="AT88" i="80"/>
  <c r="O89" i="80"/>
  <c r="R89" i="80"/>
  <c r="U89" i="80"/>
  <c r="AA89" i="80"/>
  <c r="AB89" i="80"/>
  <c r="AD89" i="80"/>
  <c r="AE89" i="80"/>
  <c r="AF89" i="80"/>
  <c r="AG89" i="80"/>
  <c r="AH89" i="80"/>
  <c r="AI89" i="80"/>
  <c r="AJ89" i="80"/>
  <c r="AK89" i="80"/>
  <c r="AL89" i="80"/>
  <c r="AN89" i="80"/>
  <c r="AO89" i="80"/>
  <c r="AQ89" i="80"/>
  <c r="AR89" i="80"/>
  <c r="AT89" i="80"/>
  <c r="O90" i="80"/>
  <c r="R90" i="80"/>
  <c r="U90" i="80"/>
  <c r="AA90" i="80"/>
  <c r="AB90" i="80"/>
  <c r="AD90" i="80"/>
  <c r="AE90" i="80"/>
  <c r="AF90" i="80"/>
  <c r="AG90" i="80"/>
  <c r="AH90" i="80"/>
  <c r="AI90" i="80"/>
  <c r="AJ90" i="80"/>
  <c r="AK90" i="80"/>
  <c r="AL90" i="80"/>
  <c r="AN90" i="80"/>
  <c r="AO90" i="80"/>
  <c r="AQ90" i="80"/>
  <c r="AR90" i="80"/>
  <c r="AT90" i="80"/>
  <c r="O91" i="80"/>
  <c r="R91" i="80"/>
  <c r="U91" i="80"/>
  <c r="AA91" i="80"/>
  <c r="AB91" i="80"/>
  <c r="AD91" i="80"/>
  <c r="AE91" i="80"/>
  <c r="AF91" i="80"/>
  <c r="AG91" i="80"/>
  <c r="AH91" i="80"/>
  <c r="AI91" i="80"/>
  <c r="AJ91" i="80"/>
  <c r="AK91" i="80"/>
  <c r="AL91" i="80"/>
  <c r="AN91" i="80"/>
  <c r="AO91" i="80"/>
  <c r="AQ91" i="80"/>
  <c r="AR91" i="80"/>
  <c r="AT91" i="80"/>
  <c r="O92" i="80"/>
  <c r="R92" i="80"/>
  <c r="U92" i="80"/>
  <c r="Y92" i="80"/>
  <c r="AA92" i="80"/>
  <c r="AB92" i="80"/>
  <c r="AD92" i="80"/>
  <c r="AE92" i="80"/>
  <c r="AF92" i="80"/>
  <c r="AG92" i="80"/>
  <c r="AH92" i="80"/>
  <c r="AI92" i="80"/>
  <c r="AJ92" i="80"/>
  <c r="AK92" i="80"/>
  <c r="AL92" i="80"/>
  <c r="AN92" i="80"/>
  <c r="AO92" i="80"/>
  <c r="AQ92" i="80"/>
  <c r="AR92" i="80"/>
  <c r="AT92" i="80"/>
  <c r="O93" i="80"/>
  <c r="R93" i="80"/>
  <c r="U93" i="80"/>
  <c r="AA93" i="80"/>
  <c r="AB93" i="80"/>
  <c r="AD93" i="80"/>
  <c r="AE93" i="80"/>
  <c r="AF93" i="80"/>
  <c r="AG93" i="80"/>
  <c r="AH93" i="80"/>
  <c r="AI93" i="80"/>
  <c r="AJ93" i="80"/>
  <c r="AK93" i="80"/>
  <c r="AL93" i="80"/>
  <c r="AN93" i="80"/>
  <c r="AO93" i="80"/>
  <c r="AQ93" i="80"/>
  <c r="AR93" i="80"/>
  <c r="AT93" i="80"/>
  <c r="O94" i="80"/>
  <c r="R94" i="80"/>
  <c r="U94" i="80"/>
  <c r="AA94" i="80"/>
  <c r="AB94" i="80"/>
  <c r="AD94" i="80"/>
  <c r="AE94" i="80"/>
  <c r="AF94" i="80"/>
  <c r="AG94" i="80"/>
  <c r="AH94" i="80"/>
  <c r="AI94" i="80"/>
  <c r="AJ94" i="80"/>
  <c r="AK94" i="80"/>
  <c r="AL94" i="80"/>
  <c r="AN94" i="80"/>
  <c r="AO94" i="80"/>
  <c r="AQ94" i="80"/>
  <c r="AR94" i="80"/>
  <c r="AT94" i="80"/>
  <c r="O95" i="80"/>
  <c r="R95" i="80"/>
  <c r="U95" i="80"/>
  <c r="AA95" i="80"/>
  <c r="AB95" i="80"/>
  <c r="AD95" i="80"/>
  <c r="AE95" i="80"/>
  <c r="AF95" i="80"/>
  <c r="AG95" i="80"/>
  <c r="AH95" i="80"/>
  <c r="AI95" i="80"/>
  <c r="AJ95" i="80"/>
  <c r="AK95" i="80"/>
  <c r="AL95" i="80"/>
  <c r="AN95" i="80"/>
  <c r="AO95" i="80"/>
  <c r="AQ95" i="80"/>
  <c r="AR95" i="80"/>
  <c r="AT95" i="80"/>
  <c r="O96" i="80"/>
  <c r="R96" i="80"/>
  <c r="U96" i="80"/>
  <c r="AA96" i="80"/>
  <c r="AB96" i="80"/>
  <c r="AD96" i="80"/>
  <c r="AE96" i="80"/>
  <c r="AF96" i="80"/>
  <c r="AG96" i="80"/>
  <c r="AH96" i="80"/>
  <c r="AI96" i="80"/>
  <c r="AJ96" i="80"/>
  <c r="AK96" i="80"/>
  <c r="AL96" i="80"/>
  <c r="AN96" i="80"/>
  <c r="AO96" i="80"/>
  <c r="AQ96" i="80"/>
  <c r="AR96" i="80"/>
  <c r="AT96" i="80"/>
  <c r="O97" i="80"/>
  <c r="R97" i="80"/>
  <c r="U97" i="80"/>
  <c r="AA97" i="80"/>
  <c r="AB97" i="80"/>
  <c r="AD97" i="80"/>
  <c r="AE97" i="80"/>
  <c r="AF97" i="80"/>
  <c r="AG97" i="80"/>
  <c r="AH97" i="80"/>
  <c r="AI97" i="80"/>
  <c r="AJ97" i="80"/>
  <c r="AK97" i="80"/>
  <c r="AL97" i="80"/>
  <c r="AN97" i="80"/>
  <c r="AO97" i="80"/>
  <c r="AQ97" i="80"/>
  <c r="AR97" i="80"/>
  <c r="AT97" i="80"/>
  <c r="O98" i="80"/>
  <c r="R98" i="80"/>
  <c r="U98" i="80"/>
  <c r="AA98" i="80"/>
  <c r="AB98" i="80"/>
  <c r="AD98" i="80"/>
  <c r="AE98" i="80"/>
  <c r="AF98" i="80"/>
  <c r="AG98" i="80"/>
  <c r="AH98" i="80"/>
  <c r="AI98" i="80"/>
  <c r="AJ98" i="80"/>
  <c r="AK98" i="80"/>
  <c r="AL98" i="80"/>
  <c r="AN98" i="80"/>
  <c r="AO98" i="80"/>
  <c r="AQ98" i="80"/>
  <c r="AR98" i="80"/>
  <c r="AT98" i="80"/>
  <c r="O99" i="80"/>
  <c r="R99" i="80"/>
  <c r="U99" i="80"/>
  <c r="AA99" i="80"/>
  <c r="AB99" i="80"/>
  <c r="AD99" i="80"/>
  <c r="AE99" i="80"/>
  <c r="AF99" i="80"/>
  <c r="AG99" i="80"/>
  <c r="AH99" i="80"/>
  <c r="AI99" i="80"/>
  <c r="AJ99" i="80"/>
  <c r="AK99" i="80"/>
  <c r="AL99" i="80"/>
  <c r="AN99" i="80"/>
  <c r="AO99" i="80"/>
  <c r="AQ99" i="80"/>
  <c r="AR99" i="80"/>
  <c r="AT99" i="80"/>
  <c r="O100" i="80"/>
  <c r="R100" i="80"/>
  <c r="U100" i="80"/>
  <c r="AA100" i="80"/>
  <c r="AB100" i="80"/>
  <c r="AY100" i="80" s="1" a="1"/>
  <c r="AY100" i="80" s="1"/>
  <c r="AD100" i="80"/>
  <c r="AE100" i="80"/>
  <c r="AF100" i="80"/>
  <c r="AG100" i="80"/>
  <c r="AH100" i="80"/>
  <c r="AI100" i="80"/>
  <c r="AJ100" i="80"/>
  <c r="AK100" i="80"/>
  <c r="AL100" i="80"/>
  <c r="AN100" i="80"/>
  <c r="AO100" i="80"/>
  <c r="AQ100" i="80"/>
  <c r="AR100" i="80"/>
  <c r="AT100" i="80"/>
  <c r="O101" i="80"/>
  <c r="R101" i="80"/>
  <c r="U101" i="80"/>
  <c r="AA101" i="80"/>
  <c r="AB101" i="80"/>
  <c r="AD101" i="80"/>
  <c r="AE101" i="80"/>
  <c r="AF101" i="80"/>
  <c r="AG101" i="80"/>
  <c r="AH101" i="80"/>
  <c r="AI101" i="80"/>
  <c r="AJ101" i="80"/>
  <c r="AK101" i="80"/>
  <c r="AL101" i="80"/>
  <c r="AN101" i="80"/>
  <c r="AO101" i="80"/>
  <c r="AQ101" i="80"/>
  <c r="AR101" i="80"/>
  <c r="AT101" i="80"/>
  <c r="O102" i="80"/>
  <c r="R102" i="80"/>
  <c r="U102" i="80"/>
  <c r="AA102" i="80"/>
  <c r="AB102" i="80"/>
  <c r="BA102" i="80" s="1" a="1"/>
  <c r="BA102" i="80" s="1"/>
  <c r="AD102" i="80"/>
  <c r="AE102" i="80"/>
  <c r="AF102" i="80"/>
  <c r="AG102" i="80"/>
  <c r="AH102" i="80"/>
  <c r="AI102" i="80"/>
  <c r="AJ102" i="80"/>
  <c r="AK102" i="80"/>
  <c r="AL102" i="80"/>
  <c r="AN102" i="80"/>
  <c r="AO102" i="80"/>
  <c r="AQ102" i="80"/>
  <c r="AR102" i="80"/>
  <c r="AT102" i="80"/>
  <c r="O103" i="80"/>
  <c r="R103" i="80"/>
  <c r="U103" i="80"/>
  <c r="Y103" i="80"/>
  <c r="AA103" i="80"/>
  <c r="AB103" i="80"/>
  <c r="AD103" i="80"/>
  <c r="AE103" i="80"/>
  <c r="AF103" i="80"/>
  <c r="AG103" i="80"/>
  <c r="AH103" i="80"/>
  <c r="AI103" i="80"/>
  <c r="AJ103" i="80"/>
  <c r="AK103" i="80"/>
  <c r="AL103" i="80"/>
  <c r="AN103" i="80"/>
  <c r="AO103" i="80"/>
  <c r="AQ103" i="80"/>
  <c r="AR103" i="80"/>
  <c r="AT103" i="80"/>
  <c r="O104" i="80"/>
  <c r="R104" i="80"/>
  <c r="U104" i="80"/>
  <c r="Y104" i="80"/>
  <c r="AA104" i="80"/>
  <c r="AB104" i="80"/>
  <c r="AD104" i="80"/>
  <c r="AE104" i="80"/>
  <c r="AF104" i="80"/>
  <c r="AG104" i="80"/>
  <c r="AH104" i="80"/>
  <c r="AI104" i="80"/>
  <c r="AJ104" i="80"/>
  <c r="AK104" i="80"/>
  <c r="AL104" i="80"/>
  <c r="AN104" i="80"/>
  <c r="AO104" i="80"/>
  <c r="AQ104" i="80"/>
  <c r="AR104" i="80"/>
  <c r="AT104" i="80"/>
  <c r="O105" i="80"/>
  <c r="R105" i="80"/>
  <c r="U105" i="80"/>
  <c r="Y105" i="80"/>
  <c r="AA105" i="80"/>
  <c r="AB105" i="80"/>
  <c r="AD105" i="80"/>
  <c r="AE105" i="80"/>
  <c r="AF105" i="80"/>
  <c r="AG105" i="80"/>
  <c r="AH105" i="80"/>
  <c r="AI105" i="80"/>
  <c r="AJ105" i="80"/>
  <c r="AK105" i="80"/>
  <c r="AL105" i="80"/>
  <c r="AN105" i="80"/>
  <c r="AO105" i="80"/>
  <c r="AQ105" i="80"/>
  <c r="AR105" i="80"/>
  <c r="AT105" i="80"/>
  <c r="O106" i="80"/>
  <c r="R106" i="80"/>
  <c r="U106" i="80"/>
  <c r="AA106" i="80"/>
  <c r="AB106" i="80"/>
  <c r="AD106" i="80"/>
  <c r="AE106" i="80"/>
  <c r="AF106" i="80"/>
  <c r="AG106" i="80"/>
  <c r="AH106" i="80"/>
  <c r="AI106" i="80"/>
  <c r="AJ106" i="80"/>
  <c r="AK106" i="80"/>
  <c r="AL106" i="80"/>
  <c r="AN106" i="80"/>
  <c r="AO106" i="80"/>
  <c r="AQ106" i="80"/>
  <c r="AR106" i="80"/>
  <c r="AT106" i="80"/>
  <c r="O107" i="80"/>
  <c r="R107" i="80"/>
  <c r="U107" i="80"/>
  <c r="AA107" i="80"/>
  <c r="AB107" i="80"/>
  <c r="AD107" i="80"/>
  <c r="AE107" i="80"/>
  <c r="AF107" i="80"/>
  <c r="AG107" i="80"/>
  <c r="AH107" i="80"/>
  <c r="AI107" i="80"/>
  <c r="AJ107" i="80"/>
  <c r="AK107" i="80"/>
  <c r="AL107" i="80"/>
  <c r="AN107" i="80"/>
  <c r="AO107" i="80"/>
  <c r="AQ107" i="80"/>
  <c r="AR107" i="80"/>
  <c r="AT107" i="80"/>
  <c r="O108" i="80"/>
  <c r="R108" i="80"/>
  <c r="U108" i="80"/>
  <c r="Y108" i="80"/>
  <c r="AA108" i="80"/>
  <c r="AB108" i="80"/>
  <c r="AD108" i="80"/>
  <c r="AE108" i="80"/>
  <c r="AF108" i="80"/>
  <c r="AG108" i="80"/>
  <c r="AH108" i="80"/>
  <c r="AI108" i="80"/>
  <c r="AJ108" i="80"/>
  <c r="AK108" i="80"/>
  <c r="AL108" i="80"/>
  <c r="AN108" i="80"/>
  <c r="AO108" i="80"/>
  <c r="AQ108" i="80"/>
  <c r="AR108" i="80"/>
  <c r="AT108" i="80"/>
  <c r="O109" i="80"/>
  <c r="R109" i="80"/>
  <c r="U109" i="80"/>
  <c r="Y109" i="80"/>
  <c r="AA109" i="80"/>
  <c r="AB109" i="80"/>
  <c r="AD109" i="80"/>
  <c r="AE109" i="80"/>
  <c r="AF109" i="80"/>
  <c r="AG109" i="80"/>
  <c r="AH109" i="80"/>
  <c r="AI109" i="80"/>
  <c r="AJ109" i="80"/>
  <c r="AK109" i="80"/>
  <c r="AL109" i="80"/>
  <c r="AN109" i="80"/>
  <c r="AO109" i="80"/>
  <c r="AQ109" i="80"/>
  <c r="AR109" i="80"/>
  <c r="AT109" i="80"/>
  <c r="AB109" i="79"/>
  <c r="Y109" i="79"/>
  <c r="W109" i="79"/>
  <c r="V109" i="79"/>
  <c r="AA109" i="79"/>
  <c r="Z109" i="79"/>
  <c r="T109" i="79"/>
  <c r="S109" i="79"/>
  <c r="R109" i="79"/>
  <c r="Q109" i="79"/>
  <c r="AB108" i="79"/>
  <c r="Y108" i="79"/>
  <c r="W108" i="79"/>
  <c r="V108" i="79"/>
  <c r="AA108" i="79"/>
  <c r="Z108" i="79"/>
  <c r="T108" i="79"/>
  <c r="S108" i="79"/>
  <c r="R108" i="79"/>
  <c r="Q108" i="79"/>
  <c r="O108" i="79"/>
  <c r="AB107" i="79"/>
  <c r="Y107" i="79"/>
  <c r="W107" i="79"/>
  <c r="V107" i="79"/>
  <c r="AA107" i="79"/>
  <c r="Z107" i="79"/>
  <c r="T107" i="79"/>
  <c r="S107" i="79"/>
  <c r="R107" i="79"/>
  <c r="Q107" i="79"/>
  <c r="O107" i="79"/>
  <c r="AB106" i="79"/>
  <c r="Y106" i="79"/>
  <c r="W106" i="79"/>
  <c r="V106" i="79"/>
  <c r="AA106" i="79"/>
  <c r="Z106" i="79"/>
  <c r="T106" i="79"/>
  <c r="S106" i="79"/>
  <c r="R106" i="79"/>
  <c r="Q106" i="79"/>
  <c r="O106" i="79"/>
  <c r="AC106" i="79" s="1"/>
  <c r="AB105" i="79"/>
  <c r="Y105" i="79"/>
  <c r="W105" i="79"/>
  <c r="V105" i="79"/>
  <c r="AA105" i="79"/>
  <c r="Z105" i="79"/>
  <c r="T105" i="79"/>
  <c r="S105" i="79"/>
  <c r="R105" i="79"/>
  <c r="Q105" i="79"/>
  <c r="O105" i="79"/>
  <c r="AB104" i="79"/>
  <c r="Y104" i="79"/>
  <c r="W104" i="79"/>
  <c r="V104" i="79"/>
  <c r="AA104" i="79"/>
  <c r="Z104" i="79"/>
  <c r="T104" i="79"/>
  <c r="S104" i="79"/>
  <c r="R104" i="79"/>
  <c r="Q104" i="79"/>
  <c r="O104" i="79"/>
  <c r="AB103" i="79"/>
  <c r="Y103" i="79"/>
  <c r="W103" i="79"/>
  <c r="V103" i="79"/>
  <c r="AA103" i="79"/>
  <c r="Z103" i="79"/>
  <c r="T103" i="79"/>
  <c r="S103" i="79"/>
  <c r="R103" i="79"/>
  <c r="Q103" i="79"/>
  <c r="O103" i="79"/>
  <c r="AB102" i="79"/>
  <c r="Y102" i="79"/>
  <c r="W102" i="79"/>
  <c r="V102" i="79"/>
  <c r="AA102" i="79"/>
  <c r="Z102" i="79"/>
  <c r="T102" i="79"/>
  <c r="S102" i="79"/>
  <c r="R102" i="79"/>
  <c r="Q102" i="79"/>
  <c r="O102" i="79"/>
  <c r="AB101" i="79"/>
  <c r="Y101" i="79"/>
  <c r="W101" i="79"/>
  <c r="V101" i="79"/>
  <c r="AA101" i="79"/>
  <c r="Z101" i="79"/>
  <c r="T101" i="79"/>
  <c r="S101" i="79"/>
  <c r="R101" i="79"/>
  <c r="Q101" i="79"/>
  <c r="O101" i="79"/>
  <c r="AB100" i="79"/>
  <c r="Y100" i="79"/>
  <c r="W100" i="79"/>
  <c r="V100" i="79"/>
  <c r="AA100" i="79"/>
  <c r="Z100" i="79"/>
  <c r="T100" i="79"/>
  <c r="S100" i="79"/>
  <c r="R100" i="79"/>
  <c r="Q100" i="79"/>
  <c r="O100" i="79"/>
  <c r="AB99" i="79"/>
  <c r="Y99" i="79"/>
  <c r="W99" i="79"/>
  <c r="V99" i="79"/>
  <c r="AA99" i="79"/>
  <c r="Z99" i="79"/>
  <c r="T99" i="79"/>
  <c r="S99" i="79"/>
  <c r="R99" i="79"/>
  <c r="Q99" i="79"/>
  <c r="O99" i="79"/>
  <c r="AB98" i="79"/>
  <c r="Y98" i="79"/>
  <c r="W98" i="79"/>
  <c r="V98" i="79"/>
  <c r="AA98" i="79"/>
  <c r="Z98" i="79"/>
  <c r="T98" i="79"/>
  <c r="S98" i="79"/>
  <c r="R98" i="79"/>
  <c r="Q98" i="79"/>
  <c r="O98" i="79"/>
  <c r="AB97" i="79"/>
  <c r="Y97" i="79"/>
  <c r="W97" i="79"/>
  <c r="V97" i="79"/>
  <c r="AA97" i="79"/>
  <c r="Z97" i="79"/>
  <c r="T97" i="79"/>
  <c r="S97" i="79"/>
  <c r="R97" i="79"/>
  <c r="Q97" i="79"/>
  <c r="O97" i="79"/>
  <c r="AB96" i="79"/>
  <c r="Y96" i="79"/>
  <c r="W96" i="79"/>
  <c r="V96" i="79"/>
  <c r="AA96" i="79"/>
  <c r="Z96" i="79"/>
  <c r="T96" i="79"/>
  <c r="S96" i="79"/>
  <c r="R96" i="79"/>
  <c r="Q96" i="79"/>
  <c r="O96" i="79"/>
  <c r="AB95" i="79"/>
  <c r="Y95" i="79"/>
  <c r="W95" i="79"/>
  <c r="V95" i="79"/>
  <c r="AA95" i="79"/>
  <c r="Z95" i="79"/>
  <c r="T95" i="79"/>
  <c r="S95" i="79"/>
  <c r="R95" i="79"/>
  <c r="Q95" i="79"/>
  <c r="O95" i="79"/>
  <c r="AB94" i="79"/>
  <c r="Y94" i="79"/>
  <c r="W94" i="79"/>
  <c r="V94" i="79"/>
  <c r="AA94" i="79"/>
  <c r="Z94" i="79"/>
  <c r="T94" i="79"/>
  <c r="S94" i="79"/>
  <c r="R94" i="79"/>
  <c r="Q94" i="79"/>
  <c r="O94" i="79"/>
  <c r="AB93" i="79"/>
  <c r="Y93" i="79"/>
  <c r="W93" i="79"/>
  <c r="V93" i="79"/>
  <c r="AA93" i="79"/>
  <c r="Z93" i="79"/>
  <c r="T93" i="79"/>
  <c r="S93" i="79"/>
  <c r="R93" i="79"/>
  <c r="Q93" i="79"/>
  <c r="O93" i="79"/>
  <c r="AB92" i="79"/>
  <c r="Y92" i="79"/>
  <c r="W92" i="79"/>
  <c r="V92" i="79"/>
  <c r="AA92" i="79"/>
  <c r="Z92" i="79"/>
  <c r="T92" i="79"/>
  <c r="S92" i="79"/>
  <c r="R92" i="79"/>
  <c r="Q92" i="79"/>
  <c r="O92" i="79"/>
  <c r="AB91" i="79"/>
  <c r="Y91" i="79"/>
  <c r="W91" i="79"/>
  <c r="V91" i="79"/>
  <c r="AA91" i="79"/>
  <c r="Z91" i="79"/>
  <c r="T91" i="79"/>
  <c r="S91" i="79"/>
  <c r="R91" i="79"/>
  <c r="Q91" i="79"/>
  <c r="O91" i="79"/>
  <c r="AB90" i="79"/>
  <c r="Y90" i="79"/>
  <c r="W90" i="79"/>
  <c r="V90" i="79"/>
  <c r="AA90" i="79"/>
  <c r="Z90" i="79"/>
  <c r="T90" i="79"/>
  <c r="S90" i="79"/>
  <c r="R90" i="79"/>
  <c r="Q90" i="79"/>
  <c r="O90" i="79"/>
  <c r="AB89" i="79"/>
  <c r="Y89" i="79"/>
  <c r="W89" i="79"/>
  <c r="V89" i="79"/>
  <c r="AA89" i="79"/>
  <c r="Z89" i="79"/>
  <c r="T89" i="79"/>
  <c r="S89" i="79"/>
  <c r="R89" i="79"/>
  <c r="Q89" i="79"/>
  <c r="O89" i="79"/>
  <c r="AB88" i="79"/>
  <c r="Y88" i="79"/>
  <c r="W88" i="79"/>
  <c r="V88" i="79"/>
  <c r="AA88" i="79"/>
  <c r="Z88" i="79"/>
  <c r="T88" i="79"/>
  <c r="S88" i="79"/>
  <c r="R88" i="79"/>
  <c r="Q88" i="79"/>
  <c r="O88" i="79"/>
  <c r="AB87" i="79"/>
  <c r="Y87" i="79"/>
  <c r="W87" i="79"/>
  <c r="V87" i="79"/>
  <c r="AA87" i="79"/>
  <c r="Z87" i="79"/>
  <c r="T87" i="79"/>
  <c r="S87" i="79"/>
  <c r="R87" i="79"/>
  <c r="Q87" i="79"/>
  <c r="O87" i="79"/>
  <c r="AB86" i="79"/>
  <c r="Y86" i="79"/>
  <c r="W86" i="79"/>
  <c r="V86" i="79"/>
  <c r="AA86" i="79"/>
  <c r="Z86" i="79"/>
  <c r="T86" i="79"/>
  <c r="S86" i="79"/>
  <c r="R86" i="79"/>
  <c r="Q86" i="79"/>
  <c r="O86" i="79"/>
  <c r="AB85" i="79"/>
  <c r="Y85" i="79"/>
  <c r="W85" i="79"/>
  <c r="V85" i="79"/>
  <c r="AA85" i="79"/>
  <c r="Z85" i="79"/>
  <c r="T85" i="79"/>
  <c r="S85" i="79"/>
  <c r="R85" i="79"/>
  <c r="Q85" i="79"/>
  <c r="O85" i="79"/>
  <c r="AC85" i="79" s="1"/>
  <c r="AB84" i="79"/>
  <c r="Y84" i="79"/>
  <c r="W84" i="79"/>
  <c r="V84" i="79"/>
  <c r="AA84" i="79"/>
  <c r="Z84" i="79"/>
  <c r="T84" i="79"/>
  <c r="S84" i="79"/>
  <c r="R84" i="79"/>
  <c r="Q84" i="79"/>
  <c r="O84" i="79"/>
  <c r="AB83" i="79"/>
  <c r="Y83" i="79"/>
  <c r="W83" i="79"/>
  <c r="V83" i="79"/>
  <c r="AA83" i="79"/>
  <c r="Z83" i="79"/>
  <c r="T83" i="79"/>
  <c r="S83" i="79"/>
  <c r="R83" i="79"/>
  <c r="Q83" i="79"/>
  <c r="O83" i="79"/>
  <c r="AB82" i="79"/>
  <c r="Y82" i="79"/>
  <c r="W82" i="79"/>
  <c r="V82" i="79"/>
  <c r="AA82" i="79"/>
  <c r="Z82" i="79"/>
  <c r="T82" i="79"/>
  <c r="S82" i="79"/>
  <c r="R82" i="79"/>
  <c r="Q82" i="79"/>
  <c r="O82" i="79"/>
  <c r="AB81" i="79"/>
  <c r="Y81" i="79"/>
  <c r="W81" i="79"/>
  <c r="V81" i="79"/>
  <c r="AA81" i="79"/>
  <c r="Z81" i="79"/>
  <c r="T81" i="79"/>
  <c r="S81" i="79"/>
  <c r="R81" i="79"/>
  <c r="Q81" i="79"/>
  <c r="O81" i="79"/>
  <c r="AB80" i="79"/>
  <c r="Y80" i="79"/>
  <c r="W80" i="79"/>
  <c r="V80" i="79"/>
  <c r="AA80" i="79"/>
  <c r="Z80" i="79"/>
  <c r="T80" i="79"/>
  <c r="S80" i="79"/>
  <c r="R80" i="79"/>
  <c r="Q80" i="79"/>
  <c r="O80" i="79"/>
  <c r="AB79" i="79"/>
  <c r="Y79" i="79"/>
  <c r="W79" i="79"/>
  <c r="V79" i="79"/>
  <c r="AA79" i="79"/>
  <c r="Z79" i="79"/>
  <c r="T79" i="79"/>
  <c r="S79" i="79"/>
  <c r="R79" i="79"/>
  <c r="Q79" i="79"/>
  <c r="O79" i="79"/>
  <c r="AB78" i="79"/>
  <c r="Y78" i="79"/>
  <c r="W78" i="79"/>
  <c r="V78" i="79"/>
  <c r="AA78" i="79"/>
  <c r="Z78" i="79"/>
  <c r="T78" i="79"/>
  <c r="S78" i="79"/>
  <c r="R78" i="79"/>
  <c r="Q78" i="79"/>
  <c r="O78" i="79"/>
  <c r="AB77" i="79"/>
  <c r="Y77" i="79"/>
  <c r="W77" i="79"/>
  <c r="V77" i="79"/>
  <c r="AA77" i="79"/>
  <c r="Z77" i="79"/>
  <c r="T77" i="79"/>
  <c r="S77" i="79"/>
  <c r="R77" i="79"/>
  <c r="Q77" i="79"/>
  <c r="O77" i="79"/>
  <c r="AB76" i="79"/>
  <c r="Y76" i="79"/>
  <c r="W76" i="79"/>
  <c r="V76" i="79"/>
  <c r="AA76" i="79"/>
  <c r="Z76" i="79"/>
  <c r="T76" i="79"/>
  <c r="S76" i="79"/>
  <c r="R76" i="79"/>
  <c r="Q76" i="79"/>
  <c r="O76" i="79"/>
  <c r="AB75" i="79"/>
  <c r="Y75" i="79"/>
  <c r="W75" i="79"/>
  <c r="V75" i="79"/>
  <c r="AA75" i="79"/>
  <c r="Z75" i="79"/>
  <c r="T75" i="79"/>
  <c r="S75" i="79"/>
  <c r="R75" i="79"/>
  <c r="Q75" i="79"/>
  <c r="O75" i="79"/>
  <c r="AB74" i="79"/>
  <c r="Y74" i="79"/>
  <c r="W74" i="79"/>
  <c r="V74" i="79"/>
  <c r="AA74" i="79"/>
  <c r="Z74" i="79"/>
  <c r="T74" i="79"/>
  <c r="S74" i="79"/>
  <c r="R74" i="79"/>
  <c r="Q74" i="79"/>
  <c r="O74" i="79"/>
  <c r="AB73" i="79"/>
  <c r="Y73" i="79"/>
  <c r="W73" i="79"/>
  <c r="V73" i="79"/>
  <c r="AA73" i="79"/>
  <c r="Z73" i="79"/>
  <c r="T73" i="79"/>
  <c r="S73" i="79"/>
  <c r="R73" i="79"/>
  <c r="Q73" i="79"/>
  <c r="O73" i="79"/>
  <c r="AB72" i="79"/>
  <c r="Y72" i="79"/>
  <c r="W72" i="79"/>
  <c r="V72" i="79"/>
  <c r="AA72" i="79"/>
  <c r="Z72" i="79"/>
  <c r="T72" i="79"/>
  <c r="S72" i="79"/>
  <c r="R72" i="79"/>
  <c r="Q72" i="79"/>
  <c r="O72" i="79"/>
  <c r="AB71" i="79"/>
  <c r="Y71" i="79"/>
  <c r="W71" i="79"/>
  <c r="V71" i="79"/>
  <c r="AA71" i="79"/>
  <c r="Z71" i="79"/>
  <c r="T71" i="79"/>
  <c r="S71" i="79"/>
  <c r="R71" i="79"/>
  <c r="Q71" i="79"/>
  <c r="O71" i="79"/>
  <c r="AB70" i="79"/>
  <c r="Y70" i="79"/>
  <c r="W70" i="79"/>
  <c r="V70" i="79"/>
  <c r="AA70" i="79"/>
  <c r="Z70" i="79"/>
  <c r="T70" i="79"/>
  <c r="S70" i="79"/>
  <c r="R70" i="79"/>
  <c r="Q70" i="79"/>
  <c r="O70" i="79"/>
  <c r="AB69" i="79"/>
  <c r="Y69" i="79"/>
  <c r="W69" i="79"/>
  <c r="V69" i="79"/>
  <c r="AA69" i="79"/>
  <c r="Z69" i="79"/>
  <c r="T69" i="79"/>
  <c r="S69" i="79"/>
  <c r="R69" i="79"/>
  <c r="Q69" i="79"/>
  <c r="O69" i="79"/>
  <c r="AB68" i="79"/>
  <c r="Y68" i="79"/>
  <c r="W68" i="79"/>
  <c r="V68" i="79"/>
  <c r="AA68" i="79"/>
  <c r="Z68" i="79"/>
  <c r="T68" i="79"/>
  <c r="S68" i="79"/>
  <c r="R68" i="79"/>
  <c r="Q68" i="79"/>
  <c r="O68" i="79"/>
  <c r="AB67" i="79"/>
  <c r="Y67" i="79"/>
  <c r="W67" i="79"/>
  <c r="V67" i="79"/>
  <c r="AA67" i="79"/>
  <c r="Z67" i="79"/>
  <c r="T67" i="79"/>
  <c r="S67" i="79"/>
  <c r="R67" i="79"/>
  <c r="Q67" i="79"/>
  <c r="O67" i="79"/>
  <c r="AB66" i="79"/>
  <c r="Y66" i="79"/>
  <c r="W66" i="79"/>
  <c r="V66" i="79"/>
  <c r="AA66" i="79"/>
  <c r="Z66" i="79"/>
  <c r="T66" i="79"/>
  <c r="S66" i="79"/>
  <c r="R66" i="79"/>
  <c r="Q66" i="79"/>
  <c r="O66" i="79"/>
  <c r="AB65" i="79"/>
  <c r="Y65" i="79"/>
  <c r="W65" i="79"/>
  <c r="V65" i="79"/>
  <c r="AA65" i="79"/>
  <c r="Z65" i="79"/>
  <c r="T65" i="79"/>
  <c r="S65" i="79"/>
  <c r="R65" i="79"/>
  <c r="Q65" i="79"/>
  <c r="O65" i="79"/>
  <c r="AB64" i="79"/>
  <c r="Y64" i="79"/>
  <c r="W64" i="79"/>
  <c r="V64" i="79"/>
  <c r="AA64" i="79"/>
  <c r="Z64" i="79"/>
  <c r="T64" i="79"/>
  <c r="S64" i="79"/>
  <c r="R64" i="79"/>
  <c r="Q64" i="79"/>
  <c r="O64" i="79"/>
  <c r="AB63" i="79"/>
  <c r="Y63" i="79"/>
  <c r="W63" i="79"/>
  <c r="V63" i="79"/>
  <c r="AA63" i="79"/>
  <c r="Z63" i="79"/>
  <c r="T63" i="79"/>
  <c r="S63" i="79"/>
  <c r="R63" i="79"/>
  <c r="Q63" i="79"/>
  <c r="O63" i="79"/>
  <c r="AB62" i="79"/>
  <c r="Y62" i="79"/>
  <c r="W62" i="79"/>
  <c r="V62" i="79"/>
  <c r="AA62" i="79"/>
  <c r="Z62" i="79"/>
  <c r="T62" i="79"/>
  <c r="S62" i="79"/>
  <c r="R62" i="79"/>
  <c r="Q62" i="79"/>
  <c r="O62" i="79"/>
  <c r="AB61" i="79"/>
  <c r="Y61" i="79"/>
  <c r="W61" i="79"/>
  <c r="V61" i="79"/>
  <c r="AA61" i="79"/>
  <c r="Z61" i="79"/>
  <c r="T61" i="79"/>
  <c r="S61" i="79"/>
  <c r="R61" i="79"/>
  <c r="Q61" i="79"/>
  <c r="O61" i="79"/>
  <c r="AB60" i="79"/>
  <c r="Y60" i="79"/>
  <c r="W60" i="79"/>
  <c r="V60" i="79"/>
  <c r="AA60" i="79"/>
  <c r="Z60" i="79"/>
  <c r="T60" i="79"/>
  <c r="S60" i="79"/>
  <c r="R60" i="79"/>
  <c r="Q60" i="79"/>
  <c r="O60" i="79"/>
  <c r="AB59" i="79"/>
  <c r="Y59" i="79"/>
  <c r="W59" i="79"/>
  <c r="V59" i="79"/>
  <c r="AA59" i="79"/>
  <c r="Z59" i="79"/>
  <c r="T59" i="79"/>
  <c r="S59" i="79"/>
  <c r="R59" i="79"/>
  <c r="Q59" i="79"/>
  <c r="O59" i="79"/>
  <c r="AB58" i="79"/>
  <c r="Y58" i="79"/>
  <c r="W58" i="79"/>
  <c r="V58" i="79"/>
  <c r="AA58" i="79"/>
  <c r="Z58" i="79"/>
  <c r="T58" i="79"/>
  <c r="S58" i="79"/>
  <c r="R58" i="79"/>
  <c r="Q58" i="79"/>
  <c r="O58" i="79"/>
  <c r="AB57" i="79"/>
  <c r="Y57" i="79"/>
  <c r="W57" i="79"/>
  <c r="V57" i="79"/>
  <c r="AA57" i="79"/>
  <c r="Z57" i="79"/>
  <c r="T57" i="79"/>
  <c r="S57" i="79"/>
  <c r="R57" i="79"/>
  <c r="Q57" i="79"/>
  <c r="O57" i="79"/>
  <c r="AB56" i="79"/>
  <c r="Y56" i="79"/>
  <c r="W56" i="79"/>
  <c r="V56" i="79"/>
  <c r="AA56" i="79"/>
  <c r="Z56" i="79"/>
  <c r="T56" i="79"/>
  <c r="S56" i="79"/>
  <c r="R56" i="79"/>
  <c r="Q56" i="79"/>
  <c r="O56" i="79"/>
  <c r="AB55" i="79"/>
  <c r="Y55" i="79"/>
  <c r="W55" i="79"/>
  <c r="V55" i="79"/>
  <c r="AA55" i="79"/>
  <c r="Z55" i="79"/>
  <c r="T55" i="79"/>
  <c r="S55" i="79"/>
  <c r="R55" i="79"/>
  <c r="Q55" i="79"/>
  <c r="O55" i="79"/>
  <c r="AB54" i="79"/>
  <c r="Y54" i="79"/>
  <c r="W54" i="79"/>
  <c r="V54" i="79"/>
  <c r="AA54" i="79"/>
  <c r="Z54" i="79"/>
  <c r="T54" i="79"/>
  <c r="S54" i="79"/>
  <c r="R54" i="79"/>
  <c r="Q54" i="79"/>
  <c r="O54" i="79"/>
  <c r="AB53" i="79"/>
  <c r="Y53" i="79"/>
  <c r="W53" i="79"/>
  <c r="V53" i="79"/>
  <c r="AA53" i="79"/>
  <c r="Z53" i="79"/>
  <c r="T53" i="79"/>
  <c r="S53" i="79"/>
  <c r="R53" i="79"/>
  <c r="Q53" i="79"/>
  <c r="O53" i="79"/>
  <c r="AB52" i="79"/>
  <c r="Y52" i="79"/>
  <c r="W52" i="79"/>
  <c r="V52" i="79"/>
  <c r="AA52" i="79"/>
  <c r="Z52" i="79"/>
  <c r="T52" i="79"/>
  <c r="S52" i="79"/>
  <c r="R52" i="79"/>
  <c r="Q52" i="79"/>
  <c r="O52" i="79"/>
  <c r="AB51" i="79"/>
  <c r="Y51" i="79"/>
  <c r="W51" i="79"/>
  <c r="V51" i="79"/>
  <c r="AA51" i="79"/>
  <c r="Z51" i="79"/>
  <c r="T51" i="79"/>
  <c r="S51" i="79"/>
  <c r="R51" i="79"/>
  <c r="Q51" i="79"/>
  <c r="O51" i="79"/>
  <c r="AB50" i="79"/>
  <c r="Y50" i="79"/>
  <c r="W50" i="79"/>
  <c r="V50" i="79"/>
  <c r="AA50" i="79"/>
  <c r="Z50" i="79"/>
  <c r="T50" i="79"/>
  <c r="S50" i="79"/>
  <c r="R50" i="79"/>
  <c r="Q50" i="79"/>
  <c r="O50" i="79"/>
  <c r="AB49" i="79"/>
  <c r="Y49" i="79"/>
  <c r="W49" i="79"/>
  <c r="V49" i="79"/>
  <c r="AA49" i="79"/>
  <c r="Z49" i="79"/>
  <c r="T49" i="79"/>
  <c r="S49" i="79"/>
  <c r="R49" i="79"/>
  <c r="Q49" i="79"/>
  <c r="O49" i="79"/>
  <c r="AB48" i="79"/>
  <c r="Y48" i="79"/>
  <c r="W48" i="79"/>
  <c r="V48" i="79"/>
  <c r="AA48" i="79"/>
  <c r="Z48" i="79"/>
  <c r="T48" i="79"/>
  <c r="S48" i="79"/>
  <c r="R48" i="79"/>
  <c r="Q48" i="79"/>
  <c r="O48" i="79"/>
  <c r="AB47" i="79"/>
  <c r="Y47" i="79"/>
  <c r="W47" i="79"/>
  <c r="V47" i="79"/>
  <c r="AA47" i="79"/>
  <c r="Z47" i="79"/>
  <c r="T47" i="79"/>
  <c r="S47" i="79"/>
  <c r="R47" i="79"/>
  <c r="Q47" i="79"/>
  <c r="O47" i="79"/>
  <c r="AB46" i="79"/>
  <c r="Y46" i="79"/>
  <c r="W46" i="79"/>
  <c r="V46" i="79"/>
  <c r="AA46" i="79"/>
  <c r="Z46" i="79"/>
  <c r="T46" i="79"/>
  <c r="S46" i="79"/>
  <c r="R46" i="79"/>
  <c r="Q46" i="79"/>
  <c r="O46" i="79"/>
  <c r="AB45" i="79"/>
  <c r="Y45" i="79"/>
  <c r="W45" i="79"/>
  <c r="V45" i="79"/>
  <c r="AA45" i="79"/>
  <c r="Z45" i="79"/>
  <c r="T45" i="79"/>
  <c r="S45" i="79"/>
  <c r="R45" i="79"/>
  <c r="Q45" i="79"/>
  <c r="O45" i="79"/>
  <c r="AB44" i="79"/>
  <c r="Y44" i="79"/>
  <c r="W44" i="79"/>
  <c r="V44" i="79"/>
  <c r="AA44" i="79"/>
  <c r="Z44" i="79"/>
  <c r="T44" i="79"/>
  <c r="S44" i="79"/>
  <c r="R44" i="79"/>
  <c r="Q44" i="79"/>
  <c r="O44" i="79"/>
  <c r="AC44" i="79" s="1"/>
  <c r="AB43" i="79"/>
  <c r="Y43" i="79"/>
  <c r="W43" i="79"/>
  <c r="V43" i="79"/>
  <c r="AA43" i="79"/>
  <c r="Z43" i="79"/>
  <c r="T43" i="79"/>
  <c r="S43" i="79"/>
  <c r="R43" i="79"/>
  <c r="Q43" i="79"/>
  <c r="O43" i="79"/>
  <c r="AB42" i="79"/>
  <c r="Y42" i="79"/>
  <c r="W42" i="79"/>
  <c r="V42" i="79"/>
  <c r="AA42" i="79"/>
  <c r="Z42" i="79"/>
  <c r="T42" i="79"/>
  <c r="S42" i="79"/>
  <c r="R42" i="79"/>
  <c r="Q42" i="79"/>
  <c r="O42" i="79"/>
  <c r="AB41" i="79"/>
  <c r="Y41" i="79"/>
  <c r="W41" i="79"/>
  <c r="V41" i="79"/>
  <c r="AA41" i="79"/>
  <c r="Z41" i="79"/>
  <c r="T41" i="79"/>
  <c r="S41" i="79"/>
  <c r="R41" i="79"/>
  <c r="Q41" i="79"/>
  <c r="O41" i="79"/>
  <c r="AB40" i="79"/>
  <c r="Y40" i="79"/>
  <c r="W40" i="79"/>
  <c r="V40" i="79"/>
  <c r="AA40" i="79"/>
  <c r="Z40" i="79"/>
  <c r="T40" i="79"/>
  <c r="S40" i="79"/>
  <c r="R40" i="79"/>
  <c r="Q40" i="79"/>
  <c r="O40" i="79"/>
  <c r="AB39" i="79"/>
  <c r="Y39" i="79"/>
  <c r="W39" i="79"/>
  <c r="V39" i="79"/>
  <c r="AA39" i="79"/>
  <c r="Z39" i="79"/>
  <c r="T39" i="79"/>
  <c r="S39" i="79"/>
  <c r="R39" i="79"/>
  <c r="Q39" i="79"/>
  <c r="O39" i="79"/>
  <c r="AB38" i="79"/>
  <c r="Y38" i="79"/>
  <c r="W38" i="79"/>
  <c r="V38" i="79"/>
  <c r="AA38" i="79"/>
  <c r="Z38" i="79"/>
  <c r="T38" i="79"/>
  <c r="S38" i="79"/>
  <c r="R38" i="79"/>
  <c r="Q38" i="79"/>
  <c r="O38" i="79"/>
  <c r="AB37" i="79"/>
  <c r="Y37" i="79"/>
  <c r="W37" i="79"/>
  <c r="V37" i="79"/>
  <c r="AA37" i="79"/>
  <c r="Z37" i="79"/>
  <c r="T37" i="79"/>
  <c r="S37" i="79"/>
  <c r="R37" i="79"/>
  <c r="Q37" i="79"/>
  <c r="O37" i="79"/>
  <c r="AB36" i="79"/>
  <c r="Y36" i="79"/>
  <c r="W36" i="79"/>
  <c r="V36" i="79"/>
  <c r="AA36" i="79"/>
  <c r="Z36" i="79"/>
  <c r="T36" i="79"/>
  <c r="S36" i="79"/>
  <c r="R36" i="79"/>
  <c r="Q36" i="79"/>
  <c r="O36" i="79"/>
  <c r="AC36" i="79" s="1"/>
  <c r="AB35" i="79"/>
  <c r="Y35" i="79"/>
  <c r="W35" i="79"/>
  <c r="V35" i="79"/>
  <c r="AA35" i="79"/>
  <c r="Z35" i="79"/>
  <c r="T35" i="79"/>
  <c r="S35" i="79"/>
  <c r="R35" i="79"/>
  <c r="Q35" i="79"/>
  <c r="AB34" i="79"/>
  <c r="Y34" i="79"/>
  <c r="W34" i="79"/>
  <c r="V34" i="79"/>
  <c r="AA34" i="79"/>
  <c r="Z34" i="79"/>
  <c r="T34" i="79"/>
  <c r="S34" i="79"/>
  <c r="R34" i="79"/>
  <c r="Q34" i="79"/>
  <c r="O34" i="79"/>
  <c r="AB33" i="79"/>
  <c r="Y33" i="79"/>
  <c r="W33" i="79"/>
  <c r="V33" i="79"/>
  <c r="AA33" i="79"/>
  <c r="Z33" i="79"/>
  <c r="T33" i="79"/>
  <c r="S33" i="79"/>
  <c r="R33" i="79"/>
  <c r="Q33" i="79"/>
  <c r="O33" i="79"/>
  <c r="AB32" i="79"/>
  <c r="Y32" i="79"/>
  <c r="W32" i="79"/>
  <c r="V32" i="79"/>
  <c r="AA32" i="79"/>
  <c r="Z32" i="79"/>
  <c r="T32" i="79"/>
  <c r="S32" i="79"/>
  <c r="R32" i="79"/>
  <c r="Q32" i="79"/>
  <c r="O32" i="79"/>
  <c r="AB31" i="79"/>
  <c r="Y31" i="79"/>
  <c r="W31" i="79"/>
  <c r="V31" i="79"/>
  <c r="AA31" i="79"/>
  <c r="Z31" i="79"/>
  <c r="T31" i="79"/>
  <c r="S31" i="79"/>
  <c r="R31" i="79"/>
  <c r="Q31" i="79"/>
  <c r="O31" i="79"/>
  <c r="AB30" i="79"/>
  <c r="Y30" i="79"/>
  <c r="W30" i="79"/>
  <c r="V30" i="79"/>
  <c r="AA30" i="79"/>
  <c r="Z30" i="79"/>
  <c r="T30" i="79"/>
  <c r="S30" i="79"/>
  <c r="R30" i="79"/>
  <c r="Q30" i="79"/>
  <c r="O30" i="79"/>
  <c r="AB29" i="79"/>
  <c r="Y29" i="79"/>
  <c r="W29" i="79"/>
  <c r="V29" i="79"/>
  <c r="AA29" i="79"/>
  <c r="Z29" i="79"/>
  <c r="T29" i="79"/>
  <c r="S29" i="79"/>
  <c r="R29" i="79"/>
  <c r="Q29" i="79"/>
  <c r="O29" i="79"/>
  <c r="AB28" i="79"/>
  <c r="Y28" i="79"/>
  <c r="W28" i="79"/>
  <c r="V28" i="79"/>
  <c r="AA28" i="79"/>
  <c r="Z28" i="79"/>
  <c r="T28" i="79"/>
  <c r="S28" i="79"/>
  <c r="R28" i="79"/>
  <c r="Q28" i="79"/>
  <c r="O28" i="79"/>
  <c r="AB27" i="79"/>
  <c r="Y27" i="79"/>
  <c r="W27" i="79"/>
  <c r="V27" i="79"/>
  <c r="AA27" i="79"/>
  <c r="Z27" i="79"/>
  <c r="T27" i="79"/>
  <c r="S27" i="79"/>
  <c r="R27" i="79"/>
  <c r="Q27" i="79"/>
  <c r="O27" i="79"/>
  <c r="AB26" i="79"/>
  <c r="Y26" i="79"/>
  <c r="W26" i="79"/>
  <c r="V26" i="79"/>
  <c r="AA26" i="79"/>
  <c r="Z26" i="79"/>
  <c r="T26" i="79"/>
  <c r="S26" i="79"/>
  <c r="R26" i="79"/>
  <c r="Q26" i="79"/>
  <c r="O26" i="79"/>
  <c r="AB25" i="79"/>
  <c r="Y25" i="79"/>
  <c r="W25" i="79"/>
  <c r="V25" i="79"/>
  <c r="AA25" i="79"/>
  <c r="Z25" i="79"/>
  <c r="T25" i="79"/>
  <c r="S25" i="79"/>
  <c r="R25" i="79"/>
  <c r="Q25" i="79"/>
  <c r="O25" i="79"/>
  <c r="AB24" i="79"/>
  <c r="Y24" i="79"/>
  <c r="W24" i="79"/>
  <c r="V24" i="79"/>
  <c r="AA24" i="79"/>
  <c r="Z24" i="79"/>
  <c r="T24" i="79"/>
  <c r="S24" i="79"/>
  <c r="R24" i="79"/>
  <c r="Q24" i="79"/>
  <c r="O24" i="79"/>
  <c r="AB23" i="79"/>
  <c r="Y23" i="79"/>
  <c r="W23" i="79"/>
  <c r="V23" i="79"/>
  <c r="AA23" i="79"/>
  <c r="Z23" i="79"/>
  <c r="T23" i="79"/>
  <c r="S23" i="79"/>
  <c r="R23" i="79"/>
  <c r="Q23" i="79"/>
  <c r="O23" i="79"/>
  <c r="AB22" i="79"/>
  <c r="Y22" i="79"/>
  <c r="W22" i="79"/>
  <c r="V22" i="79"/>
  <c r="AA22" i="79"/>
  <c r="Z22" i="79"/>
  <c r="T22" i="79"/>
  <c r="S22" i="79"/>
  <c r="R22" i="79"/>
  <c r="Q22" i="79"/>
  <c r="O22" i="79"/>
  <c r="AB21" i="79"/>
  <c r="Y21" i="79"/>
  <c r="W21" i="79"/>
  <c r="V21" i="79"/>
  <c r="AA21" i="79"/>
  <c r="Z21" i="79"/>
  <c r="T21" i="79"/>
  <c r="S21" i="79"/>
  <c r="R21" i="79"/>
  <c r="Q21" i="79"/>
  <c r="O21" i="79"/>
  <c r="AB20" i="79"/>
  <c r="Y20" i="79"/>
  <c r="W20" i="79"/>
  <c r="V20" i="79"/>
  <c r="AA20" i="79"/>
  <c r="Z20" i="79"/>
  <c r="T20" i="79"/>
  <c r="S20" i="79"/>
  <c r="R20" i="79"/>
  <c r="Q20" i="79"/>
  <c r="O20" i="79"/>
  <c r="AB19" i="79"/>
  <c r="Y19" i="79"/>
  <c r="W19" i="79"/>
  <c r="V19" i="79"/>
  <c r="AA19" i="79"/>
  <c r="Z19" i="79"/>
  <c r="T19" i="79"/>
  <c r="S19" i="79"/>
  <c r="R19" i="79"/>
  <c r="Q19" i="79"/>
  <c r="O19" i="79"/>
  <c r="AB18" i="79"/>
  <c r="Y18" i="79"/>
  <c r="W18" i="79"/>
  <c r="V18" i="79"/>
  <c r="AA18" i="79"/>
  <c r="Z18" i="79"/>
  <c r="T18" i="79"/>
  <c r="S18" i="79"/>
  <c r="R18" i="79"/>
  <c r="Q18" i="79"/>
  <c r="O18" i="79"/>
  <c r="AB17" i="79"/>
  <c r="Y17" i="79"/>
  <c r="W17" i="79"/>
  <c r="V17" i="79"/>
  <c r="AA17" i="79"/>
  <c r="Z17" i="79"/>
  <c r="T17" i="79"/>
  <c r="S17" i="79"/>
  <c r="R17" i="79"/>
  <c r="Q17" i="79"/>
  <c r="O17" i="79"/>
  <c r="AB16" i="79"/>
  <c r="Y16" i="79"/>
  <c r="W16" i="79"/>
  <c r="V16" i="79"/>
  <c r="AA16" i="79"/>
  <c r="Z16" i="79"/>
  <c r="T16" i="79"/>
  <c r="S16" i="79"/>
  <c r="R16" i="79"/>
  <c r="Q16" i="79"/>
  <c r="O16" i="79"/>
  <c r="AB15" i="79"/>
  <c r="Y15" i="79"/>
  <c r="W15" i="79"/>
  <c r="V15" i="79"/>
  <c r="AA15" i="79"/>
  <c r="Z15" i="79"/>
  <c r="T15" i="79"/>
  <c r="S15" i="79"/>
  <c r="R15" i="79"/>
  <c r="Q15" i="79"/>
  <c r="AB14" i="79"/>
  <c r="Y14" i="79"/>
  <c r="W14" i="79"/>
  <c r="V14" i="79"/>
  <c r="AA14" i="79"/>
  <c r="Z14" i="79"/>
  <c r="T14" i="79"/>
  <c r="S14" i="79"/>
  <c r="R14" i="79"/>
  <c r="Q14" i="79"/>
  <c r="O14" i="79"/>
  <c r="AB13" i="79"/>
  <c r="Y13" i="79"/>
  <c r="W13" i="79"/>
  <c r="V13" i="79"/>
  <c r="AA13" i="79"/>
  <c r="Z13" i="79"/>
  <c r="T13" i="79"/>
  <c r="S13" i="79"/>
  <c r="R13" i="79"/>
  <c r="Q13" i="79"/>
  <c r="O13" i="79"/>
  <c r="AB12" i="79"/>
  <c r="Y12" i="79"/>
  <c r="W12" i="79"/>
  <c r="V12" i="79"/>
  <c r="AA12" i="79"/>
  <c r="Z12" i="79"/>
  <c r="T12" i="79"/>
  <c r="S12" i="79"/>
  <c r="R12" i="79"/>
  <c r="Q12" i="79"/>
  <c r="O12" i="79"/>
  <c r="AB11" i="79"/>
  <c r="Y11" i="79"/>
  <c r="W11" i="79"/>
  <c r="V11" i="79"/>
  <c r="AA11" i="79"/>
  <c r="Z11" i="79"/>
  <c r="T11" i="79"/>
  <c r="S11" i="79"/>
  <c r="R11" i="79"/>
  <c r="Q11" i="79"/>
  <c r="O11" i="79"/>
  <c r="AB10" i="79"/>
  <c r="T10" i="79"/>
  <c r="S10" i="79"/>
  <c r="R10" i="79"/>
  <c r="Q10" i="79"/>
  <c r="X11" i="79" l="1"/>
  <c r="AD11" i="79" s="1"/>
  <c r="E11" i="88"/>
  <c r="F11" i="88" s="1"/>
  <c r="H11" i="88" s="1"/>
  <c r="H21" i="88" s="1"/>
  <c r="L15" i="88"/>
  <c r="L20" i="88"/>
  <c r="L10" i="88"/>
  <c r="L12" i="88"/>
  <c r="L11" i="88"/>
  <c r="L13" i="88"/>
  <c r="L14" i="88"/>
  <c r="L16" i="88"/>
  <c r="L17" i="88"/>
  <c r="L18" i="88"/>
  <c r="L19" i="88"/>
  <c r="H47" i="77"/>
  <c r="AD76" i="79"/>
  <c r="AD13" i="79"/>
  <c r="K67" i="77" s="1"/>
  <c r="AM10" i="80"/>
  <c r="AZ10" i="80" a="1"/>
  <c r="AZ10" i="80" s="1"/>
  <c r="AD73" i="79"/>
  <c r="AD66" i="79"/>
  <c r="AC13" i="79"/>
  <c r="AC82" i="79"/>
  <c r="AC29" i="79"/>
  <c r="AD86" i="79"/>
  <c r="AC98" i="79"/>
  <c r="AC74" i="79"/>
  <c r="AD36" i="79"/>
  <c r="AG36" i="79" s="1"/>
  <c r="AC90" i="79"/>
  <c r="AC21" i="79"/>
  <c r="AC93" i="79"/>
  <c r="AC37" i="79"/>
  <c r="AC86" i="79"/>
  <c r="O110" i="79"/>
  <c r="A8" i="84" s="1"/>
  <c r="AM26" i="80"/>
  <c r="Y66" i="80"/>
  <c r="AS92" i="80"/>
  <c r="H46" i="77"/>
  <c r="Y101" i="80"/>
  <c r="AY10" i="80" a="1"/>
  <c r="AY10" i="80" s="1"/>
  <c r="BE100" i="80"/>
  <c r="AP45" i="80"/>
  <c r="AD104" i="79"/>
  <c r="AD70" i="79"/>
  <c r="AD81" i="79"/>
  <c r="AD17" i="79"/>
  <c r="AD28" i="79"/>
  <c r="AD65" i="79"/>
  <c r="AD95" i="79"/>
  <c r="AG95" i="79" s="1"/>
  <c r="AD108" i="79"/>
  <c r="AD30" i="79"/>
  <c r="AD78" i="79"/>
  <c r="AD89" i="79"/>
  <c r="AD92" i="79"/>
  <c r="AD103" i="79"/>
  <c r="AD26" i="79"/>
  <c r="AD33" i="79"/>
  <c r="AD37" i="79"/>
  <c r="AD48" i="79"/>
  <c r="AD18" i="79"/>
  <c r="AD25" i="79"/>
  <c r="AD29" i="79"/>
  <c r="AD44" i="79"/>
  <c r="AD59" i="79"/>
  <c r="AD100" i="79"/>
  <c r="AD58" i="79"/>
  <c r="AD24" i="79"/>
  <c r="AD31" i="79"/>
  <c r="AD46" i="79"/>
  <c r="AD49" i="79"/>
  <c r="AD71" i="79"/>
  <c r="AD75" i="79"/>
  <c r="AD97" i="79"/>
  <c r="AD51" i="79"/>
  <c r="AG51" i="79" s="1"/>
  <c r="AD47" i="79"/>
  <c r="AD43" i="79"/>
  <c r="AD39" i="79"/>
  <c r="AD55" i="79"/>
  <c r="AD35" i="79"/>
  <c r="AD57" i="79"/>
  <c r="AD61" i="79"/>
  <c r="AD84" i="79"/>
  <c r="AD38" i="79"/>
  <c r="AD99" i="79"/>
  <c r="AG99" i="79" s="1"/>
  <c r="AD41" i="79"/>
  <c r="AD91" i="79"/>
  <c r="AD79" i="79"/>
  <c r="AD109" i="79"/>
  <c r="AD102" i="79"/>
  <c r="AD98" i="79"/>
  <c r="AD27" i="79"/>
  <c r="AD14" i="79"/>
  <c r="AD53" i="79"/>
  <c r="AD72" i="79"/>
  <c r="AD80" i="79"/>
  <c r="AD22" i="79"/>
  <c r="AD23" i="79"/>
  <c r="AD21" i="79"/>
  <c r="AD45" i="79"/>
  <c r="AG45" i="79" s="1"/>
  <c r="AD56" i="79"/>
  <c r="AD88" i="79"/>
  <c r="AD32" i="79"/>
  <c r="AD107" i="79"/>
  <c r="AG107" i="79" s="1"/>
  <c r="AD16" i="79"/>
  <c r="AD20" i="79"/>
  <c r="AD83" i="79"/>
  <c r="AD12" i="79"/>
  <c r="AD63" i="79"/>
  <c r="AD67" i="79"/>
  <c r="AD87" i="79"/>
  <c r="AD74" i="79"/>
  <c r="AD82" i="79"/>
  <c r="AD106" i="79"/>
  <c r="AD62" i="79"/>
  <c r="AD94" i="79"/>
  <c r="AD15" i="79"/>
  <c r="AD19" i="79"/>
  <c r="AD54" i="79"/>
  <c r="AG54" i="79" s="1"/>
  <c r="AD90" i="79"/>
  <c r="AD34" i="79"/>
  <c r="AG34" i="79" s="1"/>
  <c r="AD42" i="79"/>
  <c r="AD50" i="79"/>
  <c r="AD85" i="79"/>
  <c r="AD93" i="79"/>
  <c r="Y106" i="80"/>
  <c r="BE35" i="80"/>
  <c r="Y26" i="80"/>
  <c r="BG26" i="80" s="1"/>
  <c r="Y59" i="80"/>
  <c r="Y99" i="80"/>
  <c r="Y107" i="80"/>
  <c r="Y43" i="80"/>
  <c r="AG13" i="79"/>
  <c r="AG76" i="79"/>
  <c r="AC61" i="79"/>
  <c r="AC77" i="79"/>
  <c r="AC45" i="79"/>
  <c r="AS38" i="80"/>
  <c r="AP43" i="80"/>
  <c r="AP109" i="80"/>
  <c r="AS10" i="80"/>
  <c r="AM91" i="80"/>
  <c r="AS84" i="80"/>
  <c r="AS81" i="80"/>
  <c r="Y83" i="80"/>
  <c r="AS46" i="80"/>
  <c r="AS97" i="80"/>
  <c r="AM85" i="80"/>
  <c r="AP54" i="80"/>
  <c r="AM18" i="80"/>
  <c r="AS20" i="80"/>
  <c r="AM42" i="80"/>
  <c r="AP44" i="80"/>
  <c r="AS35" i="80"/>
  <c r="AM32" i="80"/>
  <c r="AS37" i="80"/>
  <c r="AS54" i="80"/>
  <c r="AP92" i="80"/>
  <c r="AP89" i="80"/>
  <c r="AP86" i="80"/>
  <c r="AM77" i="80"/>
  <c r="AS64" i="80"/>
  <c r="AP61" i="80"/>
  <c r="BG58" i="80"/>
  <c r="AM41" i="80"/>
  <c r="AM20" i="80"/>
  <c r="AS16" i="80"/>
  <c r="AS83" i="80"/>
  <c r="AP50" i="80"/>
  <c r="AM92" i="80"/>
  <c r="AP58" i="80"/>
  <c r="AS22" i="80"/>
  <c r="AP73" i="80"/>
  <c r="AM61" i="80"/>
  <c r="AP88" i="80"/>
  <c r="AS102" i="80"/>
  <c r="Y78" i="80"/>
  <c r="AM60" i="80"/>
  <c r="AM48" i="80"/>
  <c r="AM57" i="80"/>
  <c r="AP29" i="80"/>
  <c r="AM14" i="80"/>
  <c r="BE84" i="80"/>
  <c r="AS63" i="80"/>
  <c r="AP60" i="80"/>
  <c r="AM52" i="80"/>
  <c r="AP23" i="80"/>
  <c r="AP93" i="80"/>
  <c r="AS78" i="80"/>
  <c r="AP66" i="80"/>
  <c r="AM13" i="80"/>
  <c r="AP34" i="80"/>
  <c r="AM16" i="80"/>
  <c r="AV9" i="80"/>
  <c r="AV19" i="80"/>
  <c r="AX19" i="80" s="1"/>
  <c r="AS87" i="80"/>
  <c r="AS62" i="80"/>
  <c r="AM78" i="80"/>
  <c r="AS47" i="80"/>
  <c r="AP42" i="80"/>
  <c r="AS39" i="80"/>
  <c r="AM25" i="80"/>
  <c r="Y34" i="80"/>
  <c r="AM102" i="80"/>
  <c r="AM93" i="80"/>
  <c r="AM51" i="80"/>
  <c r="AS89" i="80"/>
  <c r="Y24" i="80"/>
  <c r="BE49" i="80"/>
  <c r="AS68" i="80"/>
  <c r="Y49" i="80"/>
  <c r="AM30" i="80"/>
  <c r="AP64" i="80"/>
  <c r="AS52" i="80"/>
  <c r="AS32" i="80"/>
  <c r="AM22" i="80"/>
  <c r="AS74" i="80"/>
  <c r="AP27" i="80"/>
  <c r="Y65" i="80"/>
  <c r="AP46" i="80"/>
  <c r="AM33" i="80"/>
  <c r="AS29" i="80"/>
  <c r="AM27" i="80"/>
  <c r="AM89" i="80"/>
  <c r="AS88" i="80"/>
  <c r="AM86" i="80"/>
  <c r="AP74" i="80"/>
  <c r="AP68" i="80"/>
  <c r="AS57" i="80"/>
  <c r="AS51" i="80"/>
  <c r="AY39" i="80" a="1"/>
  <c r="AY39" i="80" s="1"/>
  <c r="BE39" i="80" s="1"/>
  <c r="BE37" i="80"/>
  <c r="BA39" i="80" a="1"/>
  <c r="BA39" i="80" s="1"/>
  <c r="AS82" i="80"/>
  <c r="AP51" i="80"/>
  <c r="AS17" i="80"/>
  <c r="AS14" i="80"/>
  <c r="AS73" i="80"/>
  <c r="AM71" i="80"/>
  <c r="Y67" i="80"/>
  <c r="AP48" i="80"/>
  <c r="AM43" i="80"/>
  <c r="AS100" i="80"/>
  <c r="AP79" i="80"/>
  <c r="AP67" i="80"/>
  <c r="Y37" i="80"/>
  <c r="AM106" i="80"/>
  <c r="BA16" i="80" a="1"/>
  <c r="BA16" i="80" s="1"/>
  <c r="BG74" i="80"/>
  <c r="AS104" i="80"/>
  <c r="AP28" i="80"/>
  <c r="AM23" i="80"/>
  <c r="AS13" i="80"/>
  <c r="AV58" i="80"/>
  <c r="AX58" i="80" s="1"/>
  <c r="AV72" i="80"/>
  <c r="AX72" i="80" s="1"/>
  <c r="AV27" i="80"/>
  <c r="AW27" i="80" s="1"/>
  <c r="AS19" i="80"/>
  <c r="AP10" i="80"/>
  <c r="AS109" i="80"/>
  <c r="AS95" i="80"/>
  <c r="AM34" i="80"/>
  <c r="AP16" i="80"/>
  <c r="AP13" i="80"/>
  <c r="AS98" i="80"/>
  <c r="AM64" i="80"/>
  <c r="AS58" i="80"/>
  <c r="AM53" i="80"/>
  <c r="AP39" i="80"/>
  <c r="AS30" i="80"/>
  <c r="AP22" i="80"/>
  <c r="AP19" i="80"/>
  <c r="BG20" i="80"/>
  <c r="AM82" i="80"/>
  <c r="AP63" i="80"/>
  <c r="Y42" i="80"/>
  <c r="BG42" i="80" s="1"/>
  <c r="AV40" i="80"/>
  <c r="AX40" i="80" s="1"/>
  <c r="AV35" i="80"/>
  <c r="AX35" i="80" s="1"/>
  <c r="AS44" i="80"/>
  <c r="AS108" i="80"/>
  <c r="AP95" i="80"/>
  <c r="AS70" i="80"/>
  <c r="AS67" i="80"/>
  <c r="AM63" i="80"/>
  <c r="AP26" i="80"/>
  <c r="AM24" i="80"/>
  <c r="AV16" i="80"/>
  <c r="AW16" i="80" s="1"/>
  <c r="AS15" i="80"/>
  <c r="AS9" i="80"/>
  <c r="AS103" i="80"/>
  <c r="AS86" i="80"/>
  <c r="AP70" i="80"/>
  <c r="AV55" i="80"/>
  <c r="AW55" i="80" s="1"/>
  <c r="AS49" i="80"/>
  <c r="AM47" i="80"/>
  <c r="AP55" i="80"/>
  <c r="AV108" i="80"/>
  <c r="AX108" i="80" s="1"/>
  <c r="AS75" i="80"/>
  <c r="AV44" i="80"/>
  <c r="AX44" i="80" s="1"/>
  <c r="AV43" i="80"/>
  <c r="AX43" i="80" s="1"/>
  <c r="AS36" i="80"/>
  <c r="AS28" i="80"/>
  <c r="AL9" i="80"/>
  <c r="AM9" i="80" s="1"/>
  <c r="AM90" i="80"/>
  <c r="AP105" i="80"/>
  <c r="AP97" i="80"/>
  <c r="AP94" i="80"/>
  <c r="AS91" i="80"/>
  <c r="AP83" i="80"/>
  <c r="AM81" i="80"/>
  <c r="AS80" i="80"/>
  <c r="AS72" i="80"/>
  <c r="AS69" i="80"/>
  <c r="AM62" i="80"/>
  <c r="AP59" i="80"/>
  <c r="AM49" i="80"/>
  <c r="AS25" i="80"/>
  <c r="AP20" i="80"/>
  <c r="AM15" i="80"/>
  <c r="AV30" i="80"/>
  <c r="AW30" i="80" s="1"/>
  <c r="AS11" i="80"/>
  <c r="AS96" i="80"/>
  <c r="AM83" i="80"/>
  <c r="AP80" i="80"/>
  <c r="AS77" i="80"/>
  <c r="AP38" i="80"/>
  <c r="BG48" i="80"/>
  <c r="AM105" i="80"/>
  <c r="AP102" i="80"/>
  <c r="AS99" i="80"/>
  <c r="AM75" i="80"/>
  <c r="AP69" i="80"/>
  <c r="AS66" i="80"/>
  <c r="Y56" i="80"/>
  <c r="AM54" i="80"/>
  <c r="AS48" i="80"/>
  <c r="Y85" i="80"/>
  <c r="AP96" i="80"/>
  <c r="AM80" i="80"/>
  <c r="AM72" i="80"/>
  <c r="AM69" i="80"/>
  <c r="AP56" i="80"/>
  <c r="AS53" i="80"/>
  <c r="AS45" i="80"/>
  <c r="AS40" i="80"/>
  <c r="AS27" i="80"/>
  <c r="AY23" i="80" a="1"/>
  <c r="AY23" i="80" s="1"/>
  <c r="BE23" i="80" s="1"/>
  <c r="Y82" i="80"/>
  <c r="AP35" i="80"/>
  <c r="AZ23" i="80" a="1"/>
  <c r="AZ23" i="80" s="1"/>
  <c r="BF23" i="80" s="1"/>
  <c r="AS90" i="80"/>
  <c r="AS79" i="80"/>
  <c r="AM56" i="80"/>
  <c r="AM109" i="80"/>
  <c r="AM94" i="80"/>
  <c r="AM107" i="80"/>
  <c r="AV96" i="80"/>
  <c r="AW96" i="80" s="1"/>
  <c r="AV82" i="80"/>
  <c r="AX82" i="80" s="1"/>
  <c r="AV71" i="80"/>
  <c r="AW71" i="80" s="1"/>
  <c r="AM66" i="80"/>
  <c r="AV34" i="80"/>
  <c r="AX34" i="80" s="1"/>
  <c r="AS24" i="80"/>
  <c r="AV22" i="80"/>
  <c r="AX22" i="80" s="1"/>
  <c r="X69" i="80" a="1"/>
  <c r="X69" i="80" s="1"/>
  <c r="Y69" i="80" s="1"/>
  <c r="AS106" i="80"/>
  <c r="AP104" i="80"/>
  <c r="AP99" i="80"/>
  <c r="AM97" i="80"/>
  <c r="AM95" i="80"/>
  <c r="AV94" i="80"/>
  <c r="AX94" i="80" s="1"/>
  <c r="AM68" i="80"/>
  <c r="AP57" i="80"/>
  <c r="AP52" i="80"/>
  <c r="AV48" i="80"/>
  <c r="AW48" i="80" s="1"/>
  <c r="AV46" i="80"/>
  <c r="AX46" i="80" s="1"/>
  <c r="AS43" i="80"/>
  <c r="AV41" i="80"/>
  <c r="AW41" i="80" s="1"/>
  <c r="AM39" i="80"/>
  <c r="AM11" i="80"/>
  <c r="AY17" i="80" a="1"/>
  <c r="AY17" i="80" s="1"/>
  <c r="BE17" i="80" s="1"/>
  <c r="AZ32" i="80" a="1"/>
  <c r="AZ32" i="80" s="1"/>
  <c r="BF32" i="80" s="1"/>
  <c r="X97" i="80" a="1"/>
  <c r="X97" i="80" s="1"/>
  <c r="Y97" i="80" s="1"/>
  <c r="AV39" i="80"/>
  <c r="AW39" i="80" s="1"/>
  <c r="AZ17" i="80" a="1"/>
  <c r="AZ17" i="80" s="1"/>
  <c r="BG53" i="80"/>
  <c r="AS101" i="80"/>
  <c r="AP81" i="80"/>
  <c r="AV70" i="80"/>
  <c r="AX70" i="80" s="1"/>
  <c r="AP65" i="80"/>
  <c r="Y63" i="80"/>
  <c r="AV47" i="80"/>
  <c r="AW47" i="80" s="1"/>
  <c r="Y15" i="80"/>
  <c r="AP108" i="80"/>
  <c r="AV104" i="80"/>
  <c r="AX104" i="80" s="1"/>
  <c r="AP101" i="80"/>
  <c r="AM99" i="80"/>
  <c r="AS94" i="80"/>
  <c r="AV90" i="80"/>
  <c r="AX90" i="80" s="1"/>
  <c r="AS85" i="80"/>
  <c r="AM79" i="80"/>
  <c r="AV78" i="80"/>
  <c r="AX78" i="80" s="1"/>
  <c r="AS76" i="80"/>
  <c r="AP36" i="80"/>
  <c r="Y32" i="80"/>
  <c r="BG32" i="80" s="1"/>
  <c r="AP30" i="80"/>
  <c r="AS23" i="80"/>
  <c r="AP17" i="80"/>
  <c r="AY33" i="80" a="1"/>
  <c r="AY33" i="80" s="1"/>
  <c r="BE33" i="80" s="1"/>
  <c r="AV88" i="80"/>
  <c r="AW88" i="80" s="1"/>
  <c r="AP85" i="80"/>
  <c r="AP76" i="80"/>
  <c r="AV65" i="80"/>
  <c r="AW65" i="80" s="1"/>
  <c r="AS60" i="80"/>
  <c r="AY9" i="80" a="1"/>
  <c r="AY9" i="80" s="1"/>
  <c r="BE9" i="80" s="1"/>
  <c r="BA33" i="80" a="1"/>
  <c r="BA33" i="80" s="1"/>
  <c r="AM101" i="80"/>
  <c r="AM67" i="80"/>
  <c r="AV32" i="80"/>
  <c r="AX32" i="80" s="1"/>
  <c r="AM17" i="80"/>
  <c r="AY26" i="80" a="1"/>
  <c r="AY26" i="80" s="1"/>
  <c r="BE26" i="80" s="1"/>
  <c r="BA55" i="80" a="1"/>
  <c r="BA55" i="80" s="1"/>
  <c r="AV109" i="80"/>
  <c r="AW109" i="80" s="1"/>
  <c r="AV101" i="80"/>
  <c r="AX101" i="80" s="1"/>
  <c r="AV92" i="80"/>
  <c r="AW92" i="80" s="1"/>
  <c r="Y87" i="80"/>
  <c r="AV74" i="80"/>
  <c r="AV63" i="80"/>
  <c r="AW63" i="80" s="1"/>
  <c r="AV54" i="80"/>
  <c r="AX54" i="80" s="1"/>
  <c r="AV13" i="80"/>
  <c r="AZ26" i="80" a="1"/>
  <c r="AZ26" i="80" s="1"/>
  <c r="BF26" i="80" s="1"/>
  <c r="AM108" i="80"/>
  <c r="AS105" i="80"/>
  <c r="AP103" i="80"/>
  <c r="AP98" i="80"/>
  <c r="AV85" i="80"/>
  <c r="AW85" i="80" s="1"/>
  <c r="AV76" i="80"/>
  <c r="AW76" i="80" s="1"/>
  <c r="AS71" i="80"/>
  <c r="AM58" i="80"/>
  <c r="AP49" i="80"/>
  <c r="AS42" i="80"/>
  <c r="AM40" i="80"/>
  <c r="AM21" i="80"/>
  <c r="AM19" i="80"/>
  <c r="AM37" i="80"/>
  <c r="AS107" i="80"/>
  <c r="AM98" i="80"/>
  <c r="AV97" i="80"/>
  <c r="AW97" i="80" s="1"/>
  <c r="AM96" i="80"/>
  <c r="AP87" i="80"/>
  <c r="AV68" i="80"/>
  <c r="AW68" i="80" s="1"/>
  <c r="Y51" i="80"/>
  <c r="BG51" i="80" s="1"/>
  <c r="AV38" i="80"/>
  <c r="AX38" i="80" s="1"/>
  <c r="BF33" i="80"/>
  <c r="AS31" i="80"/>
  <c r="AV25" i="80"/>
  <c r="AP12" i="80"/>
  <c r="AY20" i="80" a="1"/>
  <c r="AY20" i="80" s="1"/>
  <c r="BE20" i="80" s="1"/>
  <c r="Y75" i="80"/>
  <c r="AP100" i="80"/>
  <c r="AS93" i="80"/>
  <c r="AV87" i="80"/>
  <c r="AX87" i="80" s="1"/>
  <c r="AP82" i="80"/>
  <c r="Y64" i="80"/>
  <c r="BG64" i="80" s="1"/>
  <c r="AV57" i="80"/>
  <c r="AS33" i="80"/>
  <c r="AS18" i="80"/>
  <c r="AP14" i="80"/>
  <c r="AY11" i="80" a="1"/>
  <c r="AY11" i="80" s="1"/>
  <c r="AZ11" i="80" s="1" a="1"/>
  <c r="AZ11" i="80" s="1"/>
  <c r="AP107" i="80"/>
  <c r="AP84" i="80"/>
  <c r="AP75" i="80"/>
  <c r="AV64" i="80"/>
  <c r="AX64" i="80" s="1"/>
  <c r="AP62" i="80"/>
  <c r="AS59" i="80"/>
  <c r="AS55" i="80"/>
  <c r="AM35" i="80"/>
  <c r="AP31" i="80"/>
  <c r="AS26" i="80"/>
  <c r="AP77" i="80"/>
  <c r="AP91" i="80"/>
  <c r="AV81" i="80"/>
  <c r="AW81" i="80" s="1"/>
  <c r="AV80" i="80"/>
  <c r="AW80" i="80" s="1"/>
  <c r="AV79" i="80"/>
  <c r="AV73" i="80"/>
  <c r="AW73" i="80" s="1"/>
  <c r="AV33" i="80"/>
  <c r="AW33" i="80" s="1"/>
  <c r="AM29" i="80"/>
  <c r="AY16" i="80" a="1"/>
  <c r="AY16" i="80" s="1"/>
  <c r="BE16" i="80" s="1"/>
  <c r="AM59" i="80"/>
  <c r="Y86" i="80"/>
  <c r="BG86" i="80" s="1"/>
  <c r="AM73" i="80"/>
  <c r="AS41" i="80"/>
  <c r="BA66" i="80" a="1"/>
  <c r="BA66" i="80" s="1"/>
  <c r="AZ66" i="80" a="1"/>
  <c r="AZ66" i="80" s="1"/>
  <c r="BF66" i="80" s="1"/>
  <c r="AY66" i="80" a="1"/>
  <c r="AY66" i="80" s="1"/>
  <c r="BE66" i="80" s="1"/>
  <c r="BA15" i="80" a="1"/>
  <c r="BA15" i="80" s="1"/>
  <c r="AZ15" i="80" a="1"/>
  <c r="AZ15" i="80" s="1"/>
  <c r="BF15" i="80" s="1"/>
  <c r="AY15" i="80" a="1"/>
  <c r="AY15" i="80" s="1"/>
  <c r="BE15" i="80" s="1"/>
  <c r="AV15" i="80"/>
  <c r="AV45" i="80"/>
  <c r="AM45" i="80"/>
  <c r="AV36" i="80"/>
  <c r="AM36" i="80"/>
  <c r="AV103" i="80"/>
  <c r="BG102" i="80"/>
  <c r="BF45" i="80"/>
  <c r="AZ61" i="80" a="1"/>
  <c r="AZ61" i="80" s="1"/>
  <c r="BF61" i="80" s="1"/>
  <c r="AY61" i="80" a="1"/>
  <c r="AY61" i="80" s="1"/>
  <c r="BE61" i="80" s="1"/>
  <c r="BA61" i="80" a="1"/>
  <c r="BA61" i="80" s="1"/>
  <c r="AS61" i="80"/>
  <c r="BA52" i="80" a="1"/>
  <c r="BA52" i="80" s="1"/>
  <c r="AZ52" i="80" a="1"/>
  <c r="AZ52" i="80" s="1"/>
  <c r="BF52" i="80" s="1"/>
  <c r="AY52" i="80" a="1"/>
  <c r="AY52" i="80" s="1"/>
  <c r="BE52" i="80" s="1"/>
  <c r="X80" i="80" a="1"/>
  <c r="X80" i="80" s="1"/>
  <c r="W110" i="80"/>
  <c r="BA107" i="80" a="1"/>
  <c r="BA107" i="80" s="1"/>
  <c r="AZ107" i="80" a="1"/>
  <c r="AZ107" i="80" s="1"/>
  <c r="BF107" i="80" s="1"/>
  <c r="AY107" i="80" a="1"/>
  <c r="AY107" i="80" s="1"/>
  <c r="BE107" i="80" s="1"/>
  <c r="AV107" i="80"/>
  <c r="AM100" i="80"/>
  <c r="AV100" i="80"/>
  <c r="BA91" i="80" a="1"/>
  <c r="BA91" i="80" s="1"/>
  <c r="AZ91" i="80" a="1"/>
  <c r="AZ91" i="80" s="1"/>
  <c r="BF91" i="80" s="1"/>
  <c r="AY91" i="80" a="1"/>
  <c r="AY91" i="80" s="1"/>
  <c r="BE91" i="80" s="1"/>
  <c r="AV91" i="80"/>
  <c r="Y71" i="80"/>
  <c r="BG71" i="80" s="1"/>
  <c r="Y28" i="80"/>
  <c r="AM31" i="80"/>
  <c r="AV31" i="80"/>
  <c r="Y16" i="80"/>
  <c r="BF16" i="80"/>
  <c r="AM84" i="80"/>
  <c r="AV84" i="80"/>
  <c r="AV106" i="80"/>
  <c r="Y62" i="80"/>
  <c r="AZ106" i="80" a="1"/>
  <c r="AZ106" i="80" s="1"/>
  <c r="BF106" i="80" s="1"/>
  <c r="AY106" i="80" a="1"/>
  <c r="AY106" i="80" s="1"/>
  <c r="BE106" i="80" s="1"/>
  <c r="BA106" i="80" a="1"/>
  <c r="BA106" i="80" s="1"/>
  <c r="AV93" i="80"/>
  <c r="BA90" i="80" a="1"/>
  <c r="BA90" i="80" s="1"/>
  <c r="AZ90" i="80" a="1"/>
  <c r="AZ90" i="80" s="1"/>
  <c r="BF90" i="80" s="1"/>
  <c r="AY90" i="80" a="1"/>
  <c r="AY90" i="80" s="1"/>
  <c r="BE90" i="80" s="1"/>
  <c r="BA77" i="80" a="1"/>
  <c r="BA77" i="80" s="1"/>
  <c r="AZ77" i="80" a="1"/>
  <c r="AZ77" i="80" s="1"/>
  <c r="AY77" i="80" a="1"/>
  <c r="AY77" i="80" s="1"/>
  <c r="BE77" i="80" s="1"/>
  <c r="BA56" i="80" a="1"/>
  <c r="BA56" i="80" s="1"/>
  <c r="AZ56" i="80" a="1"/>
  <c r="AZ56" i="80" s="1"/>
  <c r="BF56" i="80" s="1"/>
  <c r="AY56" i="80" a="1"/>
  <c r="AY56" i="80" s="1"/>
  <c r="BE56" i="80" s="1"/>
  <c r="AP41" i="80"/>
  <c r="AP32" i="80"/>
  <c r="AY12" i="80" a="1"/>
  <c r="AY12" i="80" s="1"/>
  <c r="BE12" i="80" s="1"/>
  <c r="BA108" i="80" a="1"/>
  <c r="BA108" i="80" s="1"/>
  <c r="AZ108" i="80" a="1"/>
  <c r="AZ108" i="80" s="1"/>
  <c r="BF108" i="80" s="1"/>
  <c r="AY108" i="80" a="1"/>
  <c r="AY108" i="80" s="1"/>
  <c r="BE108" i="80" s="1"/>
  <c r="AP90" i="80"/>
  <c r="AM87" i="80"/>
  <c r="AP71" i="80"/>
  <c r="AM70" i="80"/>
  <c r="AM50" i="80"/>
  <c r="BA47" i="80" a="1"/>
  <c r="BA47" i="80" s="1"/>
  <c r="AY47" i="80" a="1"/>
  <c r="AY47" i="80" s="1"/>
  <c r="BE47" i="80" s="1"/>
  <c r="AP33" i="80"/>
  <c r="BA29" i="80" a="1"/>
  <c r="BA29" i="80" s="1"/>
  <c r="AZ29" i="80" a="1"/>
  <c r="AZ29" i="80" s="1"/>
  <c r="AY29" i="80" a="1"/>
  <c r="AY29" i="80" s="1"/>
  <c r="BE29" i="80" s="1"/>
  <c r="AP18" i="80"/>
  <c r="AS12" i="80"/>
  <c r="AP106" i="80"/>
  <c r="AM103" i="80"/>
  <c r="AV95" i="80"/>
  <c r="BA92" i="80" a="1"/>
  <c r="BA92" i="80" s="1"/>
  <c r="AZ92" i="80" a="1"/>
  <c r="AZ92" i="80" s="1"/>
  <c r="BF92" i="80" s="1"/>
  <c r="AY92" i="80" a="1"/>
  <c r="AY92" i="80" s="1"/>
  <c r="BE92" i="80" s="1"/>
  <c r="AM76" i="80"/>
  <c r="BA72" i="80" a="1"/>
  <c r="BA72" i="80" s="1"/>
  <c r="AZ72" i="80" a="1"/>
  <c r="AZ72" i="80" s="1"/>
  <c r="BF72" i="80" s="1"/>
  <c r="AY72" i="80" a="1"/>
  <c r="AY72" i="80" s="1"/>
  <c r="BE72" i="80" s="1"/>
  <c r="AS56" i="80"/>
  <c r="AM55" i="80"/>
  <c r="BA43" i="80" a="1"/>
  <c r="BA43" i="80" s="1"/>
  <c r="AY43" i="80" a="1"/>
  <c r="AY43" i="80" s="1"/>
  <c r="BE43" i="80" s="1"/>
  <c r="BA38" i="80" a="1"/>
  <c r="BA38" i="80" s="1"/>
  <c r="AZ38" i="80" a="1"/>
  <c r="AZ38" i="80" s="1"/>
  <c r="BF38" i="80" s="1"/>
  <c r="AY38" i="80" a="1"/>
  <c r="AY38" i="80" s="1"/>
  <c r="BE38" i="80" s="1"/>
  <c r="AP37" i="80"/>
  <c r="BA109" i="80" a="1"/>
  <c r="BA109" i="80" s="1"/>
  <c r="AZ109" i="80" a="1"/>
  <c r="AZ109" i="80" s="1"/>
  <c r="BF109" i="80" s="1"/>
  <c r="AY109" i="80" a="1"/>
  <c r="AY109" i="80" s="1"/>
  <c r="BE109" i="80" s="1"/>
  <c r="AM104" i="80"/>
  <c r="BA93" i="80" a="1"/>
  <c r="BA93" i="80" s="1"/>
  <c r="AY93" i="80" a="1"/>
  <c r="AY93" i="80" s="1"/>
  <c r="BE93" i="80" s="1"/>
  <c r="AM88" i="80"/>
  <c r="BA78" i="80" a="1"/>
  <c r="BA78" i="80" s="1"/>
  <c r="AZ78" i="80" a="1"/>
  <c r="AZ78" i="80" s="1"/>
  <c r="BF78" i="80" s="1"/>
  <c r="AY78" i="80" a="1"/>
  <c r="AY78" i="80" s="1"/>
  <c r="BE78" i="80" s="1"/>
  <c r="AM65" i="80"/>
  <c r="AV62" i="80"/>
  <c r="AV53" i="80"/>
  <c r="AM46" i="80"/>
  <c r="BA34" i="80" a="1"/>
  <c r="BA34" i="80" s="1"/>
  <c r="AZ34" i="80" a="1"/>
  <c r="AZ34" i="80" s="1"/>
  <c r="BF34" i="80" s="1"/>
  <c r="AY34" i="80" a="1"/>
  <c r="AY34" i="80" s="1"/>
  <c r="BE34" i="80" s="1"/>
  <c r="AM28" i="80"/>
  <c r="Y22" i="80"/>
  <c r="BG22" i="80" s="1"/>
  <c r="BA19" i="80" a="1"/>
  <c r="BA19" i="80" s="1"/>
  <c r="AZ19" i="80" a="1"/>
  <c r="AZ19" i="80" s="1"/>
  <c r="AY19" i="80" a="1"/>
  <c r="AY19" i="80" s="1"/>
  <c r="BE19" i="80" s="1"/>
  <c r="X29" i="80" a="1"/>
  <c r="X29" i="80" s="1"/>
  <c r="Y30" i="80"/>
  <c r="Y46" i="80"/>
  <c r="BA62" i="80" a="1"/>
  <c r="BA62" i="80" s="1"/>
  <c r="AZ62" i="80" a="1"/>
  <c r="AZ62" i="80" s="1"/>
  <c r="BF62" i="80" s="1"/>
  <c r="AY62" i="80" a="1"/>
  <c r="AY62" i="80" s="1"/>
  <c r="BE62" i="80" s="1"/>
  <c r="AZ57" i="80" a="1"/>
  <c r="AZ57" i="80" s="1"/>
  <c r="BF57" i="80" s="1"/>
  <c r="AY57" i="80" a="1"/>
  <c r="AY57" i="80" s="1"/>
  <c r="BE57" i="80" s="1"/>
  <c r="AS34" i="80"/>
  <c r="Y55" i="80"/>
  <c r="BG55" i="80" s="1"/>
  <c r="AV83" i="80"/>
  <c r="AP72" i="80"/>
  <c r="AV51" i="80"/>
  <c r="AV49" i="80"/>
  <c r="AP47" i="80"/>
  <c r="BA44" i="80" a="1"/>
  <c r="BA44" i="80" s="1"/>
  <c r="AZ44" i="80" a="1"/>
  <c r="AZ44" i="80" s="1"/>
  <c r="BF44" i="80" s="1"/>
  <c r="AY44" i="80" a="1"/>
  <c r="AY44" i="80" s="1"/>
  <c r="BE44" i="80" s="1"/>
  <c r="BA30" i="80" a="1"/>
  <c r="BA30" i="80" s="1"/>
  <c r="AZ30" i="80" a="1"/>
  <c r="AZ30" i="80" s="1"/>
  <c r="BF30" i="80" s="1"/>
  <c r="AY30" i="80" a="1"/>
  <c r="AY30" i="80" s="1"/>
  <c r="BE30" i="80" s="1"/>
  <c r="BA27" i="80" a="1"/>
  <c r="BA27" i="80" s="1"/>
  <c r="AZ27" i="80" a="1"/>
  <c r="AZ27" i="80" s="1"/>
  <c r="BF27" i="80" s="1"/>
  <c r="AY27" i="80" a="1"/>
  <c r="AY27" i="80" s="1"/>
  <c r="BE27" i="80" s="1"/>
  <c r="AP15" i="80"/>
  <c r="X17" i="80" a="1"/>
  <c r="X17" i="80" s="1"/>
  <c r="AZ47" i="80" a="1"/>
  <c r="AZ47" i="80" s="1"/>
  <c r="BF47" i="80" s="1"/>
  <c r="AV98" i="80"/>
  <c r="BA96" i="80" a="1"/>
  <c r="BA96" i="80" s="1"/>
  <c r="AZ96" i="80" a="1"/>
  <c r="AZ96" i="80" s="1"/>
  <c r="BF96" i="80" s="1"/>
  <c r="AY96" i="80" a="1"/>
  <c r="AY96" i="80" s="1"/>
  <c r="BE96" i="80" s="1"/>
  <c r="BA80" i="80" a="1"/>
  <c r="BA80" i="80" s="1"/>
  <c r="AZ80" i="80" a="1"/>
  <c r="AZ80" i="80" s="1"/>
  <c r="AY80" i="80" a="1"/>
  <c r="AY80" i="80" s="1"/>
  <c r="BE80" i="80" s="1"/>
  <c r="BA73" i="80" a="1"/>
  <c r="BA73" i="80" s="1"/>
  <c r="AZ73" i="80" a="1"/>
  <c r="AZ73" i="80" s="1"/>
  <c r="BF73" i="80" s="1"/>
  <c r="AY73" i="80" a="1"/>
  <c r="AY73" i="80" s="1"/>
  <c r="BE73" i="80" s="1"/>
  <c r="BA97" i="80" a="1"/>
  <c r="BA97" i="80" s="1"/>
  <c r="AZ97" i="80" a="1"/>
  <c r="AZ97" i="80" s="1"/>
  <c r="AY97" i="80" a="1"/>
  <c r="AY97" i="80" s="1"/>
  <c r="BE97" i="80" s="1"/>
  <c r="BA81" i="80" a="1"/>
  <c r="BA81" i="80" s="1"/>
  <c r="AZ81" i="80" a="1"/>
  <c r="AZ81" i="80" s="1"/>
  <c r="BF81" i="80" s="1"/>
  <c r="AY81" i="80" a="1"/>
  <c r="AY81" i="80" s="1"/>
  <c r="BE81" i="80" s="1"/>
  <c r="AP78" i="80"/>
  <c r="AV77" i="80"/>
  <c r="BA68" i="80" a="1"/>
  <c r="BA68" i="80" s="1"/>
  <c r="AZ68" i="80" a="1"/>
  <c r="AZ68" i="80" s="1"/>
  <c r="BF68" i="80" s="1"/>
  <c r="AY68" i="80" a="1"/>
  <c r="AY68" i="80" s="1"/>
  <c r="BE68" i="80" s="1"/>
  <c r="AV42" i="80"/>
  <c r="AM38" i="80"/>
  <c r="BA35" i="80" a="1"/>
  <c r="BA35" i="80" s="1"/>
  <c r="AZ35" i="80" a="1"/>
  <c r="AZ35" i="80" s="1"/>
  <c r="BF35" i="80" s="1"/>
  <c r="AY13" i="80" a="1"/>
  <c r="AY13" i="80" s="1"/>
  <c r="AM12" i="80"/>
  <c r="BF39" i="80"/>
  <c r="Y39" i="80"/>
  <c r="AZ93" i="80" a="1"/>
  <c r="AZ93" i="80" s="1"/>
  <c r="BF93" i="80" s="1"/>
  <c r="BA94" i="80" a="1"/>
  <c r="BA94" i="80" s="1"/>
  <c r="AZ94" i="80" a="1"/>
  <c r="AZ94" i="80" s="1"/>
  <c r="BF94" i="80" s="1"/>
  <c r="AY94" i="80" a="1"/>
  <c r="AY94" i="80" s="1"/>
  <c r="BE94" i="80" s="1"/>
  <c r="BA82" i="80" a="1"/>
  <c r="BA82" i="80" s="1"/>
  <c r="AZ82" i="80" a="1"/>
  <c r="AZ82" i="80" s="1"/>
  <c r="BF82" i="80" s="1"/>
  <c r="AY82" i="80" a="1"/>
  <c r="AY82" i="80" s="1"/>
  <c r="BE82" i="80" s="1"/>
  <c r="AV75" i="80"/>
  <c r="AV69" i="80"/>
  <c r="AV61" i="80"/>
  <c r="AV59" i="80"/>
  <c r="AV52" i="80"/>
  <c r="AV24" i="80"/>
  <c r="AV17" i="80"/>
  <c r="AV11" i="80"/>
  <c r="X13" i="80" a="1"/>
  <c r="X13" i="80" s="1"/>
  <c r="BA98" i="80" a="1"/>
  <c r="BA98" i="80" s="1"/>
  <c r="AZ98" i="80" a="1"/>
  <c r="AZ98" i="80" s="1"/>
  <c r="BF98" i="80" s="1"/>
  <c r="AY98" i="80" a="1"/>
  <c r="AY98" i="80" s="1"/>
  <c r="BE98" i="80" s="1"/>
  <c r="AV102" i="80"/>
  <c r="BA99" i="80" a="1"/>
  <c r="BA99" i="80" s="1"/>
  <c r="AZ99" i="80" a="1"/>
  <c r="AZ99" i="80" s="1"/>
  <c r="BF99" i="80" s="1"/>
  <c r="AY99" i="80" a="1"/>
  <c r="AY99" i="80" s="1"/>
  <c r="BE99" i="80" s="1"/>
  <c r="AV86" i="80"/>
  <c r="BA83" i="80" a="1"/>
  <c r="BA83" i="80" s="1"/>
  <c r="AZ83" i="80" a="1"/>
  <c r="AZ83" i="80" s="1"/>
  <c r="BF83" i="80" s="1"/>
  <c r="AY83" i="80" a="1"/>
  <c r="AY83" i="80" s="1"/>
  <c r="BE83" i="80" s="1"/>
  <c r="BA75" i="80" a="1"/>
  <c r="BA75" i="80" s="1"/>
  <c r="AZ75" i="80" a="1"/>
  <c r="AZ75" i="80" s="1"/>
  <c r="BF75" i="80" s="1"/>
  <c r="AY75" i="80" a="1"/>
  <c r="AY75" i="80" s="1"/>
  <c r="BE75" i="80" s="1"/>
  <c r="BA69" i="80" a="1"/>
  <c r="BA69" i="80" s="1"/>
  <c r="AZ69" i="80" a="1"/>
  <c r="AZ69" i="80" s="1"/>
  <c r="AY69" i="80" a="1"/>
  <c r="AY69" i="80" s="1"/>
  <c r="BE69" i="80" s="1"/>
  <c r="AZ63" i="80" a="1"/>
  <c r="AZ63" i="80" s="1"/>
  <c r="BF63" i="80" s="1"/>
  <c r="AY63" i="80" a="1"/>
  <c r="AY63" i="80" s="1"/>
  <c r="BE63" i="80" s="1"/>
  <c r="BA63" i="80" a="1"/>
  <c r="BA63" i="80" s="1"/>
  <c r="AZ59" i="80" a="1"/>
  <c r="AZ59" i="80" s="1"/>
  <c r="BF59" i="80" s="1"/>
  <c r="AY59" i="80" a="1"/>
  <c r="AY59" i="80" s="1"/>
  <c r="BE59" i="80" s="1"/>
  <c r="BA59" i="80" a="1"/>
  <c r="BA59" i="80" s="1"/>
  <c r="BA54" i="80" a="1"/>
  <c r="BA54" i="80" s="1"/>
  <c r="AZ54" i="80" a="1"/>
  <c r="AZ54" i="80" s="1"/>
  <c r="BF54" i="80" s="1"/>
  <c r="AY54" i="80" a="1"/>
  <c r="AY54" i="80" s="1"/>
  <c r="BE54" i="80" s="1"/>
  <c r="AP53" i="80"/>
  <c r="BA40" i="80" a="1"/>
  <c r="BA40" i="80" s="1"/>
  <c r="AZ40" i="80" a="1"/>
  <c r="AZ40" i="80" s="1"/>
  <c r="BF40" i="80" s="1"/>
  <c r="AY40" i="80" a="1"/>
  <c r="AY40" i="80" s="1"/>
  <c r="BE40" i="80" s="1"/>
  <c r="AV29" i="80"/>
  <c r="Y27" i="80"/>
  <c r="BA24" i="80" a="1"/>
  <c r="BA24" i="80" s="1"/>
  <c r="AZ24" i="80" a="1"/>
  <c r="AZ24" i="80" s="1"/>
  <c r="BF24" i="80" s="1"/>
  <c r="AY24" i="80" a="1"/>
  <c r="AY24" i="80" s="1"/>
  <c r="BE24" i="80" s="1"/>
  <c r="AV10" i="80"/>
  <c r="BA57" i="80" a="1"/>
  <c r="BA57" i="80" s="1"/>
  <c r="BA67" i="80" a="1"/>
  <c r="BA67" i="80" s="1"/>
  <c r="AZ67" i="80" a="1"/>
  <c r="AZ67" i="80" s="1"/>
  <c r="BF67" i="80" s="1"/>
  <c r="AY67" i="80" a="1"/>
  <c r="AY67" i="80" s="1"/>
  <c r="BE67" i="80" s="1"/>
  <c r="AY53" i="80" a="1"/>
  <c r="AY53" i="80" s="1"/>
  <c r="BE53" i="80" s="1"/>
  <c r="AZ53" i="80" a="1"/>
  <c r="AZ53" i="80" s="1"/>
  <c r="BF53" i="80" s="1"/>
  <c r="AZ95" i="80" a="1"/>
  <c r="AZ95" i="80" s="1"/>
  <c r="BF95" i="80" s="1"/>
  <c r="AY95" i="80" a="1"/>
  <c r="AY95" i="80" s="1"/>
  <c r="BE95" i="80" s="1"/>
  <c r="BA95" i="80" a="1"/>
  <c r="BA95" i="80" s="1"/>
  <c r="BA79" i="80" a="1"/>
  <c r="BA79" i="80" s="1"/>
  <c r="AZ79" i="80" a="1"/>
  <c r="AZ79" i="80" s="1"/>
  <c r="BF79" i="80" s="1"/>
  <c r="AY79" i="80" a="1"/>
  <c r="AY79" i="80" s="1"/>
  <c r="BE79" i="80" s="1"/>
  <c r="AV99" i="80"/>
  <c r="BA100" i="80" a="1"/>
  <c r="BA100" i="80" s="1"/>
  <c r="AZ100" i="80" a="1"/>
  <c r="AZ100" i="80" s="1"/>
  <c r="BF100" i="80" s="1"/>
  <c r="BA84" i="80" a="1"/>
  <c r="BA84" i="80" s="1"/>
  <c r="AZ84" i="80" a="1"/>
  <c r="AZ84" i="80" s="1"/>
  <c r="BF84" i="80" s="1"/>
  <c r="AV50" i="80"/>
  <c r="BA45" i="80" a="1"/>
  <c r="BA45" i="80" s="1"/>
  <c r="AY45" i="80" a="1"/>
  <c r="AY45" i="80" s="1"/>
  <c r="BE45" i="80" s="1"/>
  <c r="BA36" i="80" a="1"/>
  <c r="BA36" i="80" s="1"/>
  <c r="AZ36" i="80" a="1"/>
  <c r="AZ36" i="80" s="1"/>
  <c r="BF36" i="80" s="1"/>
  <c r="AY36" i="80" a="1"/>
  <c r="AY36" i="80" s="1"/>
  <c r="BE36" i="80" s="1"/>
  <c r="BA31" i="80" a="1"/>
  <c r="BA31" i="80" s="1"/>
  <c r="AZ31" i="80" a="1"/>
  <c r="AZ31" i="80" s="1"/>
  <c r="BF31" i="80" s="1"/>
  <c r="AY31" i="80" a="1"/>
  <c r="AY31" i="80" s="1"/>
  <c r="BE31" i="80" s="1"/>
  <c r="AV28" i="80"/>
  <c r="AV26" i="80"/>
  <c r="AV21" i="80"/>
  <c r="BA21" i="80" a="1"/>
  <c r="BA21" i="80" s="1"/>
  <c r="AZ21" i="80" a="1"/>
  <c r="AZ21" i="80" s="1"/>
  <c r="BF21" i="80" s="1"/>
  <c r="AY21" i="80" a="1"/>
  <c r="AY21" i="80" s="1"/>
  <c r="BE21" i="80" s="1"/>
  <c r="AV14" i="80"/>
  <c r="BA13" i="80" a="1"/>
  <c r="BA13" i="80" s="1"/>
  <c r="K49" i="77" s="1"/>
  <c r="BA101" i="80" a="1"/>
  <c r="BA101" i="80" s="1"/>
  <c r="AZ101" i="80" a="1"/>
  <c r="AZ101" i="80" s="1"/>
  <c r="BF101" i="80" s="1"/>
  <c r="AY101" i="80" a="1"/>
  <c r="AY101" i="80" s="1"/>
  <c r="BE101" i="80" s="1"/>
  <c r="Y98" i="80"/>
  <c r="BA85" i="80" a="1"/>
  <c r="BA85" i="80" s="1"/>
  <c r="AZ85" i="80" a="1"/>
  <c r="AZ85" i="80" s="1"/>
  <c r="BF85" i="80" s="1"/>
  <c r="AY85" i="80" a="1"/>
  <c r="AY85" i="80" s="1"/>
  <c r="BE85" i="80" s="1"/>
  <c r="AV67" i="80"/>
  <c r="AV60" i="80"/>
  <c r="BA50" i="80" a="1"/>
  <c r="BA50" i="80" s="1"/>
  <c r="AZ50" i="80" a="1"/>
  <c r="AZ50" i="80" s="1"/>
  <c r="BF50" i="80" s="1"/>
  <c r="AY50" i="80" a="1"/>
  <c r="AY50" i="80" s="1"/>
  <c r="BE50" i="80" s="1"/>
  <c r="AV23" i="80"/>
  <c r="AY102" i="80" a="1"/>
  <c r="AY102" i="80" s="1"/>
  <c r="BE102" i="80" s="1"/>
  <c r="AZ102" i="80" a="1"/>
  <c r="AZ102" i="80" s="1"/>
  <c r="BF102" i="80" s="1"/>
  <c r="AV89" i="80"/>
  <c r="AY86" i="80" a="1"/>
  <c r="AY86" i="80" s="1"/>
  <c r="BE86" i="80" s="1"/>
  <c r="AZ86" i="80" a="1"/>
  <c r="AZ86" i="80" s="1"/>
  <c r="BF86" i="80" s="1"/>
  <c r="AM74" i="80"/>
  <c r="AV37" i="80"/>
  <c r="BA28" i="80" a="1"/>
  <c r="BA28" i="80" s="1"/>
  <c r="AZ28" i="80" a="1"/>
  <c r="AZ28" i="80" s="1"/>
  <c r="BF28" i="80" s="1"/>
  <c r="AY28" i="80" a="1"/>
  <c r="AY28" i="80" s="1"/>
  <c r="BE28" i="80" s="1"/>
  <c r="BA14" i="80" a="1"/>
  <c r="BA14" i="80" s="1"/>
  <c r="K50" i="77" s="1"/>
  <c r="AZ14" i="80" a="1"/>
  <c r="AZ14" i="80" s="1"/>
  <c r="BF14" i="80" s="1"/>
  <c r="AY14" i="80" a="1"/>
  <c r="AY14" i="80" s="1"/>
  <c r="BE14" i="80" s="1"/>
  <c r="Y14" i="80"/>
  <c r="X19" i="80" a="1"/>
  <c r="X19" i="80" s="1"/>
  <c r="AV105" i="80"/>
  <c r="BA103" i="80" a="1"/>
  <c r="BA103" i="80" s="1"/>
  <c r="AZ103" i="80" a="1"/>
  <c r="AZ103" i="80" s="1"/>
  <c r="BF103" i="80" s="1"/>
  <c r="AY103" i="80" a="1"/>
  <c r="AY103" i="80" s="1"/>
  <c r="BE103" i="80" s="1"/>
  <c r="BA87" i="80" a="1"/>
  <c r="BA87" i="80" s="1"/>
  <c r="AZ87" i="80" a="1"/>
  <c r="AZ87" i="80" s="1"/>
  <c r="BF87" i="80" s="1"/>
  <c r="AY87" i="80" a="1"/>
  <c r="AY87" i="80" s="1"/>
  <c r="BE87" i="80" s="1"/>
  <c r="BA76" i="80" a="1"/>
  <c r="BA76" i="80" s="1"/>
  <c r="AZ76" i="80" a="1"/>
  <c r="AZ76" i="80" s="1"/>
  <c r="BF76" i="80" s="1"/>
  <c r="AY76" i="80" a="1"/>
  <c r="AY76" i="80" s="1"/>
  <c r="BE76" i="80" s="1"/>
  <c r="BA70" i="80" a="1"/>
  <c r="BA70" i="80" s="1"/>
  <c r="AZ70" i="80" a="1"/>
  <c r="AZ70" i="80" s="1"/>
  <c r="BF70" i="80" s="1"/>
  <c r="AY70" i="80" a="1"/>
  <c r="AY70" i="80" s="1"/>
  <c r="BE70" i="80" s="1"/>
  <c r="BA60" i="80" a="1"/>
  <c r="BA60" i="80" s="1"/>
  <c r="AZ60" i="80" a="1"/>
  <c r="AZ60" i="80" s="1"/>
  <c r="BF60" i="80" s="1"/>
  <c r="AY60" i="80" a="1"/>
  <c r="AY60" i="80" s="1"/>
  <c r="BE60" i="80" s="1"/>
  <c r="AS50" i="80"/>
  <c r="AM44" i="80"/>
  <c r="AP40" i="80"/>
  <c r="BA37" i="80" a="1"/>
  <c r="BA37" i="80" s="1"/>
  <c r="AZ37" i="80" a="1"/>
  <c r="AZ37" i="80" s="1"/>
  <c r="BF37" i="80" s="1"/>
  <c r="AP24" i="80"/>
  <c r="AS21" i="80"/>
  <c r="Y21" i="80"/>
  <c r="AV20" i="80"/>
  <c r="AV18" i="80"/>
  <c r="BA18" i="80" a="1"/>
  <c r="BA18" i="80" s="1"/>
  <c r="AZ18" i="80" a="1"/>
  <c r="AZ18" i="80" s="1"/>
  <c r="BF18" i="80" s="1"/>
  <c r="AY18" i="80" a="1"/>
  <c r="AY18" i="80" s="1"/>
  <c r="BE18" i="80" s="1"/>
  <c r="AP11" i="80"/>
  <c r="X77" i="80" a="1"/>
  <c r="X77" i="80" s="1"/>
  <c r="BA104" i="80" a="1"/>
  <c r="BA104" i="80" s="1"/>
  <c r="AZ104" i="80" a="1"/>
  <c r="AZ104" i="80" s="1"/>
  <c r="BF104" i="80" s="1"/>
  <c r="AY104" i="80" a="1"/>
  <c r="AY104" i="80" s="1"/>
  <c r="BE104" i="80" s="1"/>
  <c r="AZ65" i="80" a="1"/>
  <c r="AZ65" i="80" s="1"/>
  <c r="BF65" i="80" s="1"/>
  <c r="AY65" i="80" a="1"/>
  <c r="AY65" i="80" s="1"/>
  <c r="BE65" i="80" s="1"/>
  <c r="BA65" i="80" a="1"/>
  <c r="BA65" i="80" s="1"/>
  <c r="BA46" i="80" a="1"/>
  <c r="BA46" i="80" s="1"/>
  <c r="AZ46" i="80" a="1"/>
  <c r="AZ46" i="80" s="1"/>
  <c r="BF46" i="80" s="1"/>
  <c r="AY46" i="80" a="1"/>
  <c r="AY46" i="80" s="1"/>
  <c r="BE46" i="80" s="1"/>
  <c r="BA41" i="80" a="1"/>
  <c r="BA41" i="80" s="1"/>
  <c r="AY41" i="80" a="1"/>
  <c r="AY41" i="80" s="1"/>
  <c r="BE41" i="80" s="1"/>
  <c r="BA88" i="80" a="1"/>
  <c r="BA88" i="80" s="1"/>
  <c r="AZ88" i="80" a="1"/>
  <c r="AZ88" i="80" s="1"/>
  <c r="BF88" i="80" s="1"/>
  <c r="AY88" i="80" a="1"/>
  <c r="AY88" i="80" s="1"/>
  <c r="BE88" i="80" s="1"/>
  <c r="AY105" i="80" a="1"/>
  <c r="AY105" i="80" s="1"/>
  <c r="BE105" i="80" s="1"/>
  <c r="BA105" i="80" a="1"/>
  <c r="BA105" i="80" s="1"/>
  <c r="AZ105" i="80" a="1"/>
  <c r="AZ105" i="80" s="1"/>
  <c r="BF105" i="80" s="1"/>
  <c r="BA89" i="80" a="1"/>
  <c r="BA89" i="80" s="1"/>
  <c r="AZ89" i="80" a="1"/>
  <c r="AZ89" i="80" s="1"/>
  <c r="BF89" i="80" s="1"/>
  <c r="AY89" i="80" a="1"/>
  <c r="AY89" i="80" s="1"/>
  <c r="BE89" i="80" s="1"/>
  <c r="AV66" i="80"/>
  <c r="AS65" i="80"/>
  <c r="AV56" i="80"/>
  <c r="AY51" i="80" a="1"/>
  <c r="AY51" i="80" s="1"/>
  <c r="BE51" i="80" s="1"/>
  <c r="AZ51" i="80" a="1"/>
  <c r="AZ51" i="80" s="1"/>
  <c r="BF51" i="80" s="1"/>
  <c r="BA25" i="80" a="1"/>
  <c r="BA25" i="80" s="1"/>
  <c r="AZ25" i="80" a="1"/>
  <c r="AZ25" i="80" s="1"/>
  <c r="BF25" i="80" s="1"/>
  <c r="AY25" i="80" a="1"/>
  <c r="AY25" i="80" s="1"/>
  <c r="BE25" i="80" s="1"/>
  <c r="AP21" i="80"/>
  <c r="AV12" i="80"/>
  <c r="X9" i="80" a="1"/>
  <c r="X9" i="80" s="1"/>
  <c r="Y9" i="80" s="1"/>
  <c r="AO9" i="80"/>
  <c r="AZ43" i="80" a="1"/>
  <c r="AZ43" i="80" s="1"/>
  <c r="BF43" i="80" s="1"/>
  <c r="AZ49" i="80" a="1"/>
  <c r="AZ49" i="80" s="1"/>
  <c r="BF49" i="80" s="1"/>
  <c r="AZ55" i="80" a="1"/>
  <c r="AZ55" i="80" s="1"/>
  <c r="BF55" i="80" s="1"/>
  <c r="Y23" i="80"/>
  <c r="BG23" i="80" s="1"/>
  <c r="BA49" i="80" a="1"/>
  <c r="BA49" i="80" s="1"/>
  <c r="AY74" i="80" a="1"/>
  <c r="AY74" i="80" s="1"/>
  <c r="BE74" i="80" s="1"/>
  <c r="AY64" i="80" a="1"/>
  <c r="AY64" i="80" s="1"/>
  <c r="BE64" i="80" s="1"/>
  <c r="AZ74" i="80" a="1"/>
  <c r="AZ74" i="80" s="1"/>
  <c r="BF74" i="80" s="1"/>
  <c r="AY58" i="80" a="1"/>
  <c r="AY58" i="80" s="1"/>
  <c r="BE58" i="80" s="1"/>
  <c r="X12" i="80" a="1"/>
  <c r="X12" i="80" s="1"/>
  <c r="AY48" i="80" a="1"/>
  <c r="AY48" i="80" s="1"/>
  <c r="BE48" i="80" s="1"/>
  <c r="AZ58" i="80" a="1"/>
  <c r="AZ58" i="80" s="1"/>
  <c r="BF58" i="80" s="1"/>
  <c r="AZ64" i="80" a="1"/>
  <c r="AZ64" i="80" s="1"/>
  <c r="BF64" i="80" s="1"/>
  <c r="Y45" i="80"/>
  <c r="AY42" i="80" a="1"/>
  <c r="AY42" i="80" s="1"/>
  <c r="BE42" i="80" s="1"/>
  <c r="AY32" i="80" a="1"/>
  <c r="AY32" i="80" s="1"/>
  <c r="BE32" i="80" s="1"/>
  <c r="AZ42" i="80" a="1"/>
  <c r="AZ42" i="80" s="1"/>
  <c r="BF42" i="80" s="1"/>
  <c r="AZ48" i="80" a="1"/>
  <c r="AZ48" i="80" s="1"/>
  <c r="BF48" i="80" s="1"/>
  <c r="AY22" i="80" a="1"/>
  <c r="AY22" i="80" s="1"/>
  <c r="BE22" i="80" s="1"/>
  <c r="AZ20" i="80" a="1"/>
  <c r="AZ20" i="80" s="1"/>
  <c r="BF20" i="80" s="1"/>
  <c r="AZ22" i="80" a="1"/>
  <c r="AZ22" i="80" s="1"/>
  <c r="BF22" i="80" s="1"/>
  <c r="AY71" i="80" a="1"/>
  <c r="AY71" i="80" s="1"/>
  <c r="BE71" i="80" s="1"/>
  <c r="AZ71" i="80" a="1"/>
  <c r="AZ71" i="80" s="1"/>
  <c r="BF71" i="80" s="1"/>
  <c r="AC91" i="79"/>
  <c r="AC14" i="79"/>
  <c r="AC33" i="79"/>
  <c r="AC46" i="79"/>
  <c r="AC57" i="79"/>
  <c r="AC65" i="79"/>
  <c r="AC62" i="79"/>
  <c r="AC22" i="79"/>
  <c r="AC38" i="79"/>
  <c r="AC73" i="79"/>
  <c r="AG73" i="79"/>
  <c r="AC25" i="79"/>
  <c r="AC41" i="79"/>
  <c r="AC69" i="79"/>
  <c r="AC81" i="79"/>
  <c r="AG102" i="79"/>
  <c r="AC78" i="79"/>
  <c r="AC49" i="79"/>
  <c r="AC30" i="79"/>
  <c r="AC53" i="79"/>
  <c r="AC54" i="79"/>
  <c r="AC17" i="79"/>
  <c r="AG17" i="79"/>
  <c r="AC72" i="79"/>
  <c r="AC89" i="79"/>
  <c r="AC105" i="79"/>
  <c r="AC32" i="79"/>
  <c r="AC56" i="79"/>
  <c r="AG56" i="79"/>
  <c r="AC64" i="79"/>
  <c r="AC97" i="79"/>
  <c r="AC40" i="79"/>
  <c r="AC80" i="79"/>
  <c r="AG108" i="79"/>
  <c r="AC108" i="79"/>
  <c r="AC24" i="79"/>
  <c r="AC12" i="79"/>
  <c r="AC16" i="79"/>
  <c r="AC48" i="79"/>
  <c r="AG62" i="79"/>
  <c r="AC88" i="79"/>
  <c r="AC92" i="79"/>
  <c r="AC100" i="79"/>
  <c r="AC104" i="79"/>
  <c r="AG28" i="79"/>
  <c r="AC28" i="79"/>
  <c r="AC96" i="79"/>
  <c r="AC20" i="79"/>
  <c r="AC83" i="79"/>
  <c r="AC70" i="79"/>
  <c r="AC107" i="79"/>
  <c r="AC18" i="79"/>
  <c r="AC26" i="79"/>
  <c r="AC34" i="79"/>
  <c r="AC42" i="79"/>
  <c r="AC50" i="79"/>
  <c r="AC58" i="79"/>
  <c r="AC66" i="79"/>
  <c r="AC19" i="79"/>
  <c r="AC27" i="79"/>
  <c r="AC35" i="79"/>
  <c r="AC43" i="79"/>
  <c r="AC51" i="79"/>
  <c r="AC59" i="79"/>
  <c r="AC67" i="79"/>
  <c r="AC75" i="79"/>
  <c r="AC99" i="79"/>
  <c r="AC11" i="79"/>
  <c r="AC52" i="79"/>
  <c r="AC60" i="79"/>
  <c r="AC68" i="79"/>
  <c r="AC76" i="79"/>
  <c r="AC84" i="79"/>
  <c r="AC101" i="79"/>
  <c r="AC109" i="79"/>
  <c r="AC94" i="79"/>
  <c r="AC102" i="79"/>
  <c r="AC15" i="79"/>
  <c r="AC23" i="79"/>
  <c r="AC31" i="79"/>
  <c r="AC39" i="79"/>
  <c r="AC47" i="79"/>
  <c r="AC55" i="79"/>
  <c r="AC63" i="79"/>
  <c r="AC71" i="79"/>
  <c r="AC79" i="79"/>
  <c r="AC87" i="79"/>
  <c r="AC95" i="79"/>
  <c r="AC103" i="79"/>
  <c r="C28" i="84" l="1"/>
  <c r="E19" i="84"/>
  <c r="D26" i="84" s="1"/>
  <c r="H8" i="84"/>
  <c r="F106" i="84" s="1"/>
  <c r="M16" i="88"/>
  <c r="Q16" i="88" a="1"/>
  <c r="Q16" i="88" s="1"/>
  <c r="M14" i="88"/>
  <c r="Q14" i="88" a="1"/>
  <c r="Q14" i="88" s="1"/>
  <c r="M17" i="88"/>
  <c r="Q17" i="88" a="1"/>
  <c r="Q17" i="88" s="1"/>
  <c r="M12" i="88"/>
  <c r="Q12" i="88" a="1"/>
  <c r="Q12" i="88" s="1"/>
  <c r="M10" i="88"/>
  <c r="Q10" i="88" a="1"/>
  <c r="Q10" i="88" s="1"/>
  <c r="M19" i="88"/>
  <c r="Q19" i="88" a="1"/>
  <c r="Q19" i="88" s="1"/>
  <c r="M11" i="88"/>
  <c r="O11" i="88" s="1"/>
  <c r="Q11" i="88" a="1"/>
  <c r="Q11" i="88" s="1"/>
  <c r="M20" i="88"/>
  <c r="Q20" i="88" a="1"/>
  <c r="Q20" i="88" s="1"/>
  <c r="M18" i="88"/>
  <c r="Q18" i="88" a="1"/>
  <c r="Q18" i="88" s="1"/>
  <c r="M15" i="88"/>
  <c r="Q15" i="88" a="1"/>
  <c r="Q15" i="88" s="1"/>
  <c r="M13" i="88"/>
  <c r="Q13" i="88" a="1"/>
  <c r="Q13" i="88" s="1"/>
  <c r="E21" i="88"/>
  <c r="AG25" i="79"/>
  <c r="AG47" i="79"/>
  <c r="AG19" i="79"/>
  <c r="AG100" i="79"/>
  <c r="AG42" i="79"/>
  <c r="AG37" i="79"/>
  <c r="AG53" i="79"/>
  <c r="AG106" i="79"/>
  <c r="AG33" i="79"/>
  <c r="BA10" i="80" a="1"/>
  <c r="BA10" i="80" s="1"/>
  <c r="K46" i="77" s="1"/>
  <c r="K65" i="77"/>
  <c r="AG57" i="79"/>
  <c r="AG89" i="79"/>
  <c r="AG81" i="79"/>
  <c r="AG21" i="79"/>
  <c r="AG86" i="79"/>
  <c r="K66" i="77"/>
  <c r="AG83" i="79"/>
  <c r="AG38" i="79"/>
  <c r="AG92" i="79"/>
  <c r="AG87" i="79"/>
  <c r="AG78" i="79"/>
  <c r="AG20" i="79"/>
  <c r="AG24" i="79"/>
  <c r="AG66" i="79"/>
  <c r="AG74" i="79"/>
  <c r="AG14" i="79"/>
  <c r="K68" i="77"/>
  <c r="AG46" i="79"/>
  <c r="AG59" i="79"/>
  <c r="BD84" i="80" a="1"/>
  <c r="BD84" i="80" s="1"/>
  <c r="AX27" i="80"/>
  <c r="AW72" i="80"/>
  <c r="BC72" i="80" s="1" a="1"/>
  <c r="BC72" i="80" s="1"/>
  <c r="G8" i="84"/>
  <c r="E106" i="84" s="1"/>
  <c r="AG71" i="79"/>
  <c r="AG22" i="79"/>
  <c r="AG72" i="79"/>
  <c r="AG104" i="79"/>
  <c r="AG48" i="79"/>
  <c r="AG67" i="79"/>
  <c r="AG58" i="79"/>
  <c r="AG70" i="79"/>
  <c r="AG75" i="79"/>
  <c r="AG41" i="79"/>
  <c r="AG12" i="79"/>
  <c r="AG91" i="79"/>
  <c r="AG82" i="79"/>
  <c r="AG49" i="79"/>
  <c r="AG103" i="79"/>
  <c r="AG98" i="79"/>
  <c r="AG65" i="79"/>
  <c r="AD96" i="79"/>
  <c r="AG109" i="79"/>
  <c r="AD52" i="79"/>
  <c r="AD68" i="79"/>
  <c r="AG15" i="79"/>
  <c r="AD105" i="79"/>
  <c r="AD60" i="79"/>
  <c r="AD64" i="79"/>
  <c r="AG44" i="79"/>
  <c r="AD101" i="79"/>
  <c r="AG27" i="79"/>
  <c r="AG39" i="79"/>
  <c r="AD77" i="79"/>
  <c r="AD69" i="79"/>
  <c r="AD40" i="79"/>
  <c r="BD100" i="80" a="1"/>
  <c r="BD100" i="80" s="1"/>
  <c r="BD94" i="80" a="1"/>
  <c r="BD94" i="80" s="1"/>
  <c r="BD49" i="80" a="1"/>
  <c r="BD49" i="80" s="1"/>
  <c r="BD37" i="80" a="1"/>
  <c r="BD37" i="80" s="1"/>
  <c r="AG10" i="79"/>
  <c r="BE13" i="80"/>
  <c r="AZ13" i="80" a="1"/>
  <c r="AZ13" i="80" s="1"/>
  <c r="BF13" i="80" s="1"/>
  <c r="BD88" i="80" a="1"/>
  <c r="BD88" i="80" s="1"/>
  <c r="BA11" i="80" a="1"/>
  <c r="BA11" i="80" s="1"/>
  <c r="BD26" i="80" a="1"/>
  <c r="BD26" i="80" s="1"/>
  <c r="BD14" i="80" a="1"/>
  <c r="BD14" i="80" s="1"/>
  <c r="BD95" i="80" a="1"/>
  <c r="BD95" i="80" s="1"/>
  <c r="BD39" i="80" a="1"/>
  <c r="BD39" i="80" s="1"/>
  <c r="BD90" i="80" a="1"/>
  <c r="BD90" i="80" s="1"/>
  <c r="BD56" i="80" a="1"/>
  <c r="BD56" i="80" s="1"/>
  <c r="BD45" i="80" a="1"/>
  <c r="BD45" i="80" s="1"/>
  <c r="BD59" i="80" a="1"/>
  <c r="BD59" i="80" s="1"/>
  <c r="BD63" i="80" a="1"/>
  <c r="BD63" i="80" s="1"/>
  <c r="BG25" i="80"/>
  <c r="BD25" i="80" a="1"/>
  <c r="BD25" i="80" s="1"/>
  <c r="BD31" i="80" a="1"/>
  <c r="BD31" i="80" s="1"/>
  <c r="BG40" i="80"/>
  <c r="BD40" i="80" a="1"/>
  <c r="BD40" i="80" s="1"/>
  <c r="BD75" i="80" a="1"/>
  <c r="BD75" i="80" s="1"/>
  <c r="BD97" i="80" a="1"/>
  <c r="BD97" i="80" s="1"/>
  <c r="BD27" i="80" a="1"/>
  <c r="BD27" i="80" s="1"/>
  <c r="BD16" i="80" a="1"/>
  <c r="BD16" i="80" s="1"/>
  <c r="BG38" i="80"/>
  <c r="BD38" i="80" a="1"/>
  <c r="BD38" i="80" s="1"/>
  <c r="BD86" i="80" a="1"/>
  <c r="BD86" i="80" s="1"/>
  <c r="BD32" i="80" a="1"/>
  <c r="BD32" i="80" s="1"/>
  <c r="BD42" i="80" a="1"/>
  <c r="BD42" i="80" s="1"/>
  <c r="BG70" i="80"/>
  <c r="BD70" i="80" a="1"/>
  <c r="BD70" i="80" s="1"/>
  <c r="BD46" i="80" a="1"/>
  <c r="BD46" i="80" s="1"/>
  <c r="BD36" i="80" a="1"/>
  <c r="BD36" i="80" s="1"/>
  <c r="BD83" i="80" a="1"/>
  <c r="BD83" i="80" s="1"/>
  <c r="BD35" i="80" a="1"/>
  <c r="BD35" i="80" s="1"/>
  <c r="BD73" i="80" a="1"/>
  <c r="BD73" i="80" s="1"/>
  <c r="BD30" i="80" a="1"/>
  <c r="BD30" i="80" s="1"/>
  <c r="BD43" i="80" a="1"/>
  <c r="BD43" i="80" s="1"/>
  <c r="BG107" i="80"/>
  <c r="BD107" i="80" a="1"/>
  <c r="BD107" i="80" s="1"/>
  <c r="BD65" i="80" a="1"/>
  <c r="BD65" i="80" s="1"/>
  <c r="BD87" i="80" a="1"/>
  <c r="BD87" i="80" s="1"/>
  <c r="BD54" i="80" a="1"/>
  <c r="BD54" i="80" s="1"/>
  <c r="BD62" i="80" a="1"/>
  <c r="BD62" i="80" s="1"/>
  <c r="BD55" i="80" a="1"/>
  <c r="BD55" i="80" s="1"/>
  <c r="BD64" i="80" a="1"/>
  <c r="BD64" i="80" s="1"/>
  <c r="BG18" i="80"/>
  <c r="BD18" i="80" a="1"/>
  <c r="BD18" i="80" s="1"/>
  <c r="BG76" i="80"/>
  <c r="BD76" i="80" a="1"/>
  <c r="BD76" i="80" s="1"/>
  <c r="BD67" i="80" a="1"/>
  <c r="BD67" i="80" s="1"/>
  <c r="BD44" i="80" a="1"/>
  <c r="BD44" i="80" s="1"/>
  <c r="BD78" i="80" a="1"/>
  <c r="BD78" i="80" s="1"/>
  <c r="BG103" i="80"/>
  <c r="BD103" i="80" a="1"/>
  <c r="BD103" i="80" s="1"/>
  <c r="BD57" i="80" a="1"/>
  <c r="BD57" i="80" s="1"/>
  <c r="BD99" i="80" a="1"/>
  <c r="BD99" i="80" s="1"/>
  <c r="BD82" i="80" a="1"/>
  <c r="BD82" i="80" s="1"/>
  <c r="BG47" i="80"/>
  <c r="BD47" i="80" a="1"/>
  <c r="BD47" i="80" s="1"/>
  <c r="BD58" i="80" a="1"/>
  <c r="BD58" i="80" s="1"/>
  <c r="BD108" i="80" a="1"/>
  <c r="BD108" i="80" s="1"/>
  <c r="BG101" i="80"/>
  <c r="BD101" i="80" a="1"/>
  <c r="BD101" i="80" s="1"/>
  <c r="BD68" i="80" a="1"/>
  <c r="BD68" i="80" s="1"/>
  <c r="BD72" i="80" a="1"/>
  <c r="BD72" i="80" s="1"/>
  <c r="BD52" i="80" a="1"/>
  <c r="BD52" i="80" s="1"/>
  <c r="BD53" i="80" a="1"/>
  <c r="BD53" i="80" s="1"/>
  <c r="BD34" i="80" a="1"/>
  <c r="BD34" i="80" s="1"/>
  <c r="BG41" i="80"/>
  <c r="BD41" i="80" a="1"/>
  <c r="BD41" i="80" s="1"/>
  <c r="BG85" i="80"/>
  <c r="BD85" i="80" a="1"/>
  <c r="BD85" i="80" s="1"/>
  <c r="BG104" i="80"/>
  <c r="BD104" i="80" a="1"/>
  <c r="BD104" i="80" s="1"/>
  <c r="BD96" i="80" a="1"/>
  <c r="BD96" i="80" s="1"/>
  <c r="BD93" i="80" a="1"/>
  <c r="BD93" i="80" s="1"/>
  <c r="BD15" i="80" a="1"/>
  <c r="BD15" i="80" s="1"/>
  <c r="BD23" i="80" a="1"/>
  <c r="BD23" i="80" s="1"/>
  <c r="BD102" i="80" a="1"/>
  <c r="BD102" i="80" s="1"/>
  <c r="BG89" i="80"/>
  <c r="BD89" i="80" a="1"/>
  <c r="BD89" i="80" s="1"/>
  <c r="BG105" i="80"/>
  <c r="BD105" i="80" a="1"/>
  <c r="BD105" i="80" s="1"/>
  <c r="BD21" i="80" a="1"/>
  <c r="BD21" i="80" s="1"/>
  <c r="BD61" i="80" a="1"/>
  <c r="BD61" i="80" s="1"/>
  <c r="BD33" i="80" a="1"/>
  <c r="BD33" i="80" s="1"/>
  <c r="BD51" i="80" a="1"/>
  <c r="BD51" i="80" s="1"/>
  <c r="BD22" i="80" a="1"/>
  <c r="BD22" i="80" s="1"/>
  <c r="BG79" i="80"/>
  <c r="BD79" i="80" a="1"/>
  <c r="BD79" i="80" s="1"/>
  <c r="BD28" i="80" a="1"/>
  <c r="BD28" i="80" s="1"/>
  <c r="BG24" i="80"/>
  <c r="BD24" i="80" a="1"/>
  <c r="BD24" i="80" s="1"/>
  <c r="BD98" i="80" a="1"/>
  <c r="BD98" i="80" s="1"/>
  <c r="BD20" i="80" a="1"/>
  <c r="BD20" i="80" s="1"/>
  <c r="BG60" i="80"/>
  <c r="BD60" i="80" a="1"/>
  <c r="BD60" i="80" s="1"/>
  <c r="BG50" i="80"/>
  <c r="BD50" i="80" a="1"/>
  <c r="BD50" i="80" s="1"/>
  <c r="BG39" i="80"/>
  <c r="BG92" i="80"/>
  <c r="BD92" i="80" a="1"/>
  <c r="BD92" i="80" s="1"/>
  <c r="BG66" i="80"/>
  <c r="BD66" i="80" a="1"/>
  <c r="BD66" i="80" s="1"/>
  <c r="BD48" i="80" a="1"/>
  <c r="BD48" i="80" s="1"/>
  <c r="BD71" i="80" a="1"/>
  <c r="BD71" i="80" s="1"/>
  <c r="BD69" i="80" a="1"/>
  <c r="BD69" i="80" s="1"/>
  <c r="BD81" i="80" a="1"/>
  <c r="BD81" i="80" s="1"/>
  <c r="BD109" i="80" a="1"/>
  <c r="BD109" i="80" s="1"/>
  <c r="BD106" i="80" a="1"/>
  <c r="BD106" i="80" s="1"/>
  <c r="BD91" i="80" a="1"/>
  <c r="BD91" i="80" s="1"/>
  <c r="BD74" i="80" a="1"/>
  <c r="BD74" i="80" s="1"/>
  <c r="AG23" i="79"/>
  <c r="AG35" i="79"/>
  <c r="AG97" i="79"/>
  <c r="AG84" i="79"/>
  <c r="AG79" i="79"/>
  <c r="AG16" i="79"/>
  <c r="AG80" i="79"/>
  <c r="AG32" i="79"/>
  <c r="AG61" i="79"/>
  <c r="AG55" i="79"/>
  <c r="AG93" i="79"/>
  <c r="AG63" i="79"/>
  <c r="AG30" i="79"/>
  <c r="AG31" i="79"/>
  <c r="AG88" i="79"/>
  <c r="AG85" i="79"/>
  <c r="AW70" i="80"/>
  <c r="AX76" i="80"/>
  <c r="BC76" i="80" s="1" a="1"/>
  <c r="BC76" i="80" s="1"/>
  <c r="AW108" i="80"/>
  <c r="BC108" i="80" s="1" a="1"/>
  <c r="BC108" i="80" s="1"/>
  <c r="AX85" i="80"/>
  <c r="BC85" i="80" s="1" a="1"/>
  <c r="BC85" i="80" s="1"/>
  <c r="BF69" i="80"/>
  <c r="AW44" i="80"/>
  <c r="BC44" i="80" s="1" a="1"/>
  <c r="BC44" i="80" s="1"/>
  <c r="BG15" i="80"/>
  <c r="AW35" i="80"/>
  <c r="BC35" i="80" s="1" a="1"/>
  <c r="BC35" i="80" s="1"/>
  <c r="BG27" i="80"/>
  <c r="AZ12" i="80" a="1"/>
  <c r="AZ12" i="80" s="1"/>
  <c r="AX80" i="80"/>
  <c r="BC80" i="80" s="1" a="1"/>
  <c r="BC80" i="80" s="1"/>
  <c r="AX65" i="80"/>
  <c r="BC65" i="80" s="1" a="1"/>
  <c r="BC65" i="80" s="1"/>
  <c r="AW43" i="80"/>
  <c r="BC43" i="80" s="1" a="1"/>
  <c r="BC43" i="80" s="1"/>
  <c r="AX63" i="80"/>
  <c r="BC63" i="80" s="1" a="1"/>
  <c r="BC63" i="80" s="1"/>
  <c r="BA12" i="80" a="1"/>
  <c r="BA12" i="80" s="1"/>
  <c r="K48" i="77" s="1"/>
  <c r="BG21" i="80"/>
  <c r="AW101" i="80"/>
  <c r="BC101" i="80" s="1" a="1"/>
  <c r="BC101" i="80" s="1"/>
  <c r="AW32" i="80"/>
  <c r="BC32" i="80" s="1" a="1"/>
  <c r="BC32" i="80" s="1"/>
  <c r="AX96" i="80"/>
  <c r="BC96" i="80" s="1" a="1"/>
  <c r="BC96" i="80" s="1"/>
  <c r="AW34" i="80"/>
  <c r="BC34" i="80" s="1" a="1"/>
  <c r="BC34" i="80" s="1"/>
  <c r="AW19" i="80"/>
  <c r="BC19" i="80" s="1" a="1"/>
  <c r="BC19" i="80" s="1"/>
  <c r="AX81" i="80"/>
  <c r="BC81" i="80" s="1" a="1"/>
  <c r="BC81" i="80" s="1"/>
  <c r="AW54" i="80"/>
  <c r="BC54" i="80" s="1" a="1"/>
  <c r="BC54" i="80" s="1"/>
  <c r="AW104" i="80"/>
  <c r="BC104" i="80" s="1" a="1"/>
  <c r="BC104" i="80" s="1"/>
  <c r="AX71" i="80"/>
  <c r="BC71" i="80" s="1" a="1"/>
  <c r="BC71" i="80" s="1"/>
  <c r="AW90" i="80"/>
  <c r="BC90" i="80" s="1" a="1"/>
  <c r="BC90" i="80" s="1"/>
  <c r="AX55" i="80"/>
  <c r="BC55" i="80" s="1" a="1"/>
  <c r="BC55" i="80" s="1"/>
  <c r="AW40" i="80"/>
  <c r="BC40" i="80" s="1" a="1"/>
  <c r="BC40" i="80" s="1"/>
  <c r="AW94" i="80"/>
  <c r="BC94" i="80" s="1" a="1"/>
  <c r="BC94" i="80" s="1"/>
  <c r="AW82" i="80"/>
  <c r="BC82" i="80" s="1" a="1"/>
  <c r="BC82" i="80" s="1"/>
  <c r="AX16" i="80"/>
  <c r="BC16" i="80" s="1" a="1"/>
  <c r="BC16" i="80" s="1"/>
  <c r="AW78" i="80"/>
  <c r="BC78" i="80" s="1" a="1"/>
  <c r="BC78" i="80" s="1"/>
  <c r="AW64" i="80"/>
  <c r="BC64" i="80" s="1" a="1"/>
  <c r="BC64" i="80" s="1"/>
  <c r="BG37" i="80"/>
  <c r="AW58" i="80"/>
  <c r="BC58" i="80" s="1" a="1"/>
  <c r="BC58" i="80" s="1"/>
  <c r="AX47" i="80"/>
  <c r="BC47" i="80" s="1" a="1"/>
  <c r="BC47" i="80" s="1"/>
  <c r="AW46" i="80"/>
  <c r="BC46" i="80" s="1" a="1"/>
  <c r="BC46" i="80" s="1"/>
  <c r="BG56" i="80"/>
  <c r="AX30" i="80"/>
  <c r="BC30" i="80" s="1" a="1"/>
  <c r="BC30" i="80" s="1"/>
  <c r="AW38" i="80"/>
  <c r="BC38" i="80" s="1" a="1"/>
  <c r="BC38" i="80" s="1"/>
  <c r="AZ9" i="80" a="1"/>
  <c r="AZ9" i="80" s="1"/>
  <c r="BF9" i="80" s="1"/>
  <c r="AX48" i="80"/>
  <c r="BC48" i="80" s="1" a="1"/>
  <c r="BC48" i="80" s="1"/>
  <c r="BG14" i="80"/>
  <c r="AW87" i="80"/>
  <c r="BC87" i="80" s="1" a="1"/>
  <c r="BC87" i="80" s="1"/>
  <c r="AX109" i="80"/>
  <c r="BC109" i="80" s="1" a="1"/>
  <c r="BC109" i="80" s="1"/>
  <c r="BG63" i="80"/>
  <c r="BE11" i="80"/>
  <c r="AX68" i="80"/>
  <c r="BC68" i="80" s="1" a="1"/>
  <c r="BC68" i="80" s="1"/>
  <c r="BG87" i="80"/>
  <c r="AW22" i="80"/>
  <c r="BC22" i="80" s="1" a="1"/>
  <c r="BC22" i="80" s="1"/>
  <c r="AX92" i="80"/>
  <c r="BC92" i="80" s="1" a="1"/>
  <c r="BC92" i="80" s="1"/>
  <c r="AX88" i="80"/>
  <c r="BC88" i="80" s="1" a="1"/>
  <c r="BC88" i="80" s="1"/>
  <c r="AW13" i="80"/>
  <c r="AX13" i="80" s="1"/>
  <c r="BF80" i="80"/>
  <c r="AX74" i="80"/>
  <c r="AW74" i="80"/>
  <c r="BG30" i="80"/>
  <c r="AX97" i="80"/>
  <c r="BC97" i="80" s="1" a="1"/>
  <c r="BC97" i="80" s="1"/>
  <c r="BF17" i="80"/>
  <c r="AX33" i="80"/>
  <c r="BC33" i="80" s="1" a="1"/>
  <c r="BC33" i="80" s="1"/>
  <c r="BG33" i="80"/>
  <c r="AX25" i="80"/>
  <c r="AW25" i="80"/>
  <c r="BF77" i="80"/>
  <c r="BF97" i="80"/>
  <c r="AX79" i="80"/>
  <c r="AW79" i="80"/>
  <c r="AW9" i="80"/>
  <c r="AX9" i="80" s="1"/>
  <c r="AX73" i="80"/>
  <c r="BC73" i="80" s="1" a="1"/>
  <c r="BC73" i="80" s="1"/>
  <c r="AX39" i="80"/>
  <c r="BC39" i="80" s="1" a="1"/>
  <c r="BC39" i="80" s="1"/>
  <c r="AX41" i="80"/>
  <c r="BC41" i="80" s="1" a="1"/>
  <c r="BC41" i="80" s="1"/>
  <c r="AX57" i="80"/>
  <c r="AW57" i="80"/>
  <c r="AP9" i="80"/>
  <c r="BA9" i="80" s="1" a="1"/>
  <c r="BA9" i="80" s="1"/>
  <c r="AX67" i="80"/>
  <c r="AW67" i="80"/>
  <c r="AX69" i="80"/>
  <c r="AW69" i="80"/>
  <c r="BG78" i="80"/>
  <c r="BF10" i="80"/>
  <c r="AW105" i="80"/>
  <c r="AX105" i="80"/>
  <c r="BG95" i="80"/>
  <c r="AW75" i="80"/>
  <c r="AX75" i="80"/>
  <c r="BG44" i="80"/>
  <c r="AW91" i="80"/>
  <c r="AX91" i="80"/>
  <c r="Y80" i="80"/>
  <c r="BG80" i="80" s="1"/>
  <c r="AW102" i="80"/>
  <c r="AX102" i="80"/>
  <c r="AX103" i="80"/>
  <c r="AW103" i="80"/>
  <c r="Y17" i="80"/>
  <c r="BD17" i="80" s="1" a="1"/>
  <c r="BD17" i="80" s="1"/>
  <c r="AW45" i="80"/>
  <c r="AX45" i="80"/>
  <c r="AW106" i="80"/>
  <c r="AX106" i="80"/>
  <c r="AY110" i="80"/>
  <c r="BF19" i="80"/>
  <c r="AW49" i="80"/>
  <c r="AX49" i="80"/>
  <c r="BG72" i="80"/>
  <c r="AW84" i="80"/>
  <c r="AX84" i="80"/>
  <c r="AX100" i="80"/>
  <c r="AW100" i="80"/>
  <c r="AX15" i="80"/>
  <c r="AW15" i="80"/>
  <c r="BF11" i="80"/>
  <c r="X110" i="80"/>
  <c r="B8" i="84" s="1"/>
  <c r="Y13" i="80"/>
  <c r="AW51" i="80"/>
  <c r="AX51" i="80"/>
  <c r="BG46" i="80"/>
  <c r="BG90" i="80"/>
  <c r="BG16" i="80"/>
  <c r="BG91" i="80"/>
  <c r="BG52" i="80"/>
  <c r="AW93" i="80"/>
  <c r="AX93" i="80"/>
  <c r="AX31" i="80"/>
  <c r="AW31" i="80"/>
  <c r="AX28" i="80"/>
  <c r="AW28" i="80"/>
  <c r="AW56" i="80"/>
  <c r="AX56" i="80"/>
  <c r="BG49" i="80"/>
  <c r="BG98" i="80"/>
  <c r="BG35" i="80"/>
  <c r="BG97" i="80"/>
  <c r="BC70" i="80" a="1"/>
  <c r="BC70" i="80" s="1"/>
  <c r="BG73" i="80"/>
  <c r="BG109" i="80"/>
  <c r="AW20" i="80"/>
  <c r="AX20" i="80"/>
  <c r="AW50" i="80"/>
  <c r="AX50" i="80"/>
  <c r="BG67" i="80"/>
  <c r="AX83" i="80"/>
  <c r="AW83" i="80"/>
  <c r="AX95" i="80"/>
  <c r="AW95" i="80"/>
  <c r="BG106" i="80"/>
  <c r="BG69" i="80"/>
  <c r="AW89" i="80"/>
  <c r="AX89" i="80"/>
  <c r="BG94" i="80"/>
  <c r="BG45" i="80"/>
  <c r="AW12" i="80"/>
  <c r="AX12" i="80" s="1"/>
  <c r="AW14" i="80"/>
  <c r="AX14" i="80"/>
  <c r="AW11" i="80"/>
  <c r="AX11" i="80" s="1"/>
  <c r="AW53" i="80"/>
  <c r="AX53" i="80"/>
  <c r="BG93" i="80"/>
  <c r="BG81" i="80"/>
  <c r="AW37" i="80"/>
  <c r="AX37" i="80"/>
  <c r="AW29" i="80"/>
  <c r="AX29" i="80"/>
  <c r="BG84" i="80"/>
  <c r="AW107" i="80"/>
  <c r="AX107" i="80"/>
  <c r="AW17" i="80"/>
  <c r="AX17" i="80"/>
  <c r="AW86" i="80"/>
  <c r="AX86" i="80"/>
  <c r="AW24" i="80"/>
  <c r="AX24" i="80"/>
  <c r="AW62" i="80"/>
  <c r="AX62" i="80"/>
  <c r="BG62" i="80"/>
  <c r="BG54" i="80"/>
  <c r="AW42" i="80"/>
  <c r="AX42" i="80"/>
  <c r="BG75" i="80"/>
  <c r="BG83" i="80"/>
  <c r="BG100" i="80"/>
  <c r="BG59" i="80"/>
  <c r="AW52" i="80"/>
  <c r="AX52" i="80"/>
  <c r="BF29" i="80"/>
  <c r="AW61" i="80"/>
  <c r="AX61" i="80"/>
  <c r="AW66" i="80"/>
  <c r="AX66" i="80"/>
  <c r="Y19" i="80"/>
  <c r="BG19" i="80" s="1"/>
  <c r="AW18" i="80"/>
  <c r="AX18" i="80"/>
  <c r="BG68" i="80"/>
  <c r="Y12" i="80"/>
  <c r="BG31" i="80"/>
  <c r="AW21" i="80"/>
  <c r="AX21" i="80"/>
  <c r="AW99" i="80"/>
  <c r="AX99" i="80"/>
  <c r="BG57" i="80"/>
  <c r="AW77" i="80"/>
  <c r="AX77" i="80"/>
  <c r="BG96" i="80"/>
  <c r="Y29" i="80"/>
  <c r="BG29" i="80" s="1"/>
  <c r="BG43" i="80"/>
  <c r="BG28" i="80"/>
  <c r="AW36" i="80"/>
  <c r="AX36" i="80"/>
  <c r="BG82" i="80"/>
  <c r="BG36" i="80"/>
  <c r="AX23" i="80"/>
  <c r="AW23" i="80"/>
  <c r="BC27" i="80" a="1"/>
  <c r="BC27" i="80" s="1"/>
  <c r="Y77" i="80"/>
  <c r="BG77" i="80" s="1"/>
  <c r="AX60" i="80"/>
  <c r="AW60" i="80"/>
  <c r="AW26" i="80"/>
  <c r="AX26" i="80"/>
  <c r="AW10" i="80"/>
  <c r="AX10" i="80" s="1"/>
  <c r="BG99" i="80"/>
  <c r="AW59" i="80"/>
  <c r="AX59" i="80"/>
  <c r="BE10" i="80"/>
  <c r="AW98" i="80"/>
  <c r="AX98" i="80"/>
  <c r="BG34" i="80"/>
  <c r="BG65" i="80"/>
  <c r="BG61" i="80"/>
  <c r="BG88" i="80"/>
  <c r="BG108" i="80"/>
  <c r="AG50" i="79"/>
  <c r="AG90" i="79"/>
  <c r="AG26" i="79"/>
  <c r="AG94" i="79"/>
  <c r="AG43" i="79"/>
  <c r="AG29" i="79"/>
  <c r="AG18" i="79"/>
  <c r="AG11" i="79"/>
  <c r="G26" i="84" l="1"/>
  <c r="S28" i="84"/>
  <c r="D27" i="84"/>
  <c r="R11" i="88"/>
  <c r="R12" i="88"/>
  <c r="O12" i="88"/>
  <c r="O10" i="88"/>
  <c r="R10" i="88"/>
  <c r="O13" i="88"/>
  <c r="R13" i="88"/>
  <c r="R17" i="88"/>
  <c r="O17" i="88"/>
  <c r="O15" i="88"/>
  <c r="R15" i="88"/>
  <c r="R14" i="88"/>
  <c r="O14" i="88"/>
  <c r="R20" i="88"/>
  <c r="O20" i="88"/>
  <c r="R19" i="88"/>
  <c r="O19" i="88"/>
  <c r="R18" i="88"/>
  <c r="O18" i="88"/>
  <c r="O16" i="88"/>
  <c r="R16" i="88"/>
  <c r="K47" i="77"/>
  <c r="C25" i="85"/>
  <c r="C27" i="85" s="1"/>
  <c r="BC10" i="80" a="1"/>
  <c r="BC10" i="80" s="1"/>
  <c r="AD110" i="79"/>
  <c r="K64" i="77"/>
  <c r="BG10" i="80"/>
  <c r="BD10" i="80" a="1"/>
  <c r="BD10" i="80" s="1"/>
  <c r="AG96" i="79"/>
  <c r="AG60" i="79"/>
  <c r="AG77" i="79"/>
  <c r="AG69" i="79"/>
  <c r="AG68" i="79"/>
  <c r="AG105" i="79"/>
  <c r="AG52" i="79"/>
  <c r="AG101" i="79"/>
  <c r="AG64" i="79"/>
  <c r="AG40" i="79"/>
  <c r="BD9" i="80" a="1"/>
  <c r="BD9" i="80" s="1"/>
  <c r="AZ110" i="80"/>
  <c r="B7" i="85" s="1"/>
  <c r="BG13" i="80"/>
  <c r="Y110" i="80"/>
  <c r="BC62" i="80" a="1"/>
  <c r="BC62" i="80" s="1"/>
  <c r="BD12" i="80" a="1"/>
  <c r="BD12" i="80" s="1"/>
  <c r="BD19" i="80" a="1"/>
  <c r="BD19" i="80" s="1"/>
  <c r="BD29" i="80" a="1"/>
  <c r="BD29" i="80" s="1"/>
  <c r="BD77" i="80" a="1"/>
  <c r="BD77" i="80" s="1"/>
  <c r="BD80" i="80" a="1"/>
  <c r="BD80" i="80" s="1"/>
  <c r="BC74" i="80" a="1"/>
  <c r="BC74" i="80" s="1"/>
  <c r="BD13" i="80" a="1"/>
  <c r="BD13" i="80" s="1"/>
  <c r="BC106" i="80" a="1"/>
  <c r="BC106" i="80" s="1"/>
  <c r="BD11" i="80" a="1"/>
  <c r="BD11" i="80" s="1"/>
  <c r="BG12" i="80"/>
  <c r="BC79" i="80" a="1"/>
  <c r="BC79" i="80" s="1"/>
  <c r="BC12" i="80" a="1"/>
  <c r="BC12" i="80" s="1"/>
  <c r="BA110" i="80"/>
  <c r="BC31" i="80" a="1"/>
  <c r="BC31" i="80" s="1"/>
  <c r="BC42" i="80" a="1"/>
  <c r="BC42" i="80" s="1"/>
  <c r="BC37" i="80" a="1"/>
  <c r="BC37" i="80" s="1"/>
  <c r="BF12" i="80"/>
  <c r="BF110" i="80" s="1"/>
  <c r="BC50" i="80" a="1"/>
  <c r="BC50" i="80" s="1"/>
  <c r="BC100" i="80" a="1"/>
  <c r="BC100" i="80" s="1"/>
  <c r="BC91" i="80" a="1"/>
  <c r="BC91" i="80" s="1"/>
  <c r="BC13" i="80" a="1"/>
  <c r="BC13" i="80" s="1"/>
  <c r="BC107" i="80" a="1"/>
  <c r="BC107" i="80" s="1"/>
  <c r="BC14" i="80" a="1"/>
  <c r="BC14" i="80" s="1"/>
  <c r="BC56" i="80" a="1"/>
  <c r="BC56" i="80" s="1"/>
  <c r="BC28" i="80" a="1"/>
  <c r="BC28" i="80" s="1"/>
  <c r="BC84" i="80" a="1"/>
  <c r="BC84" i="80" s="1"/>
  <c r="BC69" i="80" a="1"/>
  <c r="BC69" i="80" s="1"/>
  <c r="BC67" i="80" a="1"/>
  <c r="BC67" i="80" s="1"/>
  <c r="BC98" i="80" a="1"/>
  <c r="BC98" i="80" s="1"/>
  <c r="BC52" i="80" a="1"/>
  <c r="BC52" i="80" s="1"/>
  <c r="BC20" i="80" a="1"/>
  <c r="BC20" i="80" s="1"/>
  <c r="BC75" i="80" a="1"/>
  <c r="BC75" i="80" s="1"/>
  <c r="BC57" i="80" a="1"/>
  <c r="BC57" i="80" s="1"/>
  <c r="BC77" i="80" a="1"/>
  <c r="BC77" i="80" s="1"/>
  <c r="BC29" i="80" a="1"/>
  <c r="BC29" i="80" s="1"/>
  <c r="BC36" i="80" a="1"/>
  <c r="BC36" i="80" s="1"/>
  <c r="BC89" i="80" a="1"/>
  <c r="BC89" i="80" s="1"/>
  <c r="BC25" i="80" a="1"/>
  <c r="BC25" i="80" s="1"/>
  <c r="BC103" i="80" a="1"/>
  <c r="BC103" i="80" s="1"/>
  <c r="BC18" i="80" a="1"/>
  <c r="BC18" i="80" s="1"/>
  <c r="BC102" i="80" a="1"/>
  <c r="BC102" i="80" s="1"/>
  <c r="BC105" i="80" a="1"/>
  <c r="BC105" i="80" s="1"/>
  <c r="BC15" i="80" a="1"/>
  <c r="BC15" i="80" s="1"/>
  <c r="BC26" i="80" a="1"/>
  <c r="BC26" i="80" s="1"/>
  <c r="BC45" i="80" a="1"/>
  <c r="BC45" i="80" s="1"/>
  <c r="BC24" i="80" a="1"/>
  <c r="BC24" i="80" s="1"/>
  <c r="BC93" i="80" a="1"/>
  <c r="BC93" i="80" s="1"/>
  <c r="BC61" i="80" a="1"/>
  <c r="BC61" i="80" s="1"/>
  <c r="BC49" i="80" a="1"/>
  <c r="BC49" i="80" s="1"/>
  <c r="BE110" i="80"/>
  <c r="BC95" i="80" a="1"/>
  <c r="BC95" i="80" s="1"/>
  <c r="BC66" i="80" a="1"/>
  <c r="BC66" i="80" s="1"/>
  <c r="BC83" i="80" a="1"/>
  <c r="BC83" i="80" s="1"/>
  <c r="BC59" i="80" a="1"/>
  <c r="BC59" i="80" s="1"/>
  <c r="BC21" i="80" a="1"/>
  <c r="BC21" i="80" s="1"/>
  <c r="BC86" i="80" a="1"/>
  <c r="BC86" i="80" s="1"/>
  <c r="BC99" i="80" a="1"/>
  <c r="BC99" i="80" s="1"/>
  <c r="BC11" i="80" a="1"/>
  <c r="BC11" i="80" s="1"/>
  <c r="BC60" i="80" a="1"/>
  <c r="BC60" i="80" s="1"/>
  <c r="BG11" i="80"/>
  <c r="BC51" i="80" a="1"/>
  <c r="BC51" i="80" s="1"/>
  <c r="BG17" i="80"/>
  <c r="BC23" i="80" a="1"/>
  <c r="BC23" i="80" s="1"/>
  <c r="BC17" i="80" a="1"/>
  <c r="BC17" i="80" s="1"/>
  <c r="BC53" i="80" a="1"/>
  <c r="BC53" i="80" s="1"/>
  <c r="G27" i="84" l="1"/>
  <c r="O21" i="88"/>
  <c r="AG110" i="79"/>
  <c r="BG110" i="80"/>
  <c r="R21" i="88" l="1"/>
  <c r="X5" i="84"/>
  <c r="K70" i="77" l="1"/>
  <c r="A7" i="85"/>
  <c r="G6" i="85" s="1"/>
  <c r="K7" i="85" l="1"/>
  <c r="C107" i="85" s="1"/>
  <c r="F27" i="77" s="1"/>
  <c r="G27" i="77" s="1"/>
  <c r="D25" i="85"/>
  <c r="I25" i="85" s="1"/>
  <c r="C7" i="85"/>
  <c r="G25" i="85" l="1"/>
  <c r="E25" i="85"/>
  <c r="L25" i="85" l="1"/>
  <c r="BG9" i="80"/>
  <c r="BC9" i="80" a="1"/>
  <c r="BC9" i="80" s="1"/>
  <c r="D26" i="85" l="1"/>
  <c r="R7" i="85"/>
  <c r="L7" i="85"/>
  <c r="E107" i="85" s="1"/>
  <c r="F28" i="77" s="1"/>
  <c r="N7" i="85"/>
  <c r="I107" i="85" s="1"/>
  <c r="F30" i="77" s="1"/>
  <c r="G30" i="77" s="1"/>
  <c r="Q7" i="85"/>
  <c r="O107" i="85" s="1"/>
  <c r="F33" i="77" s="1"/>
  <c r="G33" i="77" s="1"/>
  <c r="P7" i="85"/>
  <c r="M107" i="85" s="1"/>
  <c r="F32" i="77" s="1"/>
  <c r="G32" i="77" s="1"/>
  <c r="O7" i="85"/>
  <c r="K107" i="85" s="1"/>
  <c r="F31" i="77" s="1"/>
  <c r="G31" i="77" s="1"/>
  <c r="M7" i="85"/>
  <c r="C8" i="84"/>
  <c r="G28" i="77" l="1"/>
  <c r="G107" i="85"/>
  <c r="F29" i="77" s="1"/>
  <c r="G29" i="77" s="1"/>
  <c r="S26" i="85"/>
  <c r="S27" i="85" s="1"/>
  <c r="C87" i="84"/>
  <c r="C51" i="84"/>
  <c r="C81" i="84"/>
  <c r="C75" i="84"/>
  <c r="C99" i="84"/>
  <c r="C69" i="84"/>
  <c r="C57" i="84"/>
  <c r="C45" i="84"/>
  <c r="C63" i="84"/>
  <c r="C93" i="84"/>
  <c r="C39" i="84"/>
  <c r="G26" i="85"/>
  <c r="D27" i="85"/>
  <c r="K8" i="84"/>
  <c r="B107" i="84" s="1"/>
  <c r="D7" i="85"/>
  <c r="F34" i="77" l="1"/>
  <c r="G34" i="77" s="1"/>
  <c r="L99" i="84"/>
  <c r="H99" i="84"/>
  <c r="L81" i="84"/>
  <c r="H81" i="84"/>
  <c r="L93" i="84"/>
  <c r="H93" i="84"/>
  <c r="L57" i="84"/>
  <c r="H57" i="84"/>
  <c r="L69" i="84"/>
  <c r="H69" i="84"/>
  <c r="C102" i="84"/>
  <c r="L63" i="84"/>
  <c r="H63" i="84"/>
  <c r="P61" i="84"/>
  <c r="G27" i="85"/>
  <c r="H25" i="85" s="1"/>
  <c r="E26" i="85"/>
  <c r="D28" i="84"/>
  <c r="F41" i="77"/>
  <c r="G40" i="77"/>
  <c r="G41" i="77" s="1"/>
  <c r="J25" i="85" l="1"/>
  <c r="P25" i="85"/>
  <c r="R25" i="85" s="1"/>
  <c r="I8" i="85"/>
  <c r="D93" i="84"/>
  <c r="P93" i="84"/>
  <c r="D75" i="84"/>
  <c r="G74" i="84" s="1"/>
  <c r="H74" i="84" s="1"/>
  <c r="D69" i="84"/>
  <c r="P99" i="84"/>
  <c r="P81" i="84"/>
  <c r="D51" i="84"/>
  <c r="G50" i="84" s="1"/>
  <c r="G51" i="84" s="1"/>
  <c r="P80" i="84"/>
  <c r="P97" i="84"/>
  <c r="P62" i="84"/>
  <c r="P67" i="84"/>
  <c r="P98" i="84"/>
  <c r="D63" i="84"/>
  <c r="P68" i="84"/>
  <c r="D87" i="84"/>
  <c r="G86" i="84" s="1"/>
  <c r="H86" i="84" s="1"/>
  <c r="D39" i="84"/>
  <c r="N49" i="84"/>
  <c r="P49" i="84" s="1"/>
  <c r="D57" i="84"/>
  <c r="N43" i="84"/>
  <c r="P43" i="84" s="1"/>
  <c r="D99" i="84"/>
  <c r="N85" i="84"/>
  <c r="P85" i="84" s="1"/>
  <c r="P63" i="84"/>
  <c r="N37" i="84"/>
  <c r="P37" i="84" s="1"/>
  <c r="P55" i="84"/>
  <c r="P92" i="84"/>
  <c r="D45" i="84"/>
  <c r="G44" i="84" s="1"/>
  <c r="D97" i="84"/>
  <c r="D79" i="84"/>
  <c r="D38" i="84"/>
  <c r="D44" i="84"/>
  <c r="D61" i="84"/>
  <c r="D62" i="84"/>
  <c r="D91" i="84"/>
  <c r="D50" i="84"/>
  <c r="D98" i="84"/>
  <c r="D92" i="84"/>
  <c r="D74" i="84"/>
  <c r="D68" i="84"/>
  <c r="D73" i="84"/>
  <c r="D56" i="84"/>
  <c r="D86" i="84"/>
  <c r="D85" i="84"/>
  <c r="D67" i="84"/>
  <c r="D43" i="84"/>
  <c r="D80" i="84"/>
  <c r="D55" i="84"/>
  <c r="D37" i="84"/>
  <c r="D49" i="84"/>
  <c r="P57" i="84"/>
  <c r="P91" i="84"/>
  <c r="D81" i="84"/>
  <c r="G38" i="84"/>
  <c r="P69" i="84"/>
  <c r="P56" i="84"/>
  <c r="P79" i="84"/>
  <c r="N73" i="84"/>
  <c r="P73" i="84" s="1"/>
  <c r="H26" i="85"/>
  <c r="E27" i="85"/>
  <c r="G8" i="85"/>
  <c r="E27" i="84"/>
  <c r="E26" i="84"/>
  <c r="I26" i="85" l="1"/>
  <c r="I27" i="85" s="1"/>
  <c r="G87" i="84"/>
  <c r="H50" i="84"/>
  <c r="H27" i="85"/>
  <c r="J26" i="85"/>
  <c r="G75" i="84"/>
  <c r="H75" i="84" s="1"/>
  <c r="H87" i="84"/>
  <c r="G39" i="84"/>
  <c r="H38" i="84"/>
  <c r="D102" i="84"/>
  <c r="H51" i="84"/>
  <c r="H44" i="84"/>
  <c r="G45" i="84"/>
  <c r="L26" i="84"/>
  <c r="E28" i="84"/>
  <c r="K25" i="85" l="1"/>
  <c r="I61" i="85" s="1"/>
  <c r="K26" i="77"/>
  <c r="J27" i="85"/>
  <c r="K25" i="77" s="1"/>
  <c r="I43" i="85"/>
  <c r="I37" i="85"/>
  <c r="L26" i="85"/>
  <c r="O25" i="85"/>
  <c r="T25" i="85" s="1"/>
  <c r="L27" i="85"/>
  <c r="G102" i="84"/>
  <c r="H39" i="84"/>
  <c r="H45" i="84"/>
  <c r="I79" i="85" l="1"/>
  <c r="I55" i="85"/>
  <c r="I67" i="85"/>
  <c r="I91" i="85"/>
  <c r="I49" i="85"/>
  <c r="J50" i="85" s="1"/>
  <c r="I97" i="85"/>
  <c r="I73" i="85"/>
  <c r="J75" i="85" s="1"/>
  <c r="I85" i="85"/>
  <c r="J87" i="85" s="1"/>
  <c r="M25" i="85"/>
  <c r="K27" i="77"/>
  <c r="J39" i="85"/>
  <c r="J38" i="85"/>
  <c r="K38" i="85"/>
  <c r="L38" i="85" s="1"/>
  <c r="N38" i="85" s="1"/>
  <c r="K39" i="85"/>
  <c r="J45" i="85"/>
  <c r="K45" i="85"/>
  <c r="L45" i="85" s="1"/>
  <c r="N45" i="85" s="1"/>
  <c r="J44" i="85"/>
  <c r="K44" i="85"/>
  <c r="L44" i="85" s="1"/>
  <c r="N44" i="85" s="1"/>
  <c r="K50" i="85"/>
  <c r="L50" i="85" s="1"/>
  <c r="N50" i="85" s="1"/>
  <c r="K74" i="85"/>
  <c r="L74" i="85" s="1"/>
  <c r="N74" i="85" s="1"/>
  <c r="O26" i="85"/>
  <c r="P26" i="85" s="1"/>
  <c r="R26" i="85" s="1"/>
  <c r="L39" i="85" l="1"/>
  <c r="K87" i="85"/>
  <c r="L87" i="85" s="1"/>
  <c r="N87" i="85" s="1"/>
  <c r="J74" i="85"/>
  <c r="J86" i="85"/>
  <c r="P86" i="85" s="1"/>
  <c r="K51" i="85"/>
  <c r="L51" i="85" s="1"/>
  <c r="N51" i="85" s="1"/>
  <c r="J51" i="85"/>
  <c r="J102" i="85" s="1"/>
  <c r="K86" i="85"/>
  <c r="L86" i="85" s="1"/>
  <c r="N86" i="85" s="1"/>
  <c r="K75" i="85"/>
  <c r="P50" i="85"/>
  <c r="P44" i="85"/>
  <c r="T26" i="85"/>
  <c r="T27" i="85" s="1"/>
  <c r="U27" i="85" s="1"/>
  <c r="P74" i="85"/>
  <c r="P45" i="85"/>
  <c r="M50" i="85"/>
  <c r="M51" i="85" s="1"/>
  <c r="M44" i="85"/>
  <c r="M45" i="85" s="1"/>
  <c r="M74" i="85"/>
  <c r="M75" i="85" s="1"/>
  <c r="M38" i="85"/>
  <c r="M39" i="85" s="1"/>
  <c r="L75" i="85"/>
  <c r="N75" i="85" s="1"/>
  <c r="P75" i="85" s="1"/>
  <c r="M86" i="85"/>
  <c r="M87" i="85" s="1"/>
  <c r="P87" i="85"/>
  <c r="N39" i="85"/>
  <c r="N102" i="85" s="1"/>
  <c r="P38" i="85"/>
  <c r="O27" i="85"/>
  <c r="N25" i="85" s="1"/>
  <c r="U25" i="85"/>
  <c r="P51" i="85" l="1"/>
  <c r="K102" i="85"/>
  <c r="M102" i="85"/>
  <c r="L102" i="85"/>
  <c r="P39" i="85"/>
  <c r="P102" i="85" s="1"/>
  <c r="U26" i="85"/>
  <c r="Q26" i="85"/>
  <c r="P27" i="85"/>
  <c r="Q25" i="85"/>
  <c r="K29" i="77" l="1"/>
  <c r="R27" i="85"/>
  <c r="K30" i="77" s="1"/>
  <c r="Q27" i="85"/>
  <c r="K28" i="77" s="1"/>
  <c r="K31" i="77" l="1"/>
  <c r="K32" i="77" s="1"/>
  <c r="G28" i="84" l="1"/>
  <c r="H26" i="84" l="1"/>
  <c r="P26" i="84" s="1"/>
  <c r="R26" i="84" s="1"/>
  <c r="H27" i="84"/>
  <c r="K19" i="84"/>
  <c r="I27" i="84" s="1"/>
  <c r="I19" i="84"/>
  <c r="I28" i="84" l="1"/>
  <c r="J26" i="84"/>
  <c r="H28" i="84"/>
  <c r="J28" i="84" s="1"/>
  <c r="K26" i="84" l="1"/>
  <c r="J27" i="84"/>
  <c r="L27" i="84" l="1"/>
  <c r="I67" i="84"/>
  <c r="I61" i="84"/>
  <c r="I55" i="84"/>
  <c r="I97" i="84"/>
  <c r="I49" i="84"/>
  <c r="I43" i="84"/>
  <c r="I91" i="84"/>
  <c r="I85" i="84"/>
  <c r="I37" i="84"/>
  <c r="I79" i="84"/>
  <c r="I73" i="84"/>
  <c r="L28" i="84"/>
  <c r="M26" i="84" s="1"/>
  <c r="O26" i="84"/>
  <c r="T26" i="84" s="1"/>
  <c r="J44" i="84" l="1"/>
  <c r="J45" i="84"/>
  <c r="K45" i="84" s="1"/>
  <c r="L45" i="84" s="1"/>
  <c r="N45" i="84" s="1"/>
  <c r="P45" i="84" s="1"/>
  <c r="K44" i="84"/>
  <c r="L44" i="84"/>
  <c r="N44" i="84" s="1"/>
  <c r="J51" i="84"/>
  <c r="J50" i="84"/>
  <c r="K50" i="84" s="1"/>
  <c r="L50" i="84" s="1"/>
  <c r="N50" i="84" s="1"/>
  <c r="P50" i="84" s="1"/>
  <c r="J75" i="84"/>
  <c r="J74" i="84"/>
  <c r="K74" i="84"/>
  <c r="L74" i="84"/>
  <c r="N74" i="84" s="1"/>
  <c r="J38" i="84"/>
  <c r="J39" i="84"/>
  <c r="K39" i="84"/>
  <c r="K38" i="84"/>
  <c r="L38" i="84"/>
  <c r="N38" i="84" s="1"/>
  <c r="K87" i="84"/>
  <c r="L87" i="84" s="1"/>
  <c r="N87" i="84" s="1"/>
  <c r="J87" i="84"/>
  <c r="P87" i="84" s="1"/>
  <c r="J86" i="84"/>
  <c r="T27" i="84"/>
  <c r="O28" i="84"/>
  <c r="P28" i="84" s="1"/>
  <c r="O27" i="84"/>
  <c r="P27" i="84" s="1"/>
  <c r="R27" i="84" s="1"/>
  <c r="Q26" i="84"/>
  <c r="M50" i="84" l="1"/>
  <c r="M51" i="84" s="1"/>
  <c r="Q28" i="84"/>
  <c r="M74" i="84"/>
  <c r="M75" i="84" s="1"/>
  <c r="P38" i="84"/>
  <c r="P74" i="84"/>
  <c r="J102" i="84"/>
  <c r="K51" i="84"/>
  <c r="L51" i="84" s="1"/>
  <c r="N51" i="84" s="1"/>
  <c r="P51" i="84" s="1"/>
  <c r="M44" i="84"/>
  <c r="M45" i="84" s="1"/>
  <c r="L39" i="84"/>
  <c r="K75" i="84"/>
  <c r="L75" i="84" s="1"/>
  <c r="N75" i="84" s="1"/>
  <c r="P75" i="84" s="1"/>
  <c r="K86" i="84"/>
  <c r="M38" i="84"/>
  <c r="M39" i="84" s="1"/>
  <c r="P44" i="84"/>
  <c r="U27" i="84"/>
  <c r="Q27" i="84"/>
  <c r="R28" i="84"/>
  <c r="N26" i="84"/>
  <c r="Z7" i="84"/>
  <c r="L86" i="84" l="1"/>
  <c r="N86" i="84" s="1"/>
  <c r="P86" i="84" s="1"/>
  <c r="M86" i="84"/>
  <c r="M87" i="84" s="1"/>
  <c r="N39" i="84"/>
  <c r="L102" i="84"/>
  <c r="M102" i="84"/>
  <c r="K102" i="84"/>
  <c r="U26" i="84"/>
  <c r="U28" i="84" s="1"/>
  <c r="T28" i="84"/>
  <c r="N102" i="84" l="1"/>
  <c r="P39" i="84"/>
  <c r="P102" i="8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C19" authorId="0" shapeId="0" xr:uid="{A2063F0D-25E5-40BA-BFEF-B3F1562E2444}">
      <text>
        <r>
          <rPr>
            <b/>
            <sz val="16"/>
            <color rgb="FF000000"/>
            <rFont val="Tahoma"/>
            <family val="2"/>
          </rPr>
          <t>Vous pouvez rajouter des lignes plus bas si le nombre de partenaires dépasse les 10.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1" authorId="0" shapeId="0" xr:uid="{0FE3DFBC-E439-48DD-A484-9DA64CFB9A6E}">
      <text>
        <r>
          <rPr>
            <sz val="9"/>
            <color indexed="81"/>
            <rFont val="Tahoma"/>
            <family val="2"/>
          </rPr>
          <t>Consultez le guide du porteur en cas d'interrogations sur le fonctionnement des OCS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M8" authorId="0" shapeId="0" xr:uid="{3B164450-101A-4D53-8237-DDEB3CE1D2D0}">
      <text>
        <r>
          <rPr>
            <b/>
            <sz val="9"/>
            <color indexed="81"/>
            <rFont val="Tahoma"/>
            <family val="2"/>
          </rPr>
          <t>Vous pouvez consulter la « Note de Bifage » pour anonymiser les données personnelles du personnel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X6" authorId="0" shapeId="0" xr:uid="{0F2B47F0-52A2-428A-8EED-2498988DD2E9}">
      <text>
        <r>
          <rPr>
            <b/>
            <sz val="14"/>
            <color rgb="FF000000"/>
            <rFont val="Tahoma"/>
            <family val="2"/>
          </rPr>
          <t>Attention : Le total des ressources prévisionnelles doit être égal ou inférieur au coût total du projet</t>
        </r>
      </text>
    </comment>
    <comment ref="M7" authorId="0" shapeId="0" xr:uid="{A7E06DD2-718D-40DC-9B6B-D77B0A19B0AF}">
      <text>
        <r>
          <rPr>
            <b/>
            <sz val="14"/>
            <color rgb="FF000000"/>
            <rFont val="Tahoma"/>
            <family val="2"/>
          </rPr>
          <t>(Attention, si le périmètre du projet financé est différent de celui du FEADER un échange avec le service instructeur est nécessaire avant validation de la demande d'aide)</t>
        </r>
      </text>
    </comment>
    <comment ref="U12" authorId="1" shapeId="0" xr:uid="{4F66C589-A42D-43FC-B3D6-F46B2B18BAD7}">
      <text>
        <r>
          <rPr>
            <b/>
            <sz val="9"/>
            <color indexed="81"/>
            <rFont val="Tahoma"/>
            <family val="2"/>
          </rPr>
          <t xml:space="preserve">
</t>
        </r>
      </text>
    </comment>
    <comment ref="V12" authorId="1" shapeId="0" xr:uid="{990F1484-DCA3-47E4-B5A0-5C959CDEB58E}">
      <text>
        <r>
          <rPr>
            <b/>
            <sz val="9"/>
            <color indexed="81"/>
            <rFont val="Tahoma"/>
            <family val="2"/>
          </rPr>
          <t xml:space="preserve">
</t>
        </r>
      </text>
    </comment>
    <comment ref="W12" authorId="1" shapeId="0" xr:uid="{21524351-0874-44B8-A28A-0145FD0E7E71}">
      <text>
        <r>
          <rPr>
            <b/>
            <sz val="9"/>
            <color indexed="81"/>
            <rFont val="Tahoma"/>
            <family val="2"/>
          </rPr>
          <t xml:space="preserve">
</t>
        </r>
      </text>
    </comment>
    <comment ref="K24" authorId="0" shapeId="0" xr:uid="{907E05A0-FB8F-433F-9B2D-CE3B67FEFCFB}">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D28" authorId="1" shapeId="0" xr:uid="{32C5B88F-FC99-462D-BD67-95642B7A9184}">
      <text>
        <r>
          <rPr>
            <sz val="12"/>
            <color rgb="FF000000"/>
            <rFont val="Calibri"/>
            <family val="2"/>
          </rPr>
          <t>Cette formule affichera si le montant maximum des dépenses présentées est dépassé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K23" authorId="0" shapeId="0" xr:uid="{5A892093-8E85-2E45-A967-A5BFAD8A2E09}">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O18" authorId="0" shapeId="0" xr:uid="{AF0D71CF-2807-4791-9A84-EA8694BA8FF1}">
      <text>
        <r>
          <rPr>
            <b/>
            <sz val="16"/>
            <color rgb="FF000000"/>
            <rFont val="Tahoma"/>
            <family val="2"/>
          </rPr>
          <t>Vous pouvez rajouter des lignes plus bas si le nombre de partenaires dépasse les 10.</t>
        </r>
      </text>
    </comment>
    <comment ref="G25" authorId="0" shapeId="0" xr:uid="{B455C87B-6EE9-4F0C-B78A-32EE14F08D95}">
      <text>
        <r>
          <rPr>
            <b/>
            <sz val="9"/>
            <color rgb="FF000000"/>
            <rFont val="Tahoma"/>
            <family val="2"/>
          </rPr>
          <t xml:space="preserve">Il n'y a pas de RIF sur cette intervention.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<sst xmlns="http://schemas.openxmlformats.org/spreadsheetml/2006/main" count="1798" uniqueCount="637">
  <si>
    <t>PLAN DE FINANCEMENT PRÉVISIONNEL</t>
  </si>
  <si>
    <t>Intervention 77.07 : Soutien aux projets pilotes, développement de nouveaux produits, pratiques, procédés et techniques dans les RUP françaises</t>
  </si>
  <si>
    <t>version 1 - Janvier 2026</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</si>
  <si>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</si>
  <si>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</si>
  <si>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 xml:space="preserve">1 : IDENTITÉ </t>
  </si>
  <si>
    <t xml:space="preserve">Intitulé de l'opération </t>
  </si>
  <si>
    <t>SAISIR ICI</t>
  </si>
  <si>
    <t>Numéro de dossier Europac</t>
  </si>
  <si>
    <t>2 : DESCRIPTION DU PARTENARIAT</t>
  </si>
  <si>
    <t>Raison sociale / nom du chef de file et des partenaires</t>
  </si>
  <si>
    <t>Chef de file</t>
  </si>
  <si>
    <t>Partenaire 1</t>
  </si>
  <si>
    <t>Partenaire 2</t>
  </si>
  <si>
    <t>Partenaire 3</t>
  </si>
  <si>
    <t>Partenaire 4</t>
  </si>
  <si>
    <t>Partenaire 5</t>
  </si>
  <si>
    <t>Partenaire 6</t>
  </si>
  <si>
    <t>Partenaire 7</t>
  </si>
  <si>
    <t>Partenaire 8</t>
  </si>
  <si>
    <t>Partenaire 9</t>
  </si>
  <si>
    <t>Partenaire 10</t>
  </si>
  <si>
    <t>Raison sociale / nom</t>
  </si>
  <si>
    <t xml:space="preserve">3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</si>
  <si>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</si>
  <si>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</si>
  <si>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À 6
DÉPENSES PRÉVISIONNELLES</t>
  </si>
  <si>
    <r>
      <t xml:space="preserve">Cet onflet regroupe vos dépenses par postes de dépense et par type d'action. Pour chaque poste de dépense (représentés par la suite dans les onglets 1 à 6), veuillez renseigner le type d'action auquel il se rattache. </t>
    </r>
    <r>
      <rPr>
        <sz val="14"/>
        <color theme="1"/>
        <rFont val="Calibri"/>
        <family val="2"/>
        <scheme val="minor"/>
      </rPr>
      <t xml:space="preserve">Le poste de dépense correspond à l'intitulé des onglets 1 à 6.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</si>
  <si>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</si>
  <si>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</si>
  <si>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</si>
  <si>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Développement de nouveaux produits, pratiques, procédés et techniques (type d'action) / 1- Investissements (poste)
2)  Développement de nouveaux produits, pratiques, procédés et techniques  (type d'action) / 1.2- Amortissements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</si>
  <si>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</si>
  <si>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</si>
  <si>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ANNEXE FINANCIÈRE À LA DÉCISION JURIDIQUE</t>
  </si>
  <si>
    <t xml:space="preserve">Cette feuille reprend sous la forme de synthèse le plan de financement de l'instruction de la demande d'aide. C'est ici qu'il conviendra de renseigner dans la décision juridique les montants des aides. Cette feuille de calcul sera aussi le support de référence en cas d'avenant. </t>
  </si>
  <si>
    <t>Présentation des types d'actions et des postes de dépenses pour le dispositif 77.07</t>
  </si>
  <si>
    <r>
      <rPr>
        <b/>
        <sz val="14"/>
        <color rgb="FFFFC000"/>
        <rFont val="Calibri"/>
        <family val="2"/>
        <scheme val="minor"/>
      </rPr>
      <t xml:space="preserve">Pour information : </t>
    </r>
    <r>
      <rPr>
        <b/>
        <sz val="14"/>
        <color theme="0"/>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</si>
  <si>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</si>
  <si>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</si>
  <si>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</si>
  <si>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Référentiel des listes déroulantes pour les types d'action (onglets 1 à 76+ synthèses)</t>
  </si>
  <si>
    <t>Postes de dépenses et type d'action pour le dispositif 77.07</t>
  </si>
  <si>
    <t>Développement de nouveaux produits, pratiques, procédés et techniques</t>
  </si>
  <si>
    <t>1-Investissements</t>
  </si>
  <si>
    <t>Au réel</t>
  </si>
  <si>
    <r>
      <rPr>
        <b/>
        <sz val="14"/>
        <color rgb="FFFFC000"/>
        <rFont val="Calibri"/>
        <family val="2"/>
        <scheme val="minor"/>
      </rPr>
      <t xml:space="preserve">PARTIE À COMPLÉTER  </t>
    </r>
    <r>
      <rPr>
        <sz val="14"/>
        <color theme="0"/>
        <rFont val="Calibri"/>
        <family val="2"/>
        <scheme val="minor"/>
      </rPr>
      <t xml:space="preserve">
Par le porteur</t>
    </r>
  </si>
  <si>
    <t>Référentiel des listes déroulantes pour les onglets</t>
  </si>
  <si>
    <t>Exemple</t>
  </si>
  <si>
    <t>7-Coûts participation agri</t>
  </si>
  <si>
    <t>OCS</t>
  </si>
  <si>
    <t>1.1-Investissements</t>
  </si>
  <si>
    <t>1.2-Amortissements</t>
  </si>
  <si>
    <t>6-Déplacements &amp; hébergements</t>
  </si>
  <si>
    <t>Au réel et OCS</t>
  </si>
  <si>
    <t>2-Contributions en nature</t>
  </si>
  <si>
    <t>3-Frais de personnel</t>
  </si>
  <si>
    <t>4-TF coûts indirects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</si>
  <si>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</si>
  <si>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</si>
  <si>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par rapport aux modalités de prise en compte possibles.</t>
  </si>
  <si>
    <t>5-Déplacements &amp; hébergements</t>
  </si>
  <si>
    <t xml:space="preserve">Partie à compléter par le porteur </t>
  </si>
  <si>
    <t>6-Coûts participation agri</t>
  </si>
  <si>
    <t>3-Contributions en nature</t>
  </si>
  <si>
    <t>Modalités de prise en compe</t>
  </si>
  <si>
    <t>Partenaire qui porte la dépense</t>
  </si>
  <si>
    <r>
      <t xml:space="preserve"> Présentation des dépenses d'investissements matériels et immatériels</t>
    </r>
    <r>
      <rPr>
        <sz val="25"/>
        <color theme="1"/>
        <rFont val="Calibri"/>
        <family val="2"/>
        <scheme val="minor"/>
      </rPr>
      <t xml:space="preserve"> (justifiés par devis ou justificatifs équivalents)</t>
    </r>
    <r>
      <rPr>
        <b/>
        <sz val="25"/>
        <color theme="1"/>
        <rFont val="Calibri"/>
        <family val="2"/>
        <scheme val="minor"/>
      </rPr>
      <t xml:space="preserve">
</t>
    </r>
    <r>
      <rPr>
        <b/>
        <i/>
        <sz val="25"/>
        <color theme="1"/>
        <rFont val="Calibri"/>
        <family val="2"/>
        <scheme val="minor"/>
      </rPr>
      <t xml:space="preserve">Attention : sur cette intervention les </t>
    </r>
    <r>
      <rPr>
        <b/>
        <i/>
        <u/>
        <sz val="25"/>
        <color theme="1"/>
        <rFont val="Calibri"/>
        <family val="2"/>
        <scheme val="minor"/>
      </rPr>
      <t>bâtiments</t>
    </r>
    <r>
      <rPr>
        <b/>
        <i/>
        <sz val="25"/>
        <color theme="1"/>
        <rFont val="Calibri"/>
        <family val="2"/>
        <scheme val="minor"/>
      </rPr>
      <t xml:space="preserve"> et les </t>
    </r>
    <r>
      <rPr>
        <b/>
        <i/>
        <u/>
        <sz val="25"/>
        <color theme="1"/>
        <rFont val="Calibri"/>
        <family val="2"/>
        <scheme val="minor"/>
      </rPr>
      <t>achats de terrain</t>
    </r>
    <r>
      <rPr>
        <b/>
        <i/>
        <sz val="25"/>
        <color theme="1"/>
        <rFont val="Calibri"/>
        <family val="2"/>
        <scheme val="minor"/>
      </rPr>
      <t xml:space="preserve"> sont inéligibles.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</si>
  <si>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</si>
  <si>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</si>
  <si>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</si>
  <si>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</si>
  <si>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</si>
  <si>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</si>
  <si>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</si>
  <si>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</si>
  <si>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</si>
  <si>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</si>
  <si>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</si>
  <si>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</si>
  <si>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</si>
  <si>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</si>
  <si>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</si>
  <si>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</si>
  <si>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</si>
  <si>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</si>
  <si>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</si>
  <si>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</si>
  <si>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Taux d'affectation à l'opération</t>
  </si>
  <si>
    <t>S'agit-il d'un investissement productif ? (Oui/Non)</t>
  </si>
  <si>
    <t>Dénomination du fournisseur</t>
  </si>
  <si>
    <t>Référence du justificatif</t>
  </si>
  <si>
    <t>Type d'action concerné</t>
  </si>
  <si>
    <t>Présence d'un marché public</t>
  </si>
  <si>
    <t>Quantité / Poids / Surface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</si>
  <si>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</si>
  <si>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</si>
  <si>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</si>
  <si>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</si>
  <si>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</si>
  <si>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</si>
  <si>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</si>
  <si>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</si>
  <si>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</si>
  <si>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</si>
  <si>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</si>
  <si>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</si>
  <si>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</si>
  <si>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</si>
  <si>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</si>
  <si>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</si>
  <si>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</si>
  <si>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</si>
  <si>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</si>
  <si>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</si>
  <si>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</si>
  <si>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</si>
  <si>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</si>
  <si>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</si>
  <si>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</si>
  <si>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</si>
  <si>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</si>
  <si>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</si>
  <si>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</si>
  <si>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</si>
  <si>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</si>
  <si>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(reprendre les numérotations des partenaires tels que renseignées dans l'onglet Accueil)</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</si>
  <si>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</si>
  <si>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</si>
  <si>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t>Réponse obligatoire pour les calculs
Consultez la notice 77.07 pour vérifier que votre investissement est un investissement productif</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</si>
  <si>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</si>
  <si>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</si>
  <si>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</si>
  <si>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</si>
  <si>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</si>
  <si>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</si>
  <si>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</si>
  <si>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</si>
  <si>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</si>
  <si>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</si>
  <si>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</si>
  <si>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</si>
  <si>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</si>
  <si>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</si>
  <si>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</si>
  <si>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</si>
  <si>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</si>
  <si>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</si>
  <si>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</si>
  <si>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</si>
  <si>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</si>
  <si>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Chaînage carré</t>
  </si>
  <si>
    <t>Oui</t>
  </si>
  <si>
    <t>Fer Plus</t>
  </si>
  <si>
    <t>D230115102</t>
  </si>
  <si>
    <t xml:space="preserve">Pas de marché public </t>
  </si>
  <si>
    <t>mètre</t>
  </si>
  <si>
    <t>Devis 1</t>
  </si>
  <si>
    <t>OUI</t>
  </si>
  <si>
    <t>Test</t>
  </si>
  <si>
    <t>Non</t>
  </si>
  <si>
    <t>unité</t>
  </si>
  <si>
    <t>TEST</t>
  </si>
  <si>
    <t>Test2</t>
  </si>
  <si>
    <t>NON</t>
  </si>
  <si>
    <t>Total présenté</t>
  </si>
  <si>
    <t>Total retenu</t>
  </si>
  <si>
    <r>
      <t xml:space="preserve">Présentation des dépenses de frais généraux
</t>
    </r>
    <r>
      <rPr>
        <i/>
        <sz val="20"/>
        <color theme="1"/>
        <rFont val="Calibri"/>
        <family val="2"/>
        <scheme val="minor"/>
      </rPr>
      <t xml:space="preserve">Pour rappel, sur cette intervention sont inéligibles les </t>
    </r>
    <r>
      <rPr>
        <i/>
        <u/>
        <sz val="20"/>
        <color theme="1"/>
        <rFont val="Calibri"/>
        <family val="2"/>
        <scheme val="minor"/>
      </rPr>
      <t>bâtiments et les achats de terrain</t>
    </r>
  </si>
  <si>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</si>
  <si>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r>
      <rPr>
        <b/>
        <sz val="25"/>
        <color rgb="FFFFC000"/>
        <rFont val="Calibri"/>
        <family val="2"/>
        <scheme val="minor"/>
      </rPr>
      <t>ÉTAPE 3 :</t>
    </r>
    <r>
      <rPr>
        <b/>
        <sz val="25"/>
        <color theme="0"/>
        <rFont val="Calibri"/>
        <family val="2"/>
        <scheme val="minor"/>
      </rPr>
      <t xml:space="preserve"> INFORMATIONS SUR L'AMORTISSEMENT</t>
    </r>
  </si>
  <si>
    <t>CALCULS</t>
  </si>
  <si>
    <t>MONTANT ÉCARTÉ</t>
  </si>
  <si>
    <t>INFORMATIONS SUR LA DÉPENSE</t>
  </si>
  <si>
    <t>INFORMATIONS SUR L'AMORTISSEMENT</t>
  </si>
  <si>
    <t>Description du bien amortissable</t>
  </si>
  <si>
    <t>Type de bien</t>
  </si>
  <si>
    <t>Lien avec l’opération</t>
  </si>
  <si>
    <t>Taux d'affectation à l'opération sur la durée présentée</t>
  </si>
  <si>
    <t>Durée de l'opération</t>
  </si>
  <si>
    <t>Date de début d’amortissement</t>
  </si>
  <si>
    <t>Durée totale de l’amortissement</t>
  </si>
  <si>
    <t>Durée d’amortissement présentée</t>
  </si>
  <si>
    <t>Coût total de l'amortissement</t>
  </si>
  <si>
    <t>Justificatif de la valeur du bien amorti</t>
  </si>
  <si>
    <t>Justificatif de la modalité d'amortissement</t>
  </si>
  <si>
    <t>Montant de la charge d'amortissement présentée</t>
  </si>
  <si>
    <t>Coût de l’amortissement présenté</t>
  </si>
  <si>
    <t>Justificatif(s) approprié(s) joint(s) ?</t>
  </si>
  <si>
    <t>Montant écarté</t>
  </si>
  <si>
    <t>(reprendre les types d'actions choisis tel que rempli dans l'onglet 0-Presentation poste-typeaction)</t>
  </si>
  <si>
    <t>(nature du bien)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</si>
  <si>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</si>
  <si>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</si>
  <si>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</si>
  <si>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</si>
  <si>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</si>
  <si>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r>
      <t xml:space="preserve">en année(s)
</t>
    </r>
    <r>
      <rPr>
        <b/>
        <i/>
        <sz val="11"/>
        <color rgb="FFFF0000"/>
        <rFont val="Calibri"/>
        <family val="2"/>
        <scheme val="minor"/>
      </rPr>
      <t>(cette durée ne doit pas être supérieure à la durée de l'opération)</t>
    </r>
  </si>
  <si>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</si>
  <si>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</si>
  <si>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</si>
  <si>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</si>
  <si>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</si>
  <si>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</si>
  <si>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Neuf</t>
  </si>
  <si>
    <t>Nécessaire à la réalisation de l'opération - exemple</t>
  </si>
  <si>
    <t>2</t>
  </si>
  <si>
    <t>13/11/2025</t>
  </si>
  <si>
    <t>Justificatif : exemple</t>
  </si>
  <si>
    <t>Attestation sur l'honneur</t>
  </si>
  <si>
    <t>XX</t>
  </si>
  <si>
    <t>:)</t>
  </si>
  <si>
    <t>Occasion</t>
  </si>
  <si>
    <t xml:space="preserve">Test </t>
  </si>
  <si>
    <t>Justificatif : test</t>
  </si>
  <si>
    <t>N/A</t>
  </si>
  <si>
    <t>XXX</t>
  </si>
  <si>
    <t>Présentation des dépenses de contributions en nature</t>
  </si>
  <si>
    <t>Partie réservée à l'administration - Instruction des contributions en nature</t>
  </si>
  <si>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</si>
  <si>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 xml:space="preserve">ÉTAPE 3 </t>
    </r>
    <r>
      <rPr>
        <b/>
        <sz val="25"/>
        <color theme="0"/>
        <rFont val="Calibri"/>
        <family val="2"/>
        <scheme val="minor"/>
      </rPr>
      <t>:
COMMENTAIRES</t>
    </r>
  </si>
  <si>
    <r>
      <rPr>
        <b/>
        <sz val="25"/>
        <rFont val="Calibri"/>
        <family val="2"/>
        <scheme val="minor"/>
      </rPr>
      <t xml:space="preserve">REPORT DES INFORMATIONS DU PORTEUR 
</t>
    </r>
    <r>
      <rPr>
        <b/>
        <sz val="15"/>
        <rFont val="Calibri"/>
        <family val="2"/>
        <scheme val="minor"/>
      </rPr>
      <t xml:space="preserve">Modification possible en cas d'erreur par le porteur </t>
    </r>
  </si>
  <si>
    <t>CALCULS ET JUSTIFICATIFS</t>
  </si>
  <si>
    <t xml:space="preserve">MONTANT ÉCARTÉ </t>
  </si>
  <si>
    <t>Description de la contribution en nature</t>
  </si>
  <si>
    <t>Taux d'affectation à l'opération
(%)</t>
  </si>
  <si>
    <t>Valeur de la contribution</t>
  </si>
  <si>
    <t>Justificatif d'affectation à l'opération</t>
  </si>
  <si>
    <t>Justificatif de la valeur de la contribution</t>
  </si>
  <si>
    <t>Montant présenté</t>
  </si>
  <si>
    <t xml:space="preserve">Type de dépense </t>
  </si>
  <si>
    <t>(nature de la contribution apportée à l'opération.
Ex: terrain, bien immeuble, équipement…)</t>
  </si>
  <si>
    <t>(montant unitaire de la contribution en nature applicable en euro)</t>
  </si>
  <si>
    <t>(ex: attestation d’affectation du bien à l’opération…)</t>
  </si>
  <si>
    <t>(pour les terrains et biens immeubles: certificat d’un expert indépendant qualifié;
pour les services, biens d’équipement ou de matières premières: prix catalogue, devis, etc.)</t>
  </si>
  <si>
    <t>taux d'affectation à l'opération x Valeur de la contribution</t>
  </si>
  <si>
    <t>(vérification automatique de cohérence entre les montants présentés et ceux éligibles.
En cas d'anomalie, corriger le montant incohérent ou justifier le choix d'instruction.)</t>
  </si>
  <si>
    <t>main-d'œuvre exemple</t>
  </si>
  <si>
    <t>Bénévole projet</t>
  </si>
  <si>
    <t>Lettre de mission</t>
  </si>
  <si>
    <t>Justificatif</t>
  </si>
  <si>
    <t>main-d'œuvre</t>
  </si>
  <si>
    <t>bénévole</t>
  </si>
  <si>
    <t>lettre de mission</t>
  </si>
  <si>
    <t>Justificatif test</t>
  </si>
  <si>
    <t>XX test XX 77.07</t>
  </si>
  <si>
    <t xml:space="preserve">Présentation des frais de personnel </t>
  </si>
  <si>
    <t>Partie réservée à l'administration - Instruction des dépenses de frais de personnel</t>
  </si>
  <si>
    <r>
      <rPr>
        <b/>
        <sz val="25"/>
        <color rgb="FFFFC000"/>
        <rFont val="Calibri"/>
        <family val="2"/>
        <scheme val="minor"/>
      </rPr>
      <t xml:space="preserve">ÉTAPE 3 </t>
    </r>
    <r>
      <rPr>
        <b/>
        <sz val="25"/>
        <color theme="0"/>
        <rFont val="Calibri"/>
        <family val="2"/>
        <scheme val="minor"/>
      </rPr>
      <t>: COMMENTAIRES</t>
    </r>
  </si>
  <si>
    <t>PIÈCES JUSTIFICATIVES</t>
  </si>
  <si>
    <t>Description de l'intervention/de la mission</t>
  </si>
  <si>
    <t>Nom de l'intervenant</t>
  </si>
  <si>
    <t>Qualification de l'intervenant</t>
  </si>
  <si>
    <t xml:space="preserve">L'intervenant est-il directeur chercheur, ingénieur ou technicien ? </t>
  </si>
  <si>
    <t>Frais salariaux en euros sur la période de référence</t>
  </si>
  <si>
    <t>Taux d'affectation sur le projet</t>
  </si>
  <si>
    <t>Contrat de travail</t>
  </si>
  <si>
    <t>Justificatif des frais salariaux présenté</t>
  </si>
  <si>
    <t>Justificatif du taux d'affectation présenté</t>
  </si>
  <si>
    <t>Montant des frais salariaux liés à l'opération présentés</t>
  </si>
  <si>
    <t>Description de l'intervention</t>
  </si>
  <si>
    <t>(nature du travail ou de la mission à réaliser sur l'opération.
Ex : animation, gestion, études…)</t>
  </si>
  <si>
    <t>(prénom et nom de l'agent ou de l'employé prévu pour réaliser l'intervention)</t>
  </si>
  <si>
    <t>(intitulé du poste occupé au sein de la structure de rattachement)</t>
  </si>
  <si>
    <t>Attention : Montant des plafonds par type de fonction de l'argent : 
- Directeur chercheur : 92 000 €/ an (montant brut + charges patronnales)
- Ingénieur : 61 000 € / an (montant brut + charges patronnales)
- Technicien : 49 000 € /an (montant brut + charges patronnales)</t>
  </si>
  <si>
    <t>salaire brut</t>
  </si>
  <si>
    <t>charges patronales</t>
  </si>
  <si>
    <r>
      <t xml:space="preserve">Total 
</t>
    </r>
    <r>
      <rPr>
        <i/>
        <sz val="10"/>
        <color rgb="FFFF0000"/>
        <rFont val="Calibri"/>
        <family val="2"/>
        <scheme val="minor"/>
      </rPr>
      <t xml:space="preserve">Attention : les plafonds annuels suivants sont établis : 
- Ingénieur : 61 000 €
- Technicien : 49 000 €
En cas de dépassement, un retraitement sera effectué par le service instructeur </t>
    </r>
  </si>
  <si>
    <t>(% d'affectation du personnel au projet éligible au FEADER)</t>
  </si>
  <si>
    <t>(préciser la présence ou non du contrat de travail lié au personnel présenté)</t>
  </si>
  <si>
    <t>(fiche de paie, journal de paie, déclaration sociale nominative (DSN), ou document probant équivalent)</t>
  </si>
  <si>
    <t>(fiche de poste, lettre de mission, contrat de travail)</t>
  </si>
  <si>
    <t>(saisie automatique
base de calcul: frais salariaux*taux d'affectation)</t>
  </si>
  <si>
    <t>Salaire brut
(report automatique de la demande. Corriger les informations des cellules selon les modalités d'instruction)</t>
  </si>
  <si>
    <t>Charges patronales
(report automatique de la demande. Corriger les informations des cellules selon les modalités d'instruction)</t>
  </si>
  <si>
    <t>Total
Le plagonnement des frais de personnel est automatisé</t>
  </si>
  <si>
    <t>Test du projet pilote - action 1 - année 2025</t>
  </si>
  <si>
    <t>Céline DURAND</t>
  </si>
  <si>
    <t xml:space="preserve">Chargée de communication </t>
  </si>
  <si>
    <t>fiche de paie</t>
  </si>
  <si>
    <t>Agent recruté pour la mission</t>
  </si>
  <si>
    <t>Animation - action 1 - année 2022</t>
  </si>
  <si>
    <t>Conseil technique ateliers</t>
  </si>
  <si>
    <t>Chargée de mission</t>
  </si>
  <si>
    <t>Ingénieur</t>
  </si>
  <si>
    <t>Autre document probant</t>
  </si>
  <si>
    <t>TEST OK</t>
  </si>
  <si>
    <t>Test 2</t>
  </si>
  <si>
    <t>Test 1</t>
  </si>
  <si>
    <t>Test OK</t>
  </si>
  <si>
    <t>Dépenses couvertes par application d'une option de coûts simplifiés (OCS) - taux forfaitaire de 15% des frais de personnels éligibles pour couvrir les coûts indirects de l'opération</t>
  </si>
  <si>
    <t>Partie réservée à l'administration - Instruction des dépenses couvertes par application d'une option de coûts simplifiés  (OCS) - taux forfaitaire de 40% des frais de personnels éligibles</t>
  </si>
  <si>
    <r>
      <rPr>
        <b/>
        <sz val="25"/>
        <color rgb="FFFFC000"/>
        <rFont val="Calibri"/>
        <family val="2"/>
        <scheme val="minor"/>
      </rPr>
      <t xml:space="preserve">ÉTAPE 1  </t>
    </r>
    <r>
      <rPr>
        <b/>
        <sz val="25"/>
        <color theme="0"/>
        <rFont val="Calibri"/>
        <family val="2"/>
        <scheme val="minor"/>
      </rPr>
      <t xml:space="preserve">: CONTROLEZ LES INFORMATIONS CI-DESSOUS
</t>
    </r>
    <r>
      <rPr>
        <sz val="15"/>
        <color theme="0"/>
        <rFont val="Calibri"/>
        <family val="2"/>
        <scheme val="minor"/>
      </rPr>
      <t>Aucune action n'est attendue de votre part
1 ligne = 1 partenaire</t>
    </r>
    <r>
      <rPr>
        <b/>
        <sz val="15"/>
        <color theme="0"/>
        <rFont val="Calibri"/>
        <family val="2"/>
        <scheme val="minor"/>
      </rPr>
      <t xml:space="preserve">
</t>
    </r>
    <r>
      <rPr>
        <sz val="15"/>
        <color theme="0"/>
        <rFont val="Calibri"/>
        <family val="2"/>
        <scheme val="minor"/>
      </rPr>
      <t>Le montant de l'OCS est calculé en fonction des frais de personnel portés par chaque partenaire</t>
    </r>
  </si>
  <si>
    <r>
      <rPr>
        <b/>
        <sz val="25"/>
        <color rgb="FFFFC000"/>
        <rFont val="Calibri"/>
        <family val="2"/>
        <scheme val="minor"/>
      </rPr>
      <t xml:space="preserve">ÉTAPE 2 </t>
    </r>
    <r>
      <rPr>
        <b/>
        <sz val="25"/>
        <color theme="0"/>
        <rFont val="Calibri"/>
        <family val="2"/>
        <scheme val="minor"/>
      </rPr>
      <t>:  SÉLECTION DE L'OCS</t>
    </r>
  </si>
  <si>
    <r>
      <rPr>
        <b/>
        <sz val="25"/>
        <color rgb="FFFFC000"/>
        <rFont val="Calibri"/>
        <family val="2"/>
        <scheme val="minor"/>
      </rPr>
      <t xml:space="preserve">ÉTAPE 3 : </t>
    </r>
    <r>
      <rPr>
        <b/>
        <sz val="25"/>
        <color theme="0"/>
        <rFont val="Calibri"/>
        <family val="2"/>
        <scheme val="minor"/>
      </rPr>
      <t>COMMENTAIRES</t>
    </r>
  </si>
  <si>
    <t>COMMENTAIRES DU SERVICE INSTRUCTEUR</t>
  </si>
  <si>
    <t>CONTRÔLE BLOQUANT</t>
  </si>
  <si>
    <t xml:space="preserve">Nature des dépenses présentées servant de base de calcul </t>
  </si>
  <si>
    <t>Montant des dépenses présentées servant de base de calcul</t>
  </si>
  <si>
    <t>À titre informatif, montant de l'OCS calculé sur la base des dépenses présentées et par application du taux de 15%</t>
  </si>
  <si>
    <t>Souhaitez-vous bénéficier du taux forfaitaire de 15% pour les frais de personnels ?</t>
  </si>
  <si>
    <t xml:space="preserve">Montant de l'OCS sollicitée par le porteur </t>
  </si>
  <si>
    <t>Commentaire(s)</t>
  </si>
  <si>
    <t xml:space="preserve">Nature des dépenses servant de base de calcul </t>
  </si>
  <si>
    <t>Montant des dépenses retenues servant de base de calcul</t>
  </si>
  <si>
    <t>À titre informatif, montant de l'OCS calculé sur la base des dépenses retenues et par application du taux de 15%</t>
  </si>
  <si>
    <t>Sélection de l'OCS</t>
  </si>
  <si>
    <t>Montant de l'OCS instruite</t>
  </si>
  <si>
    <t>Rajoutez autant de lignes que nécessaires dans le cas où le projet compte plus de 10 partenaires</t>
  </si>
  <si>
    <t xml:space="preserve">(dépenses directes de personnel de l'opération)
</t>
  </si>
  <si>
    <t>(nom du type d'action sélectionnée automatiquement, en cohérence avec les éléments saisis dans l'onglet 0)</t>
  </si>
  <si>
    <t>(saisie automatique sur la base des informations déclarées dans les onglets précédents)</t>
  </si>
  <si>
    <t>(saisie automatique, par application du taux forfaitaire de 15% des frais de personnel directs éligibles afin de couvrir l’ensemble des autres coûts directs et indirects éligibles d’une opération)</t>
  </si>
  <si>
    <t>sélectionner Oui ou Non dans la liste déroulante</t>
  </si>
  <si>
    <t>(saisie automatique en fonction de si l'OCS a été sélectionnée)</t>
  </si>
  <si>
    <t>(toute précision pertinente le cas échéant pour la compréhension de l'action prévue...)</t>
  </si>
  <si>
    <t>(saisie automatique à modifier selon les modalités d'instruction)</t>
  </si>
  <si>
    <t>Frais de personnel</t>
  </si>
  <si>
    <t>Commentaires éventuels du service instructeur</t>
  </si>
  <si>
    <t>Contrôle bloquant réalisé automatiquemet</t>
  </si>
  <si>
    <t>test</t>
  </si>
  <si>
    <t>test XX</t>
  </si>
  <si>
    <t>Test 2 OK</t>
  </si>
  <si>
    <t xml:space="preserve">Total retenu </t>
  </si>
  <si>
    <t>Partie à remplir par le bénéficiaire - Présentation des dépenses de déplacement et d'hébergement</t>
  </si>
  <si>
    <t>Partie réservée à l'administration - Instruction des dépenses de déplacement et d'hébergement</t>
  </si>
  <si>
    <r>
      <t xml:space="preserve">1.3 Déplacement et hébergement
</t>
    </r>
    <r>
      <rPr>
        <b/>
        <u/>
        <sz val="14"/>
        <color theme="1"/>
        <rFont val="Calibri"/>
        <family val="2"/>
        <scheme val="minor"/>
      </rPr>
      <t>SONT ÉLIGIGBLES UNIQUEMENT LES FRAIS DE DÉPLACEMENT ET D'HÉBERGEMENT DES PARTENAIRES DIRECTEMENT LIÉS À L'OPÉRATION  (hors déplacement routier, les frais kilométriques et les frais de péage ne sont pas éligibles). A NOTER QU'UN CONTRÔLE DE PIÈCE SERA EFFECTUÉ À CETTE FIN.</t>
    </r>
    <r>
      <rPr>
        <b/>
        <sz val="14"/>
        <color theme="1"/>
        <rFont val="Calibri"/>
        <family val="2"/>
        <scheme val="minor"/>
      </rPr>
      <t xml:space="preserve">
Le caractère obligatoire du déplacement doit être justifié (ne pouvant pas donner lieu à des échanges en visioconférence ou dans le cadre de démonstrations).  
</t>
    </r>
    <r>
      <rPr>
        <b/>
        <u/>
        <sz val="14"/>
        <color theme="1"/>
        <rFont val="Calibri"/>
        <family val="2"/>
        <scheme val="minor"/>
      </rPr>
      <t>Frais de déplacement - modalité de prise en compte des dépenses AU RÉEL</t>
    </r>
    <r>
      <rPr>
        <b/>
        <sz val="14"/>
        <color theme="1"/>
        <rFont val="Calibri"/>
        <family val="2"/>
        <scheme val="minor"/>
      </rPr>
      <t xml:space="preserve">
Dépenses éligibles : Les transports aériens sur la base du coup d’un billet en classe économique ;  Les transports maritimes ;  Les frais de taxis, trains, transports publics ;  
Une pièce estimative comparative est nécessaire à partir d'un coût de 3 000€ HT et 2 pièces estimatives à partir de 90 000€ HT.
A noter que les réservations de billet d'avion et de train doivent être réalisés en classe économique.
</t>
    </r>
    <r>
      <rPr>
        <b/>
        <u/>
        <sz val="14"/>
        <color theme="1"/>
        <rFont val="Calibri"/>
        <family val="2"/>
        <scheme val="minor"/>
      </rPr>
      <t>Frais d'hébergement - modalité de prise en compte des dépenses COÛT UNITAIRE</t>
    </r>
    <r>
      <rPr>
        <b/>
        <sz val="14"/>
        <color theme="1"/>
        <rFont val="Calibri"/>
        <family val="2"/>
        <scheme val="minor"/>
      </rPr>
      <t xml:space="preserve">
Dépenses éligibles :  Les nuitées, les repas (en unité) et les frais kilométriques des déplacements routiers.
Les nuitées doivent être en corrélation avec le nombre de jours nécessaires à la mission. Les montants sont acceptés dans la limite de ceux précisés dans l’arrêté du 3 juillet 2006 fixant les taux des indemnités de mission prévues à l'article 3 du décret n° 2006-781 du 3 juillet 2006 fixant les conditions et les modalités de règlement des frais occasionnés par les déplacements temporaires des personnels civils de l'Etat.
</t>
    </r>
    <r>
      <rPr>
        <b/>
        <u/>
        <sz val="14"/>
        <color theme="1"/>
        <rFont val="Calibri"/>
        <family val="2"/>
        <scheme val="minor"/>
      </rPr>
      <t xml:space="preserve">Consignes d'utilisation : </t>
    </r>
    <r>
      <rPr>
        <b/>
        <sz val="14"/>
        <color theme="1"/>
        <rFont val="Calibri"/>
        <family val="2"/>
        <scheme val="minor"/>
      </rPr>
      <t xml:space="preserve">
</t>
    </r>
    <r>
      <rPr>
        <sz val="14"/>
        <color theme="1"/>
        <rFont val="Calibri"/>
        <family val="2"/>
        <scheme val="minor"/>
      </rPr>
      <t>Dépenses au réel : Ne pas raisonner à l'unité mais au besoin réel. (Exemple : Présenter une ligne de dépense du prix  billets d'avion aller/retour pour 5 personnes)
Dépenses en coût unitaire : A partir du tableau à droite, rentrer manuellement le barème adapté et le nombre d'unités dans les cellules associées.</t>
    </r>
  </si>
  <si>
    <r>
      <t xml:space="preserve"> </t>
    </r>
    <r>
      <rPr>
        <b/>
        <u/>
        <sz val="14"/>
        <color theme="1"/>
        <rFont val="Calibri"/>
        <family val="2"/>
        <scheme val="minor"/>
      </rPr>
      <t>Taux des indemnités de mission prévues à l'article 3 du décret n° 2006-781 du 3 juillet 2006 fixant les conditions et les modalités de règlement des frais occasionnés par les déplacements temporaires des personnels civils de l'Etat.</t>
    </r>
    <r>
      <rPr>
        <b/>
        <sz val="14"/>
        <color theme="1"/>
        <rFont val="Calibri"/>
        <family val="2"/>
        <scheme val="minor"/>
      </rPr>
      <t xml:space="preserve">
Martinique, Guadeloupe, Guyane, La Réunion, Mayotte, Saint-Barthélemy, Saint-Pierre-et-Miquelon, Saint-Martin 
Hébergement (70€ par nuit), Déjeuner/dîner (15,75 € par repas)
Nouvelle-Calédonie, îles Wallis et Futuna, Polynésie française
Hébergement (90€ par nuit),  Déjeuner/dîner (21€ par repas)
France métropolitaine hors métropole du Grand Paris et Paris
Hébergement (70€ par nuit), Déjeuner/dîner (15,25€ par repas)
Métropole du Grand Paris
Hébergement (90€ par nuit), Déjeuner/dîner (15,25€ par repas)
Paris 
Hébergement (110€ par nuit), Déjeuner/dîner (15,25€ par repas)
</t>
    </r>
    <r>
      <rPr>
        <b/>
        <u/>
        <sz val="14"/>
        <color theme="1"/>
        <rFont val="Calibri"/>
        <family val="2"/>
        <scheme val="minor"/>
      </rPr>
      <t>Barème kilométrique</t>
    </r>
    <r>
      <rPr>
        <b/>
        <sz val="14"/>
        <color theme="1"/>
        <rFont val="Calibri"/>
        <family val="2"/>
        <scheme val="minor"/>
      </rPr>
      <t xml:space="preserve"> (0,32 € par kilomètre en Métropole, Martinique, Guadeloupe, Guyane, La Réunion, Mayotte, Saint-Barthélemy, Saint-Martin, Saint-Pierre-et-Miquelon jusqu'à 2000 kilomètres)</t>
    </r>
  </si>
  <si>
    <r>
      <rPr>
        <b/>
        <sz val="25"/>
        <color rgb="FFFFC000"/>
        <rFont val="Calibri"/>
        <family val="2"/>
        <scheme val="minor"/>
      </rPr>
      <t xml:space="preserve">ÉTAPE 2 </t>
    </r>
    <r>
      <rPr>
        <b/>
        <sz val="25"/>
        <color theme="0"/>
        <rFont val="Calibri"/>
        <family val="2"/>
        <scheme val="minor"/>
      </rPr>
      <t xml:space="preserve">:  DÉPENSES PRÉSENTÉES </t>
    </r>
    <r>
      <rPr>
        <b/>
        <u/>
        <sz val="25"/>
        <color theme="0"/>
        <rFont val="Calibri"/>
        <family val="2"/>
        <scheme val="minor"/>
      </rPr>
      <t>AU RÉEL</t>
    </r>
    <r>
      <rPr>
        <b/>
        <sz val="25"/>
        <color theme="0"/>
        <rFont val="Calibri"/>
        <family val="2"/>
        <scheme val="minor"/>
      </rPr>
      <t xml:space="preserve">
</t>
    </r>
    <r>
      <rPr>
        <i/>
        <sz val="16"/>
        <color theme="0"/>
        <rFont val="Calibri"/>
        <family val="2"/>
        <scheme val="minor"/>
      </rPr>
      <t xml:space="preserve"> Consultez le guide du porteur pour toute information sur le fonctionnement des frais de déplacement et d'hébergement</t>
    </r>
  </si>
  <si>
    <r>
      <rPr>
        <b/>
        <sz val="25"/>
        <color rgb="FFFFC000"/>
        <rFont val="Calibri"/>
        <family val="2"/>
        <scheme val="minor"/>
      </rPr>
      <t>ÉTAPE 3 :</t>
    </r>
    <r>
      <rPr>
        <b/>
        <sz val="25"/>
        <color theme="0"/>
        <rFont val="Calibri"/>
        <family val="2"/>
        <scheme val="minor"/>
      </rPr>
      <t xml:space="preserve"> DÉPENSES PAR </t>
    </r>
    <r>
      <rPr>
        <b/>
        <u/>
        <sz val="25"/>
        <color theme="0"/>
        <rFont val="Calibri"/>
        <family val="2"/>
        <scheme val="minor"/>
      </rPr>
      <t>COÛTS UNITAIRES</t>
    </r>
    <r>
      <rPr>
        <b/>
        <sz val="15"/>
        <color theme="0"/>
        <rFont val="Calibri"/>
        <family val="2"/>
        <scheme val="minor"/>
      </rPr>
      <t xml:space="preserve">
</t>
    </r>
    <r>
      <rPr>
        <i/>
        <sz val="15"/>
        <color theme="0"/>
        <rFont val="Calibri"/>
        <family val="2"/>
        <scheme val="minor"/>
      </rPr>
      <t>Consultez le guide du porteur pour toute information sur les OCS</t>
    </r>
  </si>
  <si>
    <r>
      <t xml:space="preserve">REPORT DES INFORMATIONS DU PORTEUR 
</t>
    </r>
    <r>
      <rPr>
        <b/>
        <sz val="15"/>
        <rFont val="Calibri"/>
        <family val="2"/>
        <scheme val="minor"/>
      </rPr>
      <t xml:space="preserve">Modification possible en cas d'erreur par le porteur </t>
    </r>
  </si>
  <si>
    <r>
      <t xml:space="preserve">DÉPENSES DE DÉPLACEMENT 
</t>
    </r>
    <r>
      <rPr>
        <b/>
        <sz val="15"/>
        <rFont val="Calibri"/>
        <family val="2"/>
        <scheme val="minor"/>
      </rPr>
      <t>Prise en compte au réel</t>
    </r>
  </si>
  <si>
    <r>
      <t xml:space="preserve">FRAIS D'HÉBERGEMENT
</t>
    </r>
    <r>
      <rPr>
        <b/>
        <sz val="15"/>
        <rFont val="Calibri"/>
        <family val="2"/>
        <scheme val="minor"/>
      </rPr>
      <t>Prise en compte par OCS</t>
    </r>
  </si>
  <si>
    <t>MONTANT ÉLIGIBLE TOTAL</t>
  </si>
  <si>
    <t xml:space="preserve"> COMMENTAIRES DU SERVICE INSTRUCTEUR </t>
  </si>
  <si>
    <t>Destination</t>
  </si>
  <si>
    <t>INFORMATIONS SUR LE DÉPLACEMENT</t>
  </si>
  <si>
    <t>CHOIX DU DEVIS</t>
  </si>
  <si>
    <t>CALCULS AUTOMATIQUES POUR LES DÉPENSES DE DÉPLACEMENT</t>
  </si>
  <si>
    <t>INFORMATIONS SUR LES DÉPENSES D'HÉBERGEMENT ET DÉPLACEMENT ROUTIER</t>
  </si>
  <si>
    <t>CALCUL AUTOMATIQUE POUR LES DÉPENSES D'HÉBERGEMENT</t>
  </si>
  <si>
    <t xml:space="preserve">Martinique, Guadeloupe, Guyane, La Réunion, Mayotte, Saint-Barthélemy, Saint-Pierre-et-Miquelon, Saint-Martin </t>
  </si>
  <si>
    <t>Les personnes concernées par ces frais font-elles partie du personnel d'un partenaire ?</t>
  </si>
  <si>
    <t>Le marché est-il lancé en date du  pré-dépôt ou dépôt de la demande d'aide ?</t>
  </si>
  <si>
    <t>Dénomination du fournisseur retenu / prestataire retenu</t>
  </si>
  <si>
    <t>Référence du devis retenu / justificatif retenu</t>
  </si>
  <si>
    <t>Date du devis retenu / justificatif retenu</t>
  </si>
  <si>
    <t>Montant HT du Devis 1</t>
  </si>
  <si>
    <t>Montant TVA du Devis 1</t>
  </si>
  <si>
    <t>Montant TTC du Devis 1</t>
  </si>
  <si>
    <t>Montant HT du devis contradictoire
Devis 2</t>
  </si>
  <si>
    <t>Montant TVA du devis ccontradictoire
Devis 2</t>
  </si>
  <si>
    <t>Montant TTC du devis ccontradictoire
Devis 2</t>
  </si>
  <si>
    <t>Montant présenté HT</t>
  </si>
  <si>
    <t>Montant présenté TVA</t>
  </si>
  <si>
    <t>Montant présenté TTC</t>
  </si>
  <si>
    <t>Destination du déplacement</t>
  </si>
  <si>
    <r>
      <rPr>
        <b/>
        <sz val="11"/>
        <color theme="5"/>
        <rFont val="Calibri"/>
        <family val="2"/>
        <scheme val="minor"/>
      </rPr>
      <t>BARÈME KILOMÉTRIQUES</t>
    </r>
    <r>
      <rPr>
        <b/>
        <sz val="11"/>
        <rFont val="Calibri"/>
        <family val="2"/>
        <scheme val="minor"/>
      </rPr>
      <t xml:space="preserve">
Nombre de km</t>
    </r>
  </si>
  <si>
    <r>
      <rPr>
        <b/>
        <sz val="11"/>
        <color theme="5"/>
        <rFont val="Calibri"/>
        <family val="2"/>
        <scheme val="minor"/>
      </rPr>
      <t>BARÈME KILOMÉTRIQUES</t>
    </r>
    <r>
      <rPr>
        <b/>
        <sz val="11"/>
        <rFont val="Calibri"/>
        <family val="2"/>
        <scheme val="minor"/>
      </rPr>
      <t xml:space="preserve">
Montant unitaire</t>
    </r>
  </si>
  <si>
    <r>
      <rPr>
        <b/>
        <sz val="11"/>
        <color rgb="FF227A56"/>
        <rFont val="Calibri"/>
        <family val="2"/>
        <scheme val="minor"/>
      </rPr>
      <t>NUITÉES</t>
    </r>
    <r>
      <rPr>
        <b/>
        <sz val="11"/>
        <rFont val="Calibri"/>
        <family val="2"/>
        <scheme val="minor"/>
      </rPr>
      <t xml:space="preserve">
Montant unitaire</t>
    </r>
  </si>
  <si>
    <r>
      <rPr>
        <b/>
        <sz val="11"/>
        <color rgb="FF227A56"/>
        <rFont val="Calibri"/>
        <family val="2"/>
        <scheme val="minor"/>
      </rPr>
      <t>NUITÉES</t>
    </r>
    <r>
      <rPr>
        <b/>
        <sz val="11"/>
        <rFont val="Calibri"/>
        <family val="2"/>
        <scheme val="minor"/>
      </rPr>
      <t xml:space="preserve">
Nombre d'unités</t>
    </r>
  </si>
  <si>
    <r>
      <rPr>
        <b/>
        <sz val="11"/>
        <color rgb="FFF5903D"/>
        <rFont val="Calibri"/>
        <family val="2"/>
        <scheme val="minor"/>
      </rPr>
      <t>REPAS</t>
    </r>
    <r>
      <rPr>
        <b/>
        <sz val="11"/>
        <rFont val="Calibri"/>
        <family val="2"/>
        <scheme val="minor"/>
      </rPr>
      <t xml:space="preserve">
Montant unitaire</t>
    </r>
  </si>
  <si>
    <r>
      <rPr>
        <b/>
        <sz val="11"/>
        <color rgb="FFF5903D"/>
        <rFont val="Calibri"/>
        <family val="2"/>
        <scheme val="minor"/>
      </rPr>
      <t>REPAS</t>
    </r>
    <r>
      <rPr>
        <b/>
        <sz val="11"/>
        <rFont val="Calibri"/>
        <family val="2"/>
        <scheme val="minor"/>
      </rPr>
      <t xml:space="preserve">
Nombre d'unités</t>
    </r>
  </si>
  <si>
    <t>Montant des frais COÛT UNITAIRE total présenté</t>
  </si>
  <si>
    <t>Montant présenté total des frais de déplacement &amp; hébergement</t>
  </si>
  <si>
    <t>(le cas échéant, pour préciser un point saillant au Service Instructeur ex: Si le devis présenté n'est pas le moins cher expliquer obligatoirement le choix)</t>
  </si>
  <si>
    <t>Le marché est-il lancé en date du dépôt de la demande d'aide ?</t>
  </si>
  <si>
    <t xml:space="preserve">Montant raisonnable maximal HT </t>
  </si>
  <si>
    <t xml:space="preserve">Montant raisonnable maximal TVA </t>
  </si>
  <si>
    <t xml:space="preserve">Montant raisonnable maximal TTC </t>
  </si>
  <si>
    <t>Montant éligible retenu HT</t>
  </si>
  <si>
    <t>Montant éligible retenu TVA</t>
  </si>
  <si>
    <t>Montant éligible retenu TTC</t>
  </si>
  <si>
    <t>BARÈME KILOMÉTRIQUES
Montant unitaire</t>
  </si>
  <si>
    <t>BARÈME KILOMÉTRIQUES
Nombre de km</t>
  </si>
  <si>
    <t>NUITÉES
Montant unitaire</t>
  </si>
  <si>
    <t>NUITÉES
Nombre d'unités</t>
  </si>
  <si>
    <t>REPAS
Montant unitaire</t>
  </si>
  <si>
    <t>REPAS
Nombre d'unités</t>
  </si>
  <si>
    <t>Montant des frais COÛT UNIAIRE total présenté</t>
  </si>
  <si>
    <t>Montant éligible retenu total des frais de déplacement &amp; hébergement 
(saisie automatique à corriger selon les modalités d'instruction)</t>
  </si>
  <si>
    <t>Contrôle bloquant, vérification et traçage sur les montants AU RÉEL</t>
  </si>
  <si>
    <t>Contrôle bloquant, vérification et traçage sur les montants COÛT UNITAIRE</t>
  </si>
  <si>
    <t>Nouvelle-Calédonie, îles Wallis et Futuna, Polynésie française</t>
  </si>
  <si>
    <t>Sélectionner OUI ou NON dans le menu déroulant.
Cette condition sera contrôlée. Exemple : contrat de travail.</t>
  </si>
  <si>
    <r>
      <t xml:space="preserve">Pas de marché public / Marché à procédure adaptée (MAPA) / Marché innovant / Marché à procédure formalisée
</t>
    </r>
    <r>
      <rPr>
        <i/>
        <sz val="10"/>
        <rFont val="Calibri"/>
        <family val="2"/>
        <scheme val="minor"/>
      </rPr>
      <t>(menu déroulant)</t>
    </r>
  </si>
  <si>
    <r>
      <rPr>
        <sz val="10"/>
        <rFont val="Calibri"/>
        <family val="2"/>
        <scheme val="minor"/>
      </rPr>
      <t>Oui / Non / Non concerné</t>
    </r>
    <r>
      <rPr>
        <i/>
        <sz val="10"/>
        <rFont val="Calibri"/>
        <family val="2"/>
        <scheme val="minor"/>
      </rPr>
      <t xml:space="preserve">
(menu déroulant)</t>
    </r>
  </si>
  <si>
    <r>
      <t xml:space="preserve">nom de l'entreprise / de la structure émettrice du devis ou du justificatif de la dépense </t>
    </r>
    <r>
      <rPr>
        <u/>
        <sz val="10"/>
        <rFont val="Calibri"/>
        <family val="2"/>
        <scheme val="minor"/>
      </rPr>
      <t>retenue</t>
    </r>
  </si>
  <si>
    <r>
      <t xml:space="preserve">(information présente sur le justificatif </t>
    </r>
    <r>
      <rPr>
        <i/>
        <u/>
        <sz val="10"/>
        <rFont val="Calibri"/>
        <family val="2"/>
        <scheme val="minor"/>
      </rPr>
      <t>retenu</t>
    </r>
    <r>
      <rPr>
        <i/>
        <sz val="10"/>
        <rFont val="Calibri"/>
        <family val="2"/>
        <scheme val="minor"/>
      </rPr>
      <t>.
Ex: numéro de devis, date de la capture d'écran, numéro de lot si marché public...)</t>
    </r>
  </si>
  <si>
    <t>montant hors taxes du devis, en euros</t>
  </si>
  <si>
    <t>(renseigner la TVA applicable en euros, uniquement si non déduite ou non compensée. Une attestation d’absence de récupération de la TVA est alors à fournir en appui de la demande d’aide.)</t>
  </si>
  <si>
    <t>Indiquer la destination du déplacement</t>
  </si>
  <si>
    <t>Nombre de /kilomètres à indiquer par le bénéficiaire</t>
  </si>
  <si>
    <t>Calcul automatique sur la base du barème siuvant : 0,32€/km</t>
  </si>
  <si>
    <t>Calcul automatique</t>
  </si>
  <si>
    <t>Nombre de nuits à indiquer par le bénéficiaire</t>
  </si>
  <si>
    <t>Nombre de déjeuners/dîners à indiquer par le bénéficiaire</t>
  </si>
  <si>
    <t>(saisie automatique, par application des coûts unitaires)</t>
  </si>
  <si>
    <t>(saisir Oui ; Non ou Non concerné dans le menu déroulant)</t>
  </si>
  <si>
    <t>(saisie automatique à corriger selon les modalités d'instruction en particulier en plafonnant les montants si nécessaire)</t>
  </si>
  <si>
    <t>(saisie automatique, par application des coûts unitaires à corriger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</si>
  <si>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si le montant retenu est supérieur au montant raisonnable expliquer obligatoirement le choix…)</t>
  </si>
  <si>
    <t>France métropolitaine hors métropole du Grand Paris et Paris</t>
  </si>
  <si>
    <t>Billet avion aller-retour de Pointe-à-Pitre vers Ville X (Pays X)</t>
  </si>
  <si>
    <t>Non Concerné</t>
  </si>
  <si>
    <t>Sky Plus</t>
  </si>
  <si>
    <t>SP4346787</t>
  </si>
  <si>
    <t>22/02/2025</t>
  </si>
  <si>
    <t>Métropole du Grand Paris</t>
  </si>
  <si>
    <t>Diffusion résultats</t>
  </si>
  <si>
    <t xml:space="preserve"> OK : Montant instruit inférieur au montant raisonnable.</t>
  </si>
  <si>
    <t>OK</t>
  </si>
  <si>
    <t xml:space="preserve">Voyage d'étude à Point-à-Pitre en avion aller/retour, 2 nuits et 6 repas. </t>
  </si>
  <si>
    <t>TEST 1</t>
  </si>
  <si>
    <t>TEST 2</t>
  </si>
  <si>
    <t>TEST 3</t>
  </si>
  <si>
    <t xml:space="preserve">TEST </t>
  </si>
  <si>
    <t xml:space="preserve">Paris </t>
  </si>
  <si>
    <t>Total écarté</t>
  </si>
  <si>
    <t>Certifié exact et sincère, le (date) :</t>
  </si>
  <si>
    <t>Nom, prénom et qualité du représentant du chef de file :</t>
  </si>
  <si>
    <t>Cachet et signature :</t>
  </si>
  <si>
    <t>Partie à remplir par le bénéficiaire - Présentation des coûts de participation des agriculteurs au projet</t>
  </si>
  <si>
    <t xml:space="preserve">Partie réservée à l'administration - Instruction des coûts de participation agriculteurs </t>
  </si>
  <si>
    <t>1.5 Coûts de participation des agriculteurs</t>
  </si>
  <si>
    <t>Le temps passé aux expérimentations est limité à 35h par semaine est doit être justifié par des protocoles d'expérimentation ou autres justificatifs.</t>
  </si>
  <si>
    <t>[A] SMIC horaire brut  au 01/01/2026 = 12,02 €. Le SMIC est normalement revalorisé au 1er janvier de chaque année.
[B] Le forfait applicable pour le trajet domicile &lt;-&gt; lieu de la réunion est de 20€ par jour par aller/retour.
[C] Forfait de 17,70 € par repas.</t>
  </si>
  <si>
    <r>
      <rPr>
        <b/>
        <sz val="25"/>
        <color rgb="FFFFC000"/>
        <rFont val="Calibri"/>
        <family val="2"/>
        <scheme val="minor"/>
      </rPr>
      <t xml:space="preserve">ÉTAPE 2 </t>
    </r>
    <r>
      <rPr>
        <b/>
        <sz val="25"/>
        <color theme="0"/>
        <rFont val="Calibri"/>
        <family val="2"/>
        <scheme val="minor"/>
      </rPr>
      <t>:  DÉTAIL DE LA PARTICIPATION</t>
    </r>
  </si>
  <si>
    <t>CALCUL AUTO</t>
  </si>
  <si>
    <r>
      <rPr>
        <b/>
        <sz val="25"/>
        <color rgb="FFFFC000"/>
        <rFont val="Calibri"/>
        <family val="2"/>
        <scheme val="minor"/>
      </rPr>
      <t xml:space="preserve">ÉTAPE 3 : </t>
    </r>
    <r>
      <rPr>
        <b/>
        <sz val="25"/>
        <color theme="0"/>
        <rFont val="Calibri"/>
        <family val="2"/>
        <scheme val="minor"/>
      </rPr>
      <t xml:space="preserve">JUSTIFICATIFS </t>
    </r>
  </si>
  <si>
    <t>REPORT DÉTAIL DE LA PARTICIPATION</t>
  </si>
  <si>
    <t>MONTANT ÉLIGIBLE</t>
  </si>
  <si>
    <t>MONTANT ÉLIGIBLE RETENU TOTAL</t>
  </si>
  <si>
    <t>TEMPS PASSÉ</t>
  </si>
  <si>
    <t>DÉPLACEMENTS</t>
  </si>
  <si>
    <t>RESTAURATION</t>
  </si>
  <si>
    <t>FRAIS D'HÉBERGEMENT
Prise en compte par OCS</t>
  </si>
  <si>
    <t>Type de participation</t>
  </si>
  <si>
    <t>Nombre d'agriculteurs</t>
  </si>
  <si>
    <t>Coût horaire</t>
  </si>
  <si>
    <t>Nombre d'heures de la participation</t>
  </si>
  <si>
    <t>Sous-total frais du temps passé</t>
  </si>
  <si>
    <t>Nombre d'allers-retours domicile &lt;-&gt; lieu de la participation</t>
  </si>
  <si>
    <t xml:space="preserve">Sous-total frais de déplacement </t>
  </si>
  <si>
    <t>Nombre de repas pour la participation</t>
  </si>
  <si>
    <t>Sous-total frais de restauration</t>
  </si>
  <si>
    <t>Montant total présenté</t>
  </si>
  <si>
    <t>Justificatifs de la participation des agriculteurs</t>
  </si>
  <si>
    <t>Montant retenu</t>
  </si>
  <si>
    <t>(choisir une des propositions de la liste déroulante)</t>
  </si>
  <si>
    <t>(SMIC horaire en vigueur, voir encart ci-dessous [A])</t>
  </si>
  <si>
    <t>(saisir le nombre total d'heures de participation tous agriculteurs participants confondus)</t>
  </si>
  <si>
    <t>coût horaire x nombre d'heures de la participation</t>
  </si>
  <si>
    <t>(saisir le nombre total d'allers-retours tous agriculteurs participants confondus)</t>
  </si>
  <si>
    <t>nombre d'aller-retour domicile &lt;-&gt; lieu de la réunion x 20 €
(voir encart ci-dessous [B])</t>
  </si>
  <si>
    <t>(saisir le nombre total de repas tous agriculteurs participants confondus)</t>
  </si>
  <si>
    <t>nombre de repas x 17,70 €
(voir encart ci-dessous [C])</t>
  </si>
  <si>
    <t>Sous-total frais du temps passé + Sous-total frais de déplacement + Sous-total frais de restauration</t>
  </si>
  <si>
    <t>(exemple: invitation au séminaire, programme de la journée technique, protocole expérimental, etc.)</t>
  </si>
  <si>
    <t>Projets groupes opérationnels</t>
  </si>
  <si>
    <t>Séminaire</t>
  </si>
  <si>
    <t>Test projet</t>
  </si>
  <si>
    <t>Programme de la journée technique</t>
  </si>
  <si>
    <t>Total</t>
  </si>
  <si>
    <r>
      <t xml:space="preserve">Tableau récapitulatif des dépenses prévisionnelles de l'opération
</t>
    </r>
    <r>
      <rPr>
        <sz val="14"/>
        <rFont val="Calibri"/>
        <family val="2"/>
      </rPr>
      <t xml:space="preserve">Données à titre informatif ne valant ni promesse d'attribution de l'aide, ni contractualisation des montants indiqués
</t>
    </r>
  </si>
  <si>
    <r>
      <rPr>
        <b/>
        <sz val="14"/>
        <color rgb="FFFFC000"/>
        <rFont val="Calibri"/>
        <family val="2"/>
        <scheme val="minor"/>
      </rPr>
      <t>ÉTAPE 1.</t>
    </r>
    <r>
      <rPr>
        <b/>
        <sz val="14"/>
        <color theme="0"/>
        <rFont val="Calibri"/>
        <family val="2"/>
        <scheme val="minor"/>
      </rPr>
      <t xml:space="preserve"> CONTRÔLE DES MONTANTS PRÉSENTÉS
</t>
    </r>
    <r>
      <rPr>
        <sz val="14"/>
        <color theme="0"/>
        <rFont val="Calibri"/>
        <family val="2"/>
        <scheme val="minor"/>
      </rPr>
      <t>Vérifiez que les informations ci-dessous sont conformes aux dépenses présentées dans les onglets précédents</t>
    </r>
  </si>
  <si>
    <r>
      <rPr>
        <b/>
        <sz val="14"/>
        <color rgb="FFFFC000"/>
        <rFont val="Calibri"/>
        <family val="2"/>
        <scheme val="minor"/>
      </rPr>
      <t xml:space="preserve">ÉTAPE 2 :  </t>
    </r>
    <r>
      <rPr>
        <b/>
        <sz val="14"/>
        <color theme="0"/>
        <rFont val="Calibri"/>
        <family val="2"/>
        <scheme val="minor"/>
      </rPr>
      <t xml:space="preserve">COMPLÉTER LES INFORMATIONS 
</t>
    </r>
    <r>
      <rPr>
        <sz val="14"/>
        <color theme="0"/>
        <rFont val="Calibri"/>
        <family val="2"/>
        <scheme val="minor"/>
      </rPr>
      <t xml:space="preserve">Compléter les cellules blanches ci-dessous </t>
    </r>
  </si>
  <si>
    <r>
      <rPr>
        <b/>
        <sz val="14"/>
        <color rgb="FFFFC000"/>
        <rFont val="Calibri"/>
        <family val="2"/>
        <scheme val="minor"/>
      </rPr>
      <t>ÉTAPE 3.</t>
    </r>
    <r>
      <rPr>
        <b/>
        <sz val="14"/>
        <color theme="0"/>
        <rFont val="Calibri"/>
        <family val="2"/>
        <scheme val="minor"/>
      </rPr>
      <t xml:space="preserve"> SAISIR SUR EUROPAC
</t>
    </r>
    <r>
      <rPr>
        <sz val="14"/>
        <color theme="0"/>
        <rFont val="Calibri"/>
        <family val="2"/>
        <scheme val="minor"/>
      </rPr>
      <t>Reportez les informations financières ci-dessous dans l'onglet « Dépenses prévisionnelles » de Europac</t>
    </r>
  </si>
  <si>
    <t>SYNTHÈSE DES DÉPENSES PRÉSENTÉES</t>
  </si>
  <si>
    <r>
      <t xml:space="preserve">Montant du financeur </t>
    </r>
    <r>
      <rPr>
        <b/>
        <u/>
        <sz val="14"/>
        <color rgb="FFFF0000"/>
        <rFont val="Calibri"/>
        <family val="2"/>
      </rPr>
      <t xml:space="preserve">public </t>
    </r>
    <r>
      <rPr>
        <b/>
        <sz val="14"/>
        <rFont val="Calibri"/>
        <family val="2"/>
      </rPr>
      <t>autre que FEADER/Région, le cas échéant</t>
    </r>
  </si>
  <si>
    <t>Identité du/des financeur(s) public(s) autre(s) que FEADER/Région, justificatif présenté</t>
  </si>
  <si>
    <t>Le financement public autre que FEADER/Région est-il obtenu en date du dépôt de la demande d'aide ?</t>
  </si>
  <si>
    <r>
      <t xml:space="preserve">Montant du financeur </t>
    </r>
    <r>
      <rPr>
        <b/>
        <u/>
        <sz val="14"/>
        <color rgb="FFFF0000"/>
        <rFont val="Calibri"/>
        <family val="2"/>
      </rPr>
      <t>privé</t>
    </r>
    <r>
      <rPr>
        <b/>
        <u/>
        <sz val="14"/>
        <rFont val="Calibri"/>
        <family val="2"/>
      </rPr>
      <t>,</t>
    </r>
    <r>
      <rPr>
        <b/>
        <sz val="14"/>
        <rFont val="Calibri"/>
        <family val="2"/>
      </rPr>
      <t xml:space="preserve"> le cas échéant</t>
    </r>
  </si>
  <si>
    <t>Identité du/des financeur(s) privé(s)</t>
  </si>
  <si>
    <t>Le financement privé est-il obtenu en date du dépôt de la demande d'aide ?</t>
  </si>
  <si>
    <t>Total général = coût global du projet</t>
  </si>
  <si>
    <t>Montant FEADER</t>
  </si>
  <si>
    <t>Synthèse de l'opération
(donnée à titre informatif ne valant ni promesse d'attribution de l'aide, ni contractualisation des montants indiqués)</t>
  </si>
  <si>
    <t>Ventilation par poste de dépense</t>
  </si>
  <si>
    <t>Ventilation par type d'action</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</si>
  <si>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</si>
  <si>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</si>
  <si>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Total des ressources prévisionnelles</t>
  </si>
  <si>
    <t>Financement privé (Montant de l'apport et du financement externe d'origine privée nécessaire)</t>
  </si>
  <si>
    <t>Montant total HT</t>
  </si>
  <si>
    <t>Montant TVA</t>
  </si>
  <si>
    <t>Montant TTC</t>
  </si>
  <si>
    <t>Investissements matériels et immatériels</t>
  </si>
  <si>
    <t>Amortissements</t>
  </si>
  <si>
    <t>Contributions en nature</t>
  </si>
  <si>
    <t>TF Coûts indirects</t>
  </si>
  <si>
    <t>Déplacements &amp; hébergement</t>
  </si>
  <si>
    <t>Coûts participation agriculteurs</t>
  </si>
  <si>
    <t>Département</t>
  </si>
  <si>
    <t>Montant d'aide publique nationale : Financement public hors PSR (FEADER)</t>
  </si>
  <si>
    <t xml:space="preserve">Financement du demandeur public </t>
  </si>
  <si>
    <t>Région</t>
  </si>
  <si>
    <t>Département (le cas échéant)</t>
  </si>
  <si>
    <t xml:space="preserve">Autres </t>
  </si>
  <si>
    <t>Pour information uniquement
(donnée à titre informatif ne valant ni promesse d'attribution de l'aide, ni contractualisation des montants indiqués)</t>
  </si>
  <si>
    <t>POINT D'ELIGIBILITE BLOQUANT</t>
  </si>
  <si>
    <t>CONTRÔLE DE LA RÈGLE DE NON PROFIT</t>
  </si>
  <si>
    <r>
      <rPr>
        <b/>
        <sz val="14"/>
        <color rgb="FF000000"/>
        <rFont val="Calibri"/>
        <family val="2"/>
        <scheme val="minor"/>
      </rPr>
      <t xml:space="preserve">Montant maxmimum des dépenses présentées : 500 000 € HT
</t>
    </r>
    <r>
      <rPr>
        <b/>
        <sz val="14"/>
        <color rgb="FFFF0000"/>
        <rFont val="Calibri"/>
        <family val="2"/>
        <scheme val="minor"/>
      </rPr>
      <t>Attention : le respect de ce montant maximum est une condition d'éligibilité des dépenses du projet. Si dépassé, le total des dépenses présentées dans le tableau de contrôle affichera 0</t>
    </r>
  </si>
  <si>
    <t xml:space="preserve">La règle de non-profit est-elle respectée ? 
Cette règle signifie que la somme des financements pour l'opération présentée ne dépasse pas le coût total de cette dernière. </t>
  </si>
  <si>
    <t>Plafond de la règle de non-profit</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</si>
  <si>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</si>
  <si>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Calcul du montant d'aide public </t>
  </si>
  <si>
    <t>Financement UE</t>
  </si>
  <si>
    <t>Cofinancement part nationale</t>
  </si>
  <si>
    <t>Charge du bénéficiaire</t>
  </si>
  <si>
    <t>Dépenses présentées</t>
  </si>
  <si>
    <t>Dépenses présentées après application des RIF</t>
  </si>
  <si>
    <t>Part du type d'action sur le total des dépenses présentées (en %)</t>
  </si>
  <si>
    <t>Taux d'Aide Publique (TAP) réglementaire du dispositif, équivalent au Taux Maximum d'Aide Publique (TMAP) le cas échéant avant contrôle de la règle de non-profit</t>
  </si>
  <si>
    <r>
      <t xml:space="preserve">Montant d'aide calculé d'après le TMAP et </t>
    </r>
    <r>
      <rPr>
        <b/>
        <sz val="14"/>
        <color rgb="FFFF0000"/>
        <rFont val="Calibri"/>
        <family val="2"/>
      </rPr>
      <t>avant</t>
    </r>
    <r>
      <rPr>
        <b/>
        <sz val="14"/>
        <rFont val="Calibri"/>
        <family val="2"/>
      </rPr>
      <t xml:space="preserve"> vérification du montant de la règle de non-profit</t>
    </r>
  </si>
  <si>
    <t>Part de l'aide publique avant vérification de la règle de non profit par type d'action (en %)</t>
  </si>
  <si>
    <r>
      <t xml:space="preserve">Montant d'aide publique </t>
    </r>
    <r>
      <rPr>
        <b/>
        <sz val="14"/>
        <color rgb="FFFF0000"/>
        <rFont val="Calibri"/>
        <family val="2"/>
        <scheme val="minor"/>
      </rPr>
      <t>après</t>
    </r>
    <r>
      <rPr>
        <b/>
        <sz val="14"/>
        <rFont val="Calibri"/>
        <family val="2"/>
        <scheme val="minor"/>
      </rPr>
      <t xml:space="preserve"> contrôle de la règle de non-profit</t>
    </r>
  </si>
  <si>
    <r>
      <t xml:space="preserve">Taux d'Aide Publique (TAP), </t>
    </r>
    <r>
      <rPr>
        <b/>
        <sz val="14"/>
        <color rgb="FFFF0000"/>
        <rFont val="Calibri"/>
        <family val="2"/>
        <scheme val="minor"/>
      </rPr>
      <t>après</t>
    </r>
    <r>
      <rPr>
        <b/>
        <sz val="14"/>
        <rFont val="Calibri"/>
        <family val="2"/>
        <scheme val="minor"/>
      </rPr>
      <t xml:space="preserve"> contrôle de la règle de non-profit</t>
    </r>
  </si>
  <si>
    <t>Le montant du financeur public autre que FEADER/Région prend-il en charge toute la part de l'aide publique nationale ?</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</si>
  <si>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</si>
  <si>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</si>
  <si>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</si>
  <si>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</si>
  <si>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</si>
  <si>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</si>
  <si>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</si>
  <si>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 contribution en nature</t>
  </si>
  <si>
    <t>Montant de l'apport hors contribution en nature</t>
  </si>
  <si>
    <t>% de l'apport et du financement externe d'origine privée</t>
  </si>
  <si>
    <t>Après applications des éventuels seuils et plafonds applicables calculés ci-dessus</t>
  </si>
  <si>
    <t>TMAP réglementaire du dispositif x Dépenses présentées
(étape nécessaire aux calculs)</t>
  </si>
  <si>
    <t xml:space="preserve">Montant d'aide publique après vérification de la règle de non profit - excès des ressources privées </t>
  </si>
  <si>
    <t>Cette étape permet de recalculer le TAP dans le cas où la règle de non-profit ne serait pas respectée</t>
  </si>
  <si>
    <r>
      <t xml:space="preserve">Un calcul automatique est déclenché selon le montant présenté par le cofinanceur </t>
    </r>
    <r>
      <rPr>
        <b/>
        <sz val="14"/>
        <color rgb="FFFF0000"/>
        <rFont val="Calibri"/>
        <family val="2"/>
      </rPr>
      <t>(à corriger à l'aide du menu déroulant si consigne différente et se rapprocher du service instructeur le cas échéant)</t>
    </r>
  </si>
  <si>
    <t>Montant d'aide calculé après application des RIF - Montant du financeur public autre que FEADER/Région</t>
  </si>
  <si>
    <t>Taux établi par la stratégie régionale dans le cadre de cette intervention</t>
  </si>
  <si>
    <t xml:space="preserve">
Taux établi par la stratégie régionale dans le cadre de cette intervention</t>
  </si>
  <si>
    <t>Part région et autres cofinanceurs publics éventuels</t>
  </si>
  <si>
    <r>
      <t xml:space="preserve">Saisie automatique à corriger dans le cas où le montant du financeur public autre que FEADER/Région est supérieur à la part nationale, mais que la Région participe également à la part nationale </t>
    </r>
    <r>
      <rPr>
        <sz val="14"/>
        <color rgb="FFFF0000"/>
        <rFont val="Calibri"/>
        <family val="2"/>
      </rPr>
      <t>(se rapprocher du service instructeur)</t>
    </r>
  </si>
  <si>
    <t>Montant de la part nationale - le montant du financeur public autre que FEADER/Région</t>
  </si>
  <si>
    <t>Emprunt + Auto-financement</t>
  </si>
  <si>
    <t>Productif</t>
  </si>
  <si>
    <t>Non-productif</t>
  </si>
  <si>
    <t>Total des dépenses</t>
  </si>
  <si>
    <r>
      <t xml:space="preserve">VENTILATION DES MONTANTS FINANCEURS PAR PARTENAIRE ET POSTES DE DEPENSE POUR L'EMERGENCE DE NOUVEAUX GROUPEMENTS
Attention, les montants ci-dessous sont présentés </t>
    </r>
    <r>
      <rPr>
        <b/>
        <u/>
        <sz val="11"/>
        <color theme="0"/>
        <rFont val="Calibri"/>
        <family val="2"/>
        <scheme val="minor"/>
      </rPr>
      <t>à titre indicatif et</t>
    </r>
    <r>
      <rPr>
        <b/>
        <sz val="11"/>
        <color theme="0"/>
        <rFont val="Calibri"/>
        <family val="2"/>
        <scheme val="minor"/>
      </rPr>
      <t xml:space="preserve"> peuvent évoluer à l'instruction</t>
    </r>
  </si>
  <si>
    <t>Présence ou non d'investissement productif</t>
  </si>
  <si>
    <t>Part des dépenses présentées du partenaire à l'échelle du partenariat</t>
  </si>
  <si>
    <t>Taux d'aide publique à saisir (conformément notamment à la règlementation des aides d'Etat)</t>
  </si>
  <si>
    <r>
      <t xml:space="preserve">Montant d'aide publique calculé après application du TAP et des RIF
</t>
    </r>
    <r>
      <rPr>
        <b/>
        <sz val="11"/>
        <color rgb="FFFF0000"/>
        <rFont val="Calibri (Corps)"/>
      </rPr>
      <t>(se rapprocher du service instructeur dans le cas où les règles d'aides d'Etat diffèrent en fonction des types d'action et partenaires)</t>
    </r>
  </si>
  <si>
    <r>
      <t xml:space="preserve">Montant d'aide publique </t>
    </r>
    <r>
      <rPr>
        <b/>
        <sz val="11"/>
        <color rgb="FFFF0000"/>
        <rFont val="Calibri (Corps)"/>
      </rPr>
      <t>après</t>
    </r>
    <r>
      <rPr>
        <b/>
        <sz val="11"/>
        <rFont val="Calibri (Corps)"/>
      </rPr>
      <t xml:space="preserve"> contrôle de la règle de non-profit</t>
    </r>
  </si>
  <si>
    <r>
      <t xml:space="preserve">Taux d'Aide Publique (TAP), </t>
    </r>
    <r>
      <rPr>
        <b/>
        <sz val="11"/>
        <color rgb="FFFF0000"/>
        <rFont val="Calibri (Corps)"/>
      </rPr>
      <t>après</t>
    </r>
    <r>
      <rPr>
        <b/>
        <sz val="11"/>
        <rFont val="Calibri (Corps)"/>
      </rPr>
      <t xml:space="preserve"> contrôle de la règle de non-profit</t>
    </r>
  </si>
  <si>
    <t>Le montant du financeur public autre que FEADER/Région prend-il en charge toute la part nationale?</t>
  </si>
  <si>
    <t>Montant de la part nationale à solliciter</t>
  </si>
  <si>
    <t>Contribution en nature</t>
  </si>
  <si>
    <t>Apport du chef de file (autofinancement et emprunt)</t>
  </si>
  <si>
    <t>Investissement productif</t>
  </si>
  <si>
    <t>Investissement non productif</t>
  </si>
  <si>
    <t xml:space="preserve">TOTAL dépenses  éligibles prévisionnelles du chef de file </t>
  </si>
  <si>
    <t>Postes de dépenses</t>
  </si>
  <si>
    <t>Investissements</t>
  </si>
  <si>
    <t>Frais de personnels</t>
  </si>
  <si>
    <t>Coûts indirects</t>
  </si>
  <si>
    <t>Déplacements et hébergements</t>
  </si>
  <si>
    <t>Coûts participation agri</t>
  </si>
  <si>
    <t>Total instruit</t>
  </si>
  <si>
    <r>
      <t xml:space="preserve">Partie réservée à l'administration - Récapitulatif des dépenses de l'opération retenues à l'instruction
</t>
    </r>
    <r>
      <rPr>
        <sz val="25"/>
        <rFont val="Calibri"/>
        <family val="2"/>
      </rPr>
      <t>Saisies automatiques à corriger selon les modalités d'instruction</t>
    </r>
  </si>
  <si>
    <t>1. SYNTHÈSE DES DÉPENSES ELIGIBLES DANS LES ONGLETS DE DEPENSES (avant application des RIF)</t>
  </si>
  <si>
    <t>2. CONTRÔLES BLOQUANTS</t>
  </si>
  <si>
    <t>3. SYNTHÈSE DES DÉPENSES ELIGIBLES RETENUES</t>
  </si>
  <si>
    <t>Synthèse de l'opération</t>
  </si>
  <si>
    <t>Montant écarté à l'instruction</t>
  </si>
  <si>
    <r>
      <rPr>
        <b/>
        <sz val="16"/>
        <color rgb="FF000000"/>
        <rFont val="Calibri"/>
        <family val="2"/>
        <scheme val="minor"/>
      </rPr>
      <t xml:space="preserve">Montant maxmimum des dépenses présentées : 500 000 € HT
</t>
    </r>
    <r>
      <rPr>
        <b/>
        <sz val="16"/>
        <color rgb="FFFF0000"/>
        <rFont val="Calibri"/>
        <family val="2"/>
        <scheme val="minor"/>
      </rPr>
      <t>Attention : le respect de ce montant maximum est une condition d'éligibilité des dépenses du projet. Si dépassé, le total des dépenses présentées dans le tableau de contrôle affichera 0</t>
    </r>
  </si>
  <si>
    <t>Plafond de la règle de non profit</t>
  </si>
  <si>
    <r>
      <t xml:space="preserve">Conséquence des contributions en nature sur le montant d'aide publique
</t>
    </r>
    <r>
      <rPr>
        <b/>
        <sz val="16"/>
        <color rgb="FFFF0000"/>
        <rFont val="Calibri"/>
        <family val="2"/>
        <scheme val="minor"/>
      </rPr>
      <t>Au-delà d'un certain montant de contributions en nature, le montant de l'aide publique est diminué en instruction</t>
    </r>
  </si>
  <si>
    <t xml:space="preserve">PARTIE A RENSEIGNER PAR L'INSTRUCTEUR </t>
  </si>
  <si>
    <t>4. INFORMATIONS COFINANCEUR PUBLIC AUTRE QUE FEADER/RÉGION</t>
  </si>
  <si>
    <r>
      <t>Montant du cofinanceur</t>
    </r>
    <r>
      <rPr>
        <b/>
        <u/>
        <sz val="11"/>
        <color rgb="FFFF0000"/>
        <rFont val="Calibri (Corps)"/>
      </rPr>
      <t xml:space="preserve"> public</t>
    </r>
    <r>
      <rPr>
        <b/>
        <sz val="11"/>
        <rFont val="Calibri (Corps)"/>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</si>
  <si>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</si>
  <si>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</si>
  <si>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t>Attention, si le montant versé par le cofinanceur porte sur un périmètre différent du projet éligible au FEADER, il ne faut renseigner ici que le montant correspondant au périmètre du projet éligible au FEADER</t>
  </si>
  <si>
    <t>5. CALCUL AUTOMATIQUE DE LA VENTILATION DES DÉPENSES ÉLIGIBLES.  
L'instructeur peut corriger directement</t>
  </si>
  <si>
    <t>Calcul du montant d'aide public</t>
  </si>
  <si>
    <t>Présence ou non d'investissements productifs</t>
  </si>
  <si>
    <t>Dépenses instruites</t>
  </si>
  <si>
    <t>Montant des dépenses calculé après application des Règles d'Interventions Financières (RIF)</t>
  </si>
  <si>
    <t>Part du type d'action sur le total des dépenses instruites avant plafonnement (en %)</t>
  </si>
  <si>
    <t>Taux d'Aide Publique (TAP) réglementaire du dispositif, équivalent au Taux Maximum d'Aide Publique (TMAP) le cas échéant</t>
  </si>
  <si>
    <t>Montant d'aide calculé d'après le TMAP et avant vérification du montant des contributions en nature</t>
  </si>
  <si>
    <r>
      <t xml:space="preserve">Part du type d'action sur le total du montant d'aide publique </t>
    </r>
    <r>
      <rPr>
        <b/>
        <sz val="11"/>
        <color rgb="FFFF0000"/>
        <rFont val="Calibri"/>
        <family val="2"/>
      </rPr>
      <t>avant</t>
    </r>
    <r>
      <rPr>
        <b/>
        <sz val="11"/>
        <rFont val="Calibri"/>
        <family val="2"/>
      </rPr>
      <t xml:space="preserve"> contrôle de la règle de non-profit (en %)</t>
    </r>
  </si>
  <si>
    <r>
      <t xml:space="preserve">Montant d'aide publique </t>
    </r>
    <r>
      <rPr>
        <b/>
        <sz val="11"/>
        <color rgb="FFFF0000"/>
        <rFont val="Calibri"/>
        <family val="2"/>
        <scheme val="minor"/>
      </rPr>
      <t>après</t>
    </r>
    <r>
      <rPr>
        <b/>
        <sz val="11"/>
        <rFont val="Calibri"/>
        <family val="2"/>
        <scheme val="minor"/>
      </rPr>
      <t xml:space="preserve"> contrôle de la règle de non-profit</t>
    </r>
  </si>
  <si>
    <t>Taux d'Aide Publique (TAP) instruit après vérification du montant des contributions en nature le cas échéant, par type d'action</t>
  </si>
  <si>
    <t>Montant de l'apport (hors contribution en nature) et du financement externe d'origine privée</t>
  </si>
  <si>
    <t>Commentaires du service instructeur</t>
  </si>
  <si>
    <r>
      <rPr>
        <b/>
        <i/>
        <sz val="11"/>
        <color rgb="FFFF0000"/>
        <rFont val="Calibri"/>
        <family val="2"/>
      </rPr>
      <t>Saisir dans cette colonne le TAP applicable à chaque type d'action productif et non-productif.</t>
    </r>
    <r>
      <rPr>
        <b/>
        <i/>
        <sz val="11"/>
        <rFont val="Calibri"/>
        <family val="2"/>
      </rPr>
      <t xml:space="preserve">
Par exemple:
➔ Pour les opérations non concernées par la réglementation des aides d'Etat, le TMAP est de 80% pour les investissements productifs et de 100% pour les investissements non-productifs.
➔ Cependant, si votre opération est concernée par la réglementation des aides d'Etat:
- le TMAP varie selon le régime d'aide applicable :
•	100 % hors coûts liés aux investissements pour le régime SA.108057 - 65 % pour les investissements liées à la production agricole primaire. Ce taux est de 80 % dans les cas listés au point (26) (a) du régime d'aide, et de 85 % pour les investissements dans de petites exploitations agricoles ; 
•	100 % pour le régime SA. 108732 ;
•	100 % pour le régime SA.108915 ;
•	100 % pour le régime SA.108940 - Pour les projets de démonstration, le montant d'aide maximal est plafonné à 100 000 € par entreprise agricole sur une périod ede trois exercices comptables ;
- Dans ce cas, l’aide maximale selon les règles de l'aide d'état est d’application dans la limite des taux indiqués dans le PSR.
➔ En cas de de minimis, appliquer le TMAP du programme et plafonner le montant d'aide publique à 300 000 sur trois ans glissants.</t>
    </r>
  </si>
  <si>
    <t>TAP réglementaire du dispositif x Dépenses instruites
(étape nécessaire aux calculs)</t>
  </si>
  <si>
    <t>TAP après prise en compte des contributions en nature x Dépenses instruites</t>
  </si>
  <si>
    <t xml:space="preserve">saise automatique
si montant des contributions en nature &gt; (montant des dépenses éligibles - montant de l'aide calculée) ==&gt; TAP du type d'action = 100% - pourcentage des contributions en nature par rapport aux dépenses et par type d'action
si montant des contributions en nature &lt; ou = (montant des dépenses éligibles - montant de l'aide calculée) ==&gt; TAP du type d'action = TMAP du type d'action
</t>
  </si>
  <si>
    <r>
      <t xml:space="preserve">Saisie automatique </t>
    </r>
    <r>
      <rPr>
        <b/>
        <i/>
        <sz val="16"/>
        <color rgb="FFFF0000"/>
        <rFont val="Calibri"/>
        <family val="2"/>
      </rPr>
      <t>(à corriger dans le cas où le montant du financeur public autre que FEADER/Région est supérieur à la part nationale, mais que la Région participe également à la part nationale)</t>
    </r>
    <r>
      <rPr>
        <b/>
        <i/>
        <sz val="16"/>
        <rFont val="Calibri"/>
        <family val="2"/>
      </rPr>
      <t>.</t>
    </r>
  </si>
  <si>
    <t>Emprunt + Auto-financement + financement externe d'origine privée</t>
  </si>
  <si>
    <t>Productifs</t>
  </si>
  <si>
    <t>Non-productifs</t>
  </si>
  <si>
    <t>Présenté</t>
  </si>
  <si>
    <t>Instruit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</si>
  <si>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</si>
  <si>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</si>
  <si>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</si>
  <si>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</si>
  <si>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</si>
  <si>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</si>
  <si>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PARTENAIRES</t>
  </si>
  <si>
    <t>Annexe financière à la Décision Juridique</t>
  </si>
  <si>
    <t>version 1 - Octobre 2025</t>
  </si>
  <si>
    <t xml:space="preserve">1. Synthèse des dépenses </t>
  </si>
  <si>
    <t>2. Synthèse des ressources instruites</t>
  </si>
  <si>
    <t>Dépenses éligibles retenues (après RIF)</t>
  </si>
  <si>
    <t>Taux d'aide publique</t>
  </si>
  <si>
    <t>Par poste de dépense</t>
  </si>
  <si>
    <t>Montant d'aide publique</t>
  </si>
  <si>
    <t>dont FEADER</t>
  </si>
  <si>
    <t>2-Amortissements</t>
  </si>
  <si>
    <t>dont Contrepartie nationale (Région)</t>
  </si>
  <si>
    <t xml:space="preserve">dont Montant du financeur public autre que FEADER/Région, le cas échéant </t>
  </si>
  <si>
    <t>4-Frais de personnel</t>
  </si>
  <si>
    <t>dont montant du top-up le cas échéant</t>
  </si>
  <si>
    <t>5-TF coûts indirects</t>
  </si>
  <si>
    <t xml:space="preserve">Montant total apport bénéficiaire </t>
  </si>
  <si>
    <t>TOTAL</t>
  </si>
  <si>
    <t>Par type d'action</t>
  </si>
  <si>
    <t>3. Détail des dépenses instruites par poste de dépense</t>
  </si>
  <si>
    <t xml:space="preserve">Numéro </t>
  </si>
  <si>
    <t xml:space="preserve">Caractéristique supplémentaire </t>
  </si>
  <si>
    <t>Montant éligible retenu</t>
  </si>
  <si>
    <t>NC.</t>
  </si>
  <si>
    <t>Taux forfaitaires coûts indirects</t>
  </si>
  <si>
    <t>N.C</t>
  </si>
  <si>
    <t xml:space="preserve">NC. </t>
  </si>
  <si>
    <t>Déplacement &amp; hébergement</t>
  </si>
  <si>
    <t>Coûts de participation agriculteurs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</si>
</sst>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 &quot;€&quot;_);[Red]\(#,##0.00\ &quot;€&quot;\)"/>
    <numFmt numFmtId="165" formatCode="#,##0.00\ &quot;€&quot;;\-#,##0.00\ &quot;€&quot;"/>
    <numFmt numFmtId="166" formatCode="#,##0.00\ &quot;€&quot;;[Red]\-#,##0.00\ &quot;€&quot;"/>
    <numFmt numFmtId="167" formatCode="_-* #,##0.00\ &quot;€&quot;_-;\-* #,##0.00\ &quot;€&quot;_-;_-* &quot;-&quot;??\ &quot;€&quot;_-;_-@_-"/>
    <numFmt numFmtId="168" formatCode="_-* #,##0.00\ _€_-;\-* #,##0.00\ _€_-;_-* &quot;-&quot;??\ _€_-;_-@_-"/>
    <numFmt numFmtId="169" formatCode="#,##0.00\ &quot;€&quot;"/>
    <numFmt numFmtId="170" formatCode="#,##0.00&quot; &quot;[$€-40C];[Red]&quot;-&quot;#,##0.00&quot; &quot;[$€-40C]"/>
    <numFmt numFmtId="171" formatCode="&quot; &quot;#,##0.00&quot; € &quot;;&quot;-&quot;#,##0.00&quot; € &quot;;&quot;-&quot;#&quot; € &quot;;@&quot; &quot;"/>
    <numFmt numFmtId="172" formatCode="&quot; &quot;#,##0.00&quot;    &quot;;&quot;-&quot;#,##0.00&quot;    &quot;;&quot;-&quot;#&quot;    &quot;;@&quot; &quot;"/>
    <numFmt numFmtId="173" formatCode="_-* #,##0.00&quot; €&quot;_-;\-* #,##0.00&quot; €&quot;_-;_-* &quot;-&quot;??&quot; €&quot;_-;_-@_-"/>
  </numFmts>
  <fonts count="169">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16"/>
      <color rgb="FF808080"/>
      <name val="Calibri"/>
      <family val="2"/>
      <scheme val="minor"/>
    </font>
    <font>
      <sz val="14"/>
      <color rgb="FF000000"/>
      <name val="Calibri"/>
      <family val="2"/>
      <scheme val="minor"/>
    </font>
    <font>
      <sz val="16"/>
      <color theme="1"/>
      <name val="Calibri"/>
      <family val="2"/>
      <scheme val="minor"/>
    </font>
    <font>
      <i/>
      <sz val="10"/>
      <color rgb="FFFF0000"/>
      <name val="Calibri"/>
      <family val="2"/>
      <scheme val="minor"/>
    </font>
    <font>
      <i/>
      <sz val="9"/>
      <name val="Tahoma"/>
      <family val="2"/>
    </font>
    <font>
      <sz val="9"/>
      <name val="Tahoma"/>
      <family val="2"/>
    </font>
    <font>
      <sz val="14"/>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sz val="9"/>
      <color indexed="81"/>
      <name val="Tahoma"/>
      <family val="2"/>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6"/>
      <color theme="1"/>
      <name val="Calibri"/>
      <family val="2"/>
      <scheme val="minor"/>
    </font>
    <font>
      <sz val="18"/>
      <color theme="1"/>
      <name val="Calibri"/>
      <family val="2"/>
      <scheme val="minor"/>
    </font>
    <font>
      <sz val="18"/>
      <name val="Calibri"/>
      <family val="2"/>
      <scheme val="minor"/>
    </font>
    <font>
      <b/>
      <sz val="16"/>
      <name val="Calibri"/>
      <family val="2"/>
    </font>
    <font>
      <b/>
      <i/>
      <sz val="16"/>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4"/>
      <color theme="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i/>
      <sz val="24"/>
      <color theme="1"/>
      <name val="Calibri"/>
      <family val="2"/>
      <scheme val="minor"/>
    </font>
    <font>
      <b/>
      <i/>
      <sz val="11"/>
      <color rgb="FFFF0000"/>
      <name val="Calibri"/>
      <family val="2"/>
      <scheme val="minor"/>
    </font>
    <font>
      <b/>
      <sz val="11"/>
      <color rgb="FF000000"/>
      <name val="Calibri"/>
      <family val="2"/>
      <scheme val="minor"/>
    </font>
    <font>
      <i/>
      <sz val="10"/>
      <name val="Calibri"/>
      <family val="2"/>
      <scheme val="minor"/>
    </font>
    <font>
      <sz val="10"/>
      <name val="Calibri"/>
      <family val="2"/>
      <scheme val="minor"/>
    </font>
    <font>
      <u/>
      <sz val="10"/>
      <name val="Calibri"/>
      <family val="2"/>
      <scheme val="minor"/>
    </font>
    <font>
      <i/>
      <u/>
      <sz val="10"/>
      <name val="Calibri"/>
      <family val="2"/>
      <scheme val="minor"/>
    </font>
    <font>
      <sz val="9"/>
      <name val="Calibri"/>
      <family val="2"/>
      <scheme val="minor"/>
    </font>
    <font>
      <b/>
      <sz val="14"/>
      <name val="Calibri"/>
      <family val="2"/>
      <scheme val="minor"/>
    </font>
    <font>
      <sz val="11"/>
      <color rgb="FFC00000"/>
      <name val="Calibri"/>
      <family val="2"/>
      <scheme val="minor"/>
    </font>
    <font>
      <b/>
      <sz val="10"/>
      <name val="Calibri"/>
      <family val="2"/>
      <scheme val="minor"/>
    </font>
    <font>
      <b/>
      <sz val="9"/>
      <color indexed="81"/>
      <name val="Tahoma"/>
      <family val="2"/>
    </font>
    <font>
      <b/>
      <i/>
      <sz val="25"/>
      <color theme="1"/>
      <name val="Calibri"/>
      <family val="2"/>
      <scheme val="minor"/>
    </font>
    <font>
      <b/>
      <i/>
      <u/>
      <sz val="25"/>
      <color theme="1"/>
      <name val="Calibri"/>
      <family val="2"/>
      <scheme val="minor"/>
    </font>
    <font>
      <i/>
      <sz val="11"/>
      <color theme="1"/>
      <name val="Calibri"/>
      <family val="2"/>
      <scheme val="minor"/>
    </font>
    <font>
      <b/>
      <sz val="24"/>
      <color theme="0"/>
      <name val="Calibri"/>
      <family val="2"/>
      <scheme val="minor"/>
    </font>
    <font>
      <b/>
      <sz val="36"/>
      <color theme="0"/>
      <name val="Calibri"/>
      <family val="2"/>
      <scheme val="minor"/>
    </font>
    <font>
      <sz val="14"/>
      <color rgb="FF000000"/>
      <name val="Tahoma"/>
      <family val="2"/>
    </font>
    <font>
      <b/>
      <sz val="14"/>
      <color rgb="FF000000"/>
      <name val="Tahoma"/>
      <family val="2"/>
    </font>
    <font>
      <b/>
      <sz val="20"/>
      <color theme="0"/>
      <name val="Calibri"/>
      <family val="2"/>
      <scheme val="minor"/>
    </font>
    <font>
      <b/>
      <u/>
      <sz val="14"/>
      <color theme="1"/>
      <name val="Calibri"/>
      <family val="2"/>
      <scheme val="minor"/>
    </font>
    <font>
      <b/>
      <sz val="11"/>
      <color theme="0"/>
      <name val="Calibri"/>
      <family val="2"/>
      <scheme val="minor"/>
    </font>
    <font>
      <b/>
      <sz val="16"/>
      <color rgb="FFC00000"/>
      <name val="Calibri"/>
      <family val="2"/>
    </font>
    <font>
      <b/>
      <sz val="16"/>
      <color theme="0"/>
      <name val="Calibri"/>
      <family val="2"/>
      <scheme val="minor"/>
    </font>
    <font>
      <b/>
      <i/>
      <sz val="16"/>
      <color rgb="FFFF0000"/>
      <name val="Calibri"/>
      <family val="2"/>
    </font>
    <font>
      <b/>
      <i/>
      <sz val="10"/>
      <color rgb="FFC00000"/>
      <name val="Calibri"/>
      <family val="2"/>
      <scheme val="minor"/>
    </font>
    <font>
      <i/>
      <sz val="20"/>
      <color theme="1"/>
      <name val="Calibri"/>
      <family val="2"/>
      <scheme val="minor"/>
    </font>
    <font>
      <i/>
      <u/>
      <sz val="20"/>
      <color theme="1"/>
      <name val="Calibri"/>
      <family val="2"/>
      <scheme val="minor"/>
    </font>
    <font>
      <b/>
      <sz val="11"/>
      <color theme="5"/>
      <name val="Calibri"/>
      <family val="2"/>
      <scheme val="minor"/>
    </font>
    <font>
      <b/>
      <sz val="11"/>
      <color rgb="FF227A56"/>
      <name val="Calibri"/>
      <family val="2"/>
      <scheme val="minor"/>
    </font>
    <font>
      <b/>
      <sz val="11"/>
      <color rgb="FFF5903D"/>
      <name val="Calibri"/>
      <family val="2"/>
      <scheme val="minor"/>
    </font>
    <font>
      <sz val="20"/>
      <name val="Calibri"/>
      <family val="2"/>
      <scheme val="minor"/>
    </font>
    <font>
      <sz val="15"/>
      <color theme="0"/>
      <name val="Calibri"/>
      <family val="2"/>
      <scheme val="minor"/>
    </font>
    <font>
      <b/>
      <u/>
      <sz val="25"/>
      <color theme="0"/>
      <name val="Calibri"/>
      <family val="2"/>
      <scheme val="minor"/>
    </font>
    <font>
      <i/>
      <sz val="16"/>
      <color theme="0"/>
      <name val="Calibri"/>
      <family val="2"/>
      <scheme val="minor"/>
    </font>
    <font>
      <i/>
      <sz val="15"/>
      <color theme="0"/>
      <name val="Calibri"/>
      <family val="2"/>
      <scheme val="minor"/>
    </font>
    <font>
      <sz val="11"/>
      <color theme="1"/>
      <name val="Calibri"/>
      <family val="2"/>
    </font>
    <font>
      <b/>
      <sz val="11"/>
      <name val="Calibri"/>
      <family val="2"/>
    </font>
    <font>
      <i/>
      <sz val="10"/>
      <name val="Calibri"/>
      <family val="2"/>
    </font>
    <font>
      <b/>
      <i/>
      <sz val="11"/>
      <name val="Calibri"/>
      <family val="2"/>
    </font>
    <font>
      <b/>
      <sz val="14"/>
      <name val="Calibri"/>
      <family val="2"/>
    </font>
    <font>
      <b/>
      <u/>
      <sz val="14"/>
      <color rgb="FFFF0000"/>
      <name val="Calibri"/>
      <family val="2"/>
    </font>
    <font>
      <b/>
      <i/>
      <sz val="14"/>
      <name val="Calibri"/>
      <family val="2"/>
    </font>
    <font>
      <b/>
      <sz val="11"/>
      <color rgb="FF000000"/>
      <name val="Calibri"/>
      <family val="2"/>
    </font>
    <font>
      <b/>
      <sz val="14"/>
      <color rgb="FFFF0000"/>
      <name val="Calibri"/>
      <family val="2"/>
    </font>
    <font>
      <b/>
      <i/>
      <sz val="14"/>
      <color rgb="FFFF0000"/>
      <name val="Calibri"/>
      <family val="2"/>
    </font>
    <font>
      <b/>
      <i/>
      <sz val="14"/>
      <color theme="1"/>
      <name val="Calibri"/>
      <family val="2"/>
      <scheme val="minor"/>
    </font>
    <font>
      <b/>
      <u/>
      <sz val="11"/>
      <color theme="0"/>
      <name val="Calibri"/>
      <family val="2"/>
      <scheme val="minor"/>
    </font>
    <font>
      <b/>
      <sz val="11"/>
      <name val="Calibri (Corps)"/>
    </font>
    <font>
      <b/>
      <sz val="11"/>
      <color rgb="FFFF0000"/>
      <name val="Calibri (Corps)"/>
    </font>
    <font>
      <sz val="11"/>
      <name val="Calibri"/>
      <family val="2"/>
    </font>
    <font>
      <b/>
      <sz val="11"/>
      <color theme="1"/>
      <name val="Calibri"/>
      <family val="2"/>
    </font>
    <font>
      <b/>
      <u/>
      <sz val="11"/>
      <color rgb="FFFF0000"/>
      <name val="Calibri (Corps)"/>
    </font>
    <font>
      <i/>
      <sz val="11"/>
      <name val="Calibri (Corps)"/>
    </font>
    <font>
      <sz val="11"/>
      <color theme="1"/>
      <name val="Calibri (Corps)"/>
    </font>
    <font>
      <b/>
      <sz val="11"/>
      <color rgb="FF000000"/>
      <name val="Calibri (Corps)"/>
    </font>
    <font>
      <b/>
      <sz val="11"/>
      <color theme="1"/>
      <name val="Calibri (Corps)"/>
    </font>
    <font>
      <b/>
      <sz val="11"/>
      <color rgb="FFFF0000"/>
      <name val="Calibri"/>
      <family val="2"/>
    </font>
    <font>
      <b/>
      <i/>
      <sz val="11"/>
      <color rgb="FFFF0000"/>
      <name val="Calibri"/>
      <family val="2"/>
    </font>
    <font>
      <b/>
      <sz val="11"/>
      <color rgb="FFFF0000"/>
      <name val="Calibri"/>
      <family val="2"/>
      <scheme val="minor"/>
    </font>
    <font>
      <sz val="12"/>
      <color rgb="FF000000"/>
      <name val="Calibri"/>
      <family val="2"/>
    </font>
    <font>
      <b/>
      <u/>
      <sz val="14"/>
      <name val="Calibri"/>
      <family val="2"/>
    </font>
    <font>
      <sz val="14"/>
      <name val="Calibri"/>
      <family val="2"/>
    </font>
    <font>
      <u/>
      <sz val="14"/>
      <color theme="10"/>
      <name val="Calibri"/>
      <family val="2"/>
      <scheme val="minor"/>
    </font>
    <font>
      <sz val="14"/>
      <color rgb="FF000000"/>
      <name val="Calibri"/>
      <family val="2"/>
    </font>
    <font>
      <b/>
      <sz val="14"/>
      <color rgb="FF000000"/>
      <name val="Calibri"/>
      <family val="2"/>
    </font>
    <font>
      <i/>
      <sz val="14"/>
      <name val="Calibri"/>
      <family val="2"/>
    </font>
    <font>
      <b/>
      <sz val="14"/>
      <color rgb="FF000000"/>
      <name val="Calibri"/>
      <family val="2"/>
      <scheme val="minor"/>
    </font>
    <font>
      <b/>
      <sz val="14"/>
      <color rgb="FFC00000"/>
      <name val="Calibri"/>
      <family val="2"/>
    </font>
    <font>
      <sz val="14"/>
      <color rgb="FFFF0000"/>
      <name val="Calibri"/>
      <family val="2"/>
    </font>
    <font>
      <sz val="11"/>
      <color rgb="FF000000"/>
      <name val="Calibri"/>
      <family val="2"/>
      <scheme val="minor"/>
    </font>
    <font>
      <b/>
      <sz val="9"/>
      <color rgb="FF000000"/>
      <name val="Tahoma"/>
      <family val="2"/>
    </font>
    <font>
      <b/>
      <sz val="16"/>
      <color rgb="FF000000"/>
      <name val="Tahoma"/>
      <family val="2"/>
    </font>
  </fonts>
  <fills count="6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rgb="FFD9D9D9"/>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EBF1DE"/>
        <bgColor rgb="FF000000"/>
      </patternFill>
    </fill>
    <fill>
      <patternFill patternType="solid">
        <fgColor rgb="FFBFBFBF"/>
        <bgColor rgb="FF000000"/>
      </patternFill>
    </fill>
    <fill>
      <patternFill patternType="solid">
        <fgColor theme="7" tint="0.59999389629810485"/>
        <bgColor indexed="64"/>
      </patternFill>
    </fill>
    <fill>
      <patternFill patternType="solid">
        <fgColor rgb="FFF9F3A1"/>
        <bgColor indexed="64"/>
      </patternFill>
    </fill>
    <fill>
      <patternFill patternType="solid">
        <fgColor rgb="FFFFFFFF"/>
        <bgColor rgb="FF000000"/>
      </patternFill>
    </fill>
    <fill>
      <patternFill patternType="solid">
        <fgColor rgb="FFEBF1DE"/>
        <bgColor indexed="64"/>
      </patternFill>
    </fill>
    <fill>
      <patternFill patternType="solid">
        <fgColor rgb="FFFDE9D9"/>
        <bgColor indexed="64"/>
      </patternFill>
    </fill>
    <fill>
      <patternFill patternType="solid">
        <fgColor theme="0" tint="-0.499984740745262"/>
        <bgColor indexed="64"/>
      </patternFill>
    </fill>
    <fill>
      <patternFill patternType="solid">
        <fgColor theme="6" tint="0.59999389629810485"/>
        <bgColor rgb="FF000000"/>
      </patternFill>
    </fill>
    <fill>
      <patternFill patternType="solid">
        <fgColor theme="0" tint="-0.14999847407452621"/>
        <bgColor rgb="FF000000"/>
      </patternFill>
    </fill>
    <fill>
      <patternFill patternType="solid">
        <fgColor rgb="FF92D050"/>
        <bgColor indexed="64"/>
      </patternFill>
    </fill>
    <fill>
      <patternFill patternType="solid">
        <fgColor theme="0"/>
        <bgColor rgb="FF000000"/>
      </patternFill>
    </fill>
    <fill>
      <patternFill patternType="solid">
        <fgColor rgb="FFF5903D"/>
        <bgColor indexed="64"/>
      </patternFill>
    </fill>
    <fill>
      <patternFill patternType="solid">
        <fgColor rgb="FFE2EFDA"/>
        <bgColor rgb="FF000000"/>
      </patternFill>
    </fill>
    <fill>
      <patternFill patternType="solid">
        <fgColor rgb="FFC9C9C9"/>
        <bgColor rgb="FF000000"/>
      </patternFill>
    </fill>
    <fill>
      <patternFill patternType="solid">
        <fgColor theme="5" tint="0.39997558519241921"/>
        <bgColor indexed="64"/>
      </patternFill>
    </fill>
    <fill>
      <patternFill patternType="solid">
        <fgColor rgb="FFC4D79B"/>
        <bgColor rgb="FF000000"/>
      </patternFill>
    </fill>
    <fill>
      <patternFill patternType="solid">
        <fgColor theme="6" tint="0.79998168889431442"/>
        <bgColor rgb="FF000000"/>
      </patternFill>
    </fill>
    <fill>
      <patternFill patternType="solid">
        <fgColor rgb="FFDDEBF7"/>
        <bgColor rgb="FF000000"/>
      </patternFill>
    </fill>
    <fill>
      <patternFill patternType="solid">
        <fgColor rgb="FFE2EFDA"/>
        <bgColor indexed="64"/>
      </patternFill>
    </fill>
    <fill>
      <patternFill patternType="solid">
        <fgColor theme="5" tint="0.79998168889431442"/>
        <bgColor indexed="64"/>
      </patternFill>
    </fill>
    <fill>
      <patternFill patternType="solid">
        <fgColor theme="6" tint="0.39997558519241921"/>
        <bgColor rgb="FF000000"/>
      </patternFill>
    </fill>
    <fill>
      <patternFill patternType="solid">
        <fgColor theme="5" tint="0.79998168889431442"/>
        <bgColor rgb="FF000000"/>
      </patternFill>
    </fill>
    <fill>
      <patternFill patternType="solid">
        <fgColor rgb="FFFDE9D9"/>
        <bgColor rgb="FF000000"/>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ck">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thick">
        <color indexed="64"/>
      </left>
      <right/>
      <top/>
      <bottom style="thin">
        <color indexed="64"/>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theme="4"/>
      </bottom>
      <diagonal/>
    </border>
    <border>
      <left style="thin">
        <color indexed="64"/>
      </left>
      <right style="thin">
        <color indexed="64"/>
      </right>
      <top style="thin">
        <color indexed="64"/>
      </top>
      <bottom style="medium">
        <color theme="4"/>
      </bottom>
      <diagonal/>
    </border>
    <border>
      <left style="medium">
        <color theme="9"/>
      </left>
      <right style="thin">
        <color indexed="64"/>
      </right>
      <top style="thin">
        <color indexed="64"/>
      </top>
      <bottom style="thin">
        <color indexed="64"/>
      </bottom>
      <diagonal/>
    </border>
    <border>
      <left style="medium">
        <color theme="9"/>
      </left>
      <right style="thin">
        <color indexed="64"/>
      </right>
      <top style="thin">
        <color indexed="64"/>
      </top>
      <bottom style="medium">
        <color theme="9"/>
      </bottom>
      <diagonal/>
    </border>
    <border>
      <left style="thin">
        <color indexed="64"/>
      </left>
      <right style="thin">
        <color indexed="64"/>
      </right>
      <top style="thin">
        <color indexed="64"/>
      </top>
      <bottom style="medium">
        <color theme="9"/>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theme="7"/>
      </left>
      <right style="thin">
        <color indexed="64"/>
      </right>
      <top style="thin">
        <color indexed="64"/>
      </top>
      <bottom style="medium">
        <color theme="7"/>
      </bottom>
      <diagonal/>
    </border>
    <border>
      <left style="thin">
        <color indexed="64"/>
      </left>
      <right style="thin">
        <color indexed="64"/>
      </right>
      <top style="thin">
        <color indexed="64"/>
      </top>
      <bottom style="medium">
        <color theme="7"/>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theme="4"/>
      </left>
      <right style="thin">
        <color indexed="64"/>
      </right>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style="thin">
        <color indexed="64"/>
      </left>
      <right style="medium">
        <color theme="7"/>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indexed="64"/>
      </left>
      <right style="medium">
        <color theme="1"/>
      </right>
      <top/>
      <bottom style="thin">
        <color indexed="64"/>
      </bottom>
      <diagonal/>
    </border>
    <border>
      <left style="thin">
        <color theme="1"/>
      </left>
      <right style="thin">
        <color theme="1"/>
      </right>
      <top style="medium">
        <color theme="1"/>
      </top>
      <bottom style="thin">
        <color theme="1"/>
      </bottom>
      <diagonal/>
    </border>
    <border>
      <left style="medium">
        <color theme="1"/>
      </left>
      <right style="thin">
        <color indexed="64"/>
      </right>
      <top/>
      <bottom style="thin">
        <color indexed="64"/>
      </bottom>
      <diagonal/>
    </border>
    <border>
      <left style="medium">
        <color theme="1"/>
      </left>
      <right style="thin">
        <color theme="1"/>
      </right>
      <top style="medium">
        <color theme="1"/>
      </top>
      <bottom style="medium">
        <color theme="1"/>
      </bottom>
      <diagonal/>
    </border>
    <border>
      <left style="thin">
        <color theme="1"/>
      </left>
      <right style="thin">
        <color theme="1"/>
      </right>
      <top style="thin">
        <color theme="1"/>
      </top>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style="medium">
        <color theme="1"/>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indexed="64"/>
      </left>
      <right style="medium">
        <color indexed="64"/>
      </right>
      <top/>
      <bottom/>
      <diagonal/>
    </border>
    <border>
      <left style="medium">
        <color theme="1"/>
      </left>
      <right/>
      <top/>
      <bottom style="thin">
        <color indexed="64"/>
      </bottom>
      <diagonal/>
    </border>
    <border>
      <left style="thin">
        <color indexed="64"/>
      </left>
      <right style="medium">
        <color theme="5"/>
      </right>
      <top/>
      <bottom style="thin">
        <color indexed="64"/>
      </bottom>
      <diagonal/>
    </border>
    <border>
      <left style="medium">
        <color theme="5"/>
      </left>
      <right style="thin">
        <color indexed="64"/>
      </right>
      <top/>
      <bottom style="thin">
        <color indexed="64"/>
      </bottom>
      <diagonal/>
    </border>
    <border>
      <left style="thin">
        <color indexed="64"/>
      </left>
      <right style="medium">
        <color rgb="FFCC04A6"/>
      </right>
      <top/>
      <bottom style="thin">
        <color indexed="64"/>
      </bottom>
      <diagonal/>
    </border>
    <border>
      <left style="medium">
        <color rgb="FFCC04A6"/>
      </left>
      <right style="thin">
        <color indexed="64"/>
      </right>
      <top/>
      <bottom style="thin">
        <color indexed="64"/>
      </bottom>
      <diagonal/>
    </border>
    <border>
      <left style="thin">
        <color theme="1"/>
      </left>
      <right style="thin">
        <color theme="1"/>
      </right>
      <top/>
      <bottom style="thin">
        <color theme="1"/>
      </bottom>
      <diagonal/>
    </border>
    <border>
      <left style="thin">
        <color theme="1"/>
      </left>
      <right style="medium">
        <color indexed="64"/>
      </right>
      <top/>
      <bottom style="thin">
        <color theme="1"/>
      </bottom>
      <diagonal/>
    </border>
    <border>
      <left style="medium">
        <color theme="1"/>
      </left>
      <right style="medium">
        <color theme="1"/>
      </right>
      <top/>
      <bottom/>
      <diagonal/>
    </border>
    <border>
      <left style="medium">
        <color theme="1"/>
      </left>
      <right style="thin">
        <color indexed="64"/>
      </right>
      <top/>
      <bottom/>
      <diagonal/>
    </border>
    <border>
      <left style="thin">
        <color indexed="64"/>
      </left>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thin">
        <color indexed="64"/>
      </top>
      <bottom style="thin">
        <color indexed="64"/>
      </bottom>
      <diagonal/>
    </border>
    <border>
      <left/>
      <right style="medium">
        <color auto="1"/>
      </right>
      <top style="thin">
        <color indexed="64"/>
      </top>
      <bottom style="thin">
        <color indexed="64"/>
      </bottom>
      <diagonal/>
    </border>
    <border>
      <left/>
      <right style="medium">
        <color theme="5"/>
      </right>
      <top style="thin">
        <color indexed="64"/>
      </top>
      <bottom style="thin">
        <color indexed="64"/>
      </bottom>
      <diagonal/>
    </border>
    <border>
      <left style="medium">
        <color rgb="FFCC04A6"/>
      </left>
      <right style="thin">
        <color indexed="64"/>
      </right>
      <top style="thin">
        <color indexed="64"/>
      </top>
      <bottom style="thin">
        <color indexed="64"/>
      </bottom>
      <diagonal/>
    </border>
    <border>
      <left/>
      <right style="medium">
        <color rgb="FFCC04A6"/>
      </right>
      <top style="thin">
        <color indexed="64"/>
      </top>
      <bottom style="thin">
        <color indexed="64"/>
      </bottom>
      <diagonal/>
    </border>
    <border>
      <left style="medium">
        <color theme="1"/>
      </left>
      <right style="medium">
        <color theme="1"/>
      </right>
      <top/>
      <bottom style="thin">
        <color indexed="64"/>
      </bottom>
      <diagonal/>
    </border>
    <border>
      <left style="medium">
        <color theme="1"/>
      </left>
      <right style="thin">
        <color indexed="64"/>
      </right>
      <top style="thin">
        <color indexed="64"/>
      </top>
      <bottom style="thin">
        <color indexed="64"/>
      </bottom>
      <diagonal/>
    </border>
    <border>
      <left style="medium">
        <color rgb="FFCC04A6"/>
      </left>
      <right style="thin">
        <color indexed="64"/>
      </right>
      <top style="thin">
        <color indexed="64"/>
      </top>
      <bottom/>
      <diagonal/>
    </border>
    <border>
      <left/>
      <right style="medium">
        <color theme="1"/>
      </right>
      <top/>
      <bottom style="thin">
        <color indexed="64"/>
      </bottom>
      <diagonal/>
    </border>
    <border>
      <left style="thin">
        <color indexed="64"/>
      </left>
      <right style="medium">
        <color theme="1"/>
      </right>
      <top style="thin">
        <color indexed="64"/>
      </top>
      <bottom style="thin">
        <color indexed="64"/>
      </bottom>
      <diagonal/>
    </border>
    <border>
      <left style="medium">
        <color theme="1"/>
      </left>
      <right/>
      <top style="medium">
        <color theme="1"/>
      </top>
      <bottom style="thin">
        <color indexed="64"/>
      </bottom>
      <diagonal/>
    </border>
    <border>
      <left style="thin">
        <color rgb="FF000000"/>
      </left>
      <right style="thin">
        <color rgb="FF000000"/>
      </right>
      <top/>
      <bottom style="thin">
        <color rgb="FF000000"/>
      </bottom>
      <diagonal/>
    </border>
    <border>
      <left/>
      <right style="medium">
        <color theme="1"/>
      </right>
      <top/>
      <bottom style="thin">
        <color theme="1"/>
      </bottom>
      <diagonal/>
    </border>
    <border>
      <left style="thin">
        <color theme="1"/>
      </left>
      <right/>
      <top/>
      <bottom style="thin">
        <color theme="1"/>
      </bottom>
      <diagonal/>
    </border>
    <border>
      <left style="thin">
        <color indexed="64"/>
      </left>
      <right style="medium">
        <color theme="5"/>
      </right>
      <top style="thin">
        <color indexed="64"/>
      </top>
      <bottom style="thin">
        <color indexed="64"/>
      </bottom>
      <diagonal/>
    </border>
    <border>
      <left/>
      <right style="thin">
        <color theme="1"/>
      </right>
      <top style="thin">
        <color theme="1"/>
      </top>
      <bottom style="thin">
        <color theme="1"/>
      </bottom>
      <diagonal/>
    </border>
    <border>
      <left style="thin">
        <color rgb="FF000000"/>
      </left>
      <right style="thin">
        <color rgb="FF000000"/>
      </right>
      <top style="thin">
        <color rgb="FF000000"/>
      </top>
      <bottom/>
      <diagonal/>
    </border>
    <border>
      <left style="medium">
        <color theme="1"/>
      </left>
      <right/>
      <top style="thin">
        <color indexed="64"/>
      </top>
      <bottom style="medium">
        <color theme="1"/>
      </bottom>
      <diagonal/>
    </border>
    <border>
      <left style="thin">
        <color indexed="64"/>
      </left>
      <right style="medium">
        <color theme="5"/>
      </right>
      <top style="thin">
        <color indexed="64"/>
      </top>
      <bottom style="medium">
        <color indexed="64"/>
      </bottom>
      <diagonal/>
    </border>
    <border>
      <left/>
      <right style="medium">
        <color rgb="FFCC04A6"/>
      </right>
      <top style="thin">
        <color indexed="64"/>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style="thin">
        <color theme="1"/>
      </right>
      <top style="thin">
        <color theme="1"/>
      </top>
      <bottom style="medium">
        <color theme="1"/>
      </bottom>
      <diagonal/>
    </border>
    <border>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style="medium">
        <color indexed="64"/>
      </left>
      <right style="thin">
        <color theme="1"/>
      </right>
      <top style="thin">
        <color theme="1"/>
      </top>
      <bottom style="medium">
        <color indexed="64"/>
      </bottom>
      <diagonal/>
    </border>
    <border>
      <left style="thin">
        <color theme="1"/>
      </left>
      <right style="thin">
        <color indexed="64"/>
      </right>
      <top style="thin">
        <color theme="1"/>
      </top>
      <bottom style="medium">
        <color indexed="64"/>
      </bottom>
      <diagonal/>
    </border>
    <border>
      <left style="thin">
        <color theme="1"/>
      </left>
      <right/>
      <top/>
      <bottom style="medium">
        <color theme="1"/>
      </bottom>
      <diagonal/>
    </border>
    <border>
      <left style="medium">
        <color theme="1"/>
      </left>
      <right style="medium">
        <color theme="1"/>
      </right>
      <top/>
      <bottom style="medium">
        <color theme="1"/>
      </bottom>
      <diagonal/>
    </border>
    <border>
      <left style="medium">
        <color theme="1"/>
      </left>
      <right style="thin">
        <color indexed="64"/>
      </right>
      <top/>
      <bottom style="medium">
        <color theme="1"/>
      </bottom>
      <diagonal/>
    </border>
    <border>
      <left style="thin">
        <color indexed="64"/>
      </left>
      <right style="medium">
        <color theme="1"/>
      </right>
      <top style="thin">
        <color indexed="64"/>
      </top>
      <bottom style="medium">
        <color theme="1"/>
      </bottom>
      <diagonal/>
    </border>
    <border>
      <left/>
      <right style="medium">
        <color auto="1"/>
      </right>
      <top/>
      <bottom style="medium">
        <color theme="1"/>
      </bottom>
      <diagonal/>
    </border>
    <border>
      <left style="medium">
        <color indexed="64"/>
      </left>
      <right style="thin">
        <color indexed="64"/>
      </right>
      <top/>
      <bottom style="medium">
        <color theme="1"/>
      </bottom>
      <diagonal/>
    </border>
    <border>
      <left style="medium">
        <color indexed="64"/>
      </left>
      <right style="medium">
        <color theme="1"/>
      </right>
      <top/>
      <bottom style="medium">
        <color theme="1"/>
      </bottom>
      <diagonal/>
    </border>
    <border>
      <left style="thin">
        <color indexed="64"/>
      </left>
      <right style="medium">
        <color theme="1"/>
      </right>
      <top/>
      <bottom style="medium">
        <color theme="1"/>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thin">
        <color theme="1"/>
      </right>
      <top/>
      <bottom style="thin">
        <color theme="1"/>
      </bottom>
      <diagonal/>
    </border>
    <border>
      <left style="thin">
        <color theme="1"/>
      </left>
      <right style="thin">
        <color theme="1"/>
      </right>
      <top/>
      <bottom style="medium">
        <color indexed="64"/>
      </bottom>
      <diagonal/>
    </border>
    <border>
      <left style="thin">
        <color theme="1"/>
      </left>
      <right style="medium">
        <color indexed="64"/>
      </right>
      <top/>
      <bottom style="medium">
        <color indexed="64"/>
      </bottom>
      <diagonal/>
    </border>
    <border>
      <left/>
      <right style="thin">
        <color theme="1"/>
      </right>
      <top style="thin">
        <color theme="1"/>
      </top>
      <bottom style="medium">
        <color indexed="64"/>
      </bottom>
      <diagonal/>
    </border>
    <border>
      <left style="thin">
        <color rgb="FF000000"/>
      </left>
      <right style="thin">
        <color rgb="FF000000"/>
      </right>
      <top style="thin">
        <color rgb="FF000000"/>
      </top>
      <bottom style="medium">
        <color indexed="64"/>
      </bottom>
      <diagonal/>
    </border>
    <border>
      <left style="medium">
        <color theme="1"/>
      </left>
      <right style="thin">
        <color theme="1"/>
      </right>
      <top style="thin">
        <color theme="1"/>
      </top>
      <bottom style="medium">
        <color indexed="64"/>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indexed="64"/>
      </right>
      <top style="thin">
        <color indexed="64"/>
      </top>
      <bottom style="medium">
        <color indexed="64"/>
      </bottom>
      <diagonal/>
    </border>
    <border>
      <left style="thin">
        <color indexed="64"/>
      </left>
      <right style="medium">
        <color theme="1"/>
      </right>
      <top style="thin">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theme="1"/>
      </left>
      <right/>
      <top style="thin">
        <color theme="1"/>
      </top>
      <bottom style="thin">
        <color theme="1"/>
      </bottom>
      <diagonal/>
    </border>
    <border>
      <left style="thin">
        <color theme="1"/>
      </left>
      <right/>
      <top style="thin">
        <color theme="1"/>
      </top>
      <bottom style="medium">
        <color indexed="64"/>
      </bottom>
      <diagonal/>
    </border>
    <border>
      <left/>
      <right style="medium">
        <color theme="1"/>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medium">
        <color indexed="64"/>
      </left>
      <right style="thin">
        <color theme="1"/>
      </right>
      <top/>
      <bottom style="thin">
        <color theme="1"/>
      </bottom>
      <diagonal/>
    </border>
    <border>
      <left/>
      <right style="medium">
        <color rgb="FFCC04A6"/>
      </right>
      <top/>
      <bottom style="thin">
        <color indexed="64"/>
      </bottom>
      <diagonal/>
    </border>
    <border>
      <left/>
      <right style="thin">
        <color theme="1"/>
      </right>
      <top/>
      <bottom style="medium">
        <color indexed="64"/>
      </bottom>
      <diagonal/>
    </border>
    <border>
      <left/>
      <right style="medium">
        <color theme="1"/>
      </right>
      <top style="thin">
        <color rgb="FF000000"/>
      </top>
      <bottom style="medium">
        <color indexed="64"/>
      </bottom>
      <diagonal/>
    </border>
    <border>
      <left/>
      <right style="medium">
        <color theme="5"/>
      </right>
      <top style="thin">
        <color indexed="64"/>
      </top>
      <bottom style="medium">
        <color indexed="64"/>
      </bottom>
      <diagonal/>
    </border>
    <border>
      <left style="medium">
        <color theme="5"/>
      </left>
      <right style="thin">
        <color indexed="64"/>
      </right>
      <top style="thin">
        <color indexed="64"/>
      </top>
      <bottom style="medium">
        <color indexed="64"/>
      </bottom>
      <diagonal/>
    </border>
    <border>
      <left style="medium">
        <color rgb="FFCC04A6"/>
      </left>
      <right style="thin">
        <color indexed="64"/>
      </right>
      <top style="thin">
        <color indexed="64"/>
      </top>
      <bottom style="medium">
        <color indexed="64"/>
      </bottom>
      <diagonal/>
    </border>
    <border>
      <left style="thin">
        <color indexed="64"/>
      </left>
      <right style="medium">
        <color rgb="FFCC04A6"/>
      </right>
      <top style="thin">
        <color indexed="64"/>
      </top>
      <bottom style="medium">
        <color indexed="64"/>
      </bottom>
      <diagonal/>
    </border>
    <border>
      <left style="medium">
        <color rgb="FF00B050"/>
      </left>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style="medium">
        <color theme="1"/>
      </bottom>
      <diagonal/>
    </border>
    <border>
      <left style="thin">
        <color theme="1"/>
      </left>
      <right style="thin">
        <color theme="1"/>
      </right>
      <top style="thin">
        <color indexed="64"/>
      </top>
      <bottom style="medium">
        <color indexed="64"/>
      </bottom>
      <diagonal/>
    </border>
    <border>
      <left style="thin">
        <color theme="1"/>
      </left>
      <right/>
      <top style="thin">
        <color theme="1"/>
      </top>
      <bottom style="medium">
        <color theme="1"/>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style="medium">
        <color indexed="64"/>
      </left>
      <right/>
      <top style="medium">
        <color theme="1"/>
      </top>
      <bottom style="medium">
        <color theme="1"/>
      </bottom>
      <diagonal/>
    </border>
    <border>
      <left style="thin">
        <color theme="1"/>
      </left>
      <right style="medium">
        <color indexed="64"/>
      </right>
      <top style="medium">
        <color theme="1"/>
      </top>
      <bottom/>
      <diagonal/>
    </border>
    <border>
      <left style="thin">
        <color theme="1"/>
      </left>
      <right style="medium">
        <color indexed="64"/>
      </right>
      <top style="thin">
        <color theme="1"/>
      </top>
      <bottom/>
      <diagonal/>
    </border>
    <border>
      <left style="medium">
        <color indexed="64"/>
      </left>
      <right style="thin">
        <color theme="1"/>
      </right>
      <top/>
      <bottom style="medium">
        <color indexed="64"/>
      </bottom>
      <diagonal/>
    </border>
    <border>
      <left style="medium">
        <color indexed="64"/>
      </left>
      <right style="thin">
        <color theme="1"/>
      </right>
      <top style="medium">
        <color theme="1"/>
      </top>
      <bottom style="medium">
        <color indexed="64"/>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theme="1"/>
      </left>
      <right style="thin">
        <color theme="1"/>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theme="1"/>
      </top>
      <bottom/>
      <diagonal/>
    </border>
  </borders>
  <cellStyleXfs count="104">
    <xf numFmtId="0" fontId="0" fillId="0" borderId="0"/>
    <xf numFmtId="9" fontId="3" fillId="0" borderId="0" applyFont="0" applyFill="0" applyBorder="0" applyAlignment="0" applyProtection="0"/>
    <xf numFmtId="0" fontId="5" fillId="0" borderId="0"/>
    <xf numFmtId="167"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7" fontId="6" fillId="0" borderId="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26" fillId="0" borderId="0"/>
    <xf numFmtId="0" fontId="26" fillId="0" borderId="40"/>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0"/>
    <xf numFmtId="0" fontId="26" fillId="0" borderId="0"/>
    <xf numFmtId="0" fontId="26" fillId="0" borderId="0"/>
    <xf numFmtId="0" fontId="26" fillId="0" borderId="0"/>
    <xf numFmtId="0" fontId="26" fillId="18" borderId="40"/>
    <xf numFmtId="0" fontId="26" fillId="0" borderId="0"/>
    <xf numFmtId="0" fontId="26" fillId="19" borderId="40"/>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0"/>
    <xf numFmtId="171"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0"/>
    <xf numFmtId="0" fontId="26" fillId="0" borderId="0"/>
    <xf numFmtId="0" fontId="26" fillId="0" borderId="0"/>
    <xf numFmtId="0" fontId="26" fillId="20" borderId="40"/>
    <xf numFmtId="0" fontId="26" fillId="0" borderId="0"/>
    <xf numFmtId="170" fontId="26" fillId="13" borderId="40">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1"/>
    <xf numFmtId="0" fontId="38" fillId="0" borderId="0"/>
    <xf numFmtId="172" fontId="39" fillId="0" borderId="0"/>
    <xf numFmtId="0" fontId="40" fillId="0" borderId="0"/>
    <xf numFmtId="0" fontId="27" fillId="0" borderId="41"/>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70"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1"/>
    <xf numFmtId="0" fontId="26" fillId="0" borderId="0"/>
    <xf numFmtId="0" fontId="26" fillId="18" borderId="40">
      <alignment horizontal="center" vertical="center"/>
    </xf>
    <xf numFmtId="0" fontId="45" fillId="17" borderId="42"/>
    <xf numFmtId="0" fontId="45" fillId="17" borderId="43"/>
    <xf numFmtId="0" fontId="27" fillId="14" borderId="44"/>
    <xf numFmtId="0" fontId="26" fillId="0" borderId="0"/>
    <xf numFmtId="0" fontId="26" fillId="0" borderId="0"/>
    <xf numFmtId="0" fontId="26" fillId="0" borderId="0"/>
    <xf numFmtId="167" fontId="3" fillId="0" borderId="0" applyFont="0" applyFill="0" applyBorder="0" applyAlignment="0" applyProtection="0"/>
    <xf numFmtId="0" fontId="6" fillId="0" borderId="0"/>
    <xf numFmtId="173" fontId="6" fillId="0" borderId="0" applyFont="0" applyFill="0" applyBorder="0" applyAlignment="0" applyProtection="0"/>
  </cellStyleXfs>
  <cellXfs count="1696">
    <xf numFmtId="0" fontId="0" fillId="0" borderId="0" xfId="0"/>
    <xf numFmtId="0" fontId="4" fillId="0" borderId="0" xfId="0" applyFont="1"/>
    <xf numFmtId="0" fontId="13" fillId="9" borderId="14" xfId="0" applyFont="1" applyFill="1" applyBorder="1" applyAlignment="1">
      <alignment horizontal="center" vertical="center" wrapText="1"/>
    </xf>
    <xf numFmtId="0" fontId="4" fillId="0" borderId="0" xfId="0" applyFont="1" applyAlignment="1">
      <alignment wrapText="1"/>
    </xf>
    <xf numFmtId="0" fontId="13" fillId="9"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169" fontId="4" fillId="0" borderId="59" xfId="0" applyNumberFormat="1" applyFont="1" applyBorder="1" applyAlignment="1" applyProtection="1">
      <alignment horizontal="center" vertical="center" wrapText="1"/>
      <protection locked="0"/>
    </xf>
    <xf numFmtId="169" fontId="4" fillId="0" borderId="62" xfId="0" applyNumberFormat="1" applyFont="1" applyBorder="1" applyAlignment="1" applyProtection="1">
      <alignment horizontal="center" vertical="center" wrapText="1"/>
      <protection locked="0"/>
    </xf>
    <xf numFmtId="9" fontId="4" fillId="0" borderId="1" xfId="1" applyFont="1" applyBorder="1" applyAlignment="1" applyProtection="1">
      <alignment horizontal="center" vertical="center" wrapText="1"/>
      <protection locked="0"/>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49" fontId="4" fillId="0" borderId="1" xfId="0" applyNumberFormat="1" applyFont="1" applyBorder="1" applyAlignment="1" applyProtection="1">
      <alignment horizontal="center" vertical="center" wrapText="1"/>
      <protection locked="0"/>
    </xf>
    <xf numFmtId="0" fontId="47" fillId="9" borderId="14" xfId="0" applyFont="1" applyFill="1" applyBorder="1" applyAlignment="1">
      <alignment horizontal="center" vertical="center" wrapText="1"/>
    </xf>
    <xf numFmtId="169" fontId="4" fillId="4" borderId="1" xfId="0" applyNumberFormat="1" applyFont="1" applyFill="1" applyBorder="1" applyAlignment="1">
      <alignment horizontal="center" vertical="center" wrapText="1"/>
    </xf>
    <xf numFmtId="169" fontId="4" fillId="4" borderId="15"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0" fontId="0" fillId="0" borderId="7" xfId="0" applyBorder="1" applyAlignment="1">
      <alignment vertical="center"/>
    </xf>
    <xf numFmtId="0" fontId="0" fillId="0" borderId="18" xfId="0" applyBorder="1" applyAlignment="1">
      <alignment vertical="center"/>
    </xf>
    <xf numFmtId="0" fontId="0" fillId="0" borderId="0" xfId="0" applyAlignment="1">
      <alignment vertical="center"/>
    </xf>
    <xf numFmtId="0" fontId="0" fillId="0" borderId="19"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19" xfId="0" applyFont="1" applyBorder="1" applyAlignment="1">
      <alignment vertical="center"/>
    </xf>
    <xf numFmtId="0" fontId="47" fillId="9" borderId="2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0" borderId="0" xfId="0" applyFont="1"/>
    <xf numFmtId="169" fontId="4" fillId="4" borderId="2"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10" fontId="4" fillId="4"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169" fontId="4" fillId="4" borderId="56" xfId="0" applyNumberFormat="1" applyFont="1" applyFill="1" applyBorder="1" applyAlignment="1">
      <alignment horizontal="center" vertical="center" wrapText="1"/>
    </xf>
    <xf numFmtId="169" fontId="4" fillId="4" borderId="59" xfId="0" applyNumberFormat="1" applyFont="1" applyFill="1" applyBorder="1" applyAlignment="1">
      <alignment horizontal="center" vertical="center" wrapText="1"/>
    </xf>
    <xf numFmtId="169" fontId="4" fillId="4" borderId="62" xfId="0" applyNumberFormat="1" applyFont="1" applyFill="1" applyBorder="1" applyAlignment="1">
      <alignment horizontal="center" vertical="center" wrapText="1"/>
    </xf>
    <xf numFmtId="169" fontId="4" fillId="4" borderId="63" xfId="0" applyNumberFormat="1" applyFont="1" applyFill="1" applyBorder="1" applyAlignment="1">
      <alignment horizontal="center" vertical="center" wrapText="1"/>
    </xf>
    <xf numFmtId="169"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169" fontId="4" fillId="4" borderId="61" xfId="0" applyNumberFormat="1" applyFont="1" applyFill="1" applyBorder="1" applyAlignment="1">
      <alignment horizontal="center" vertical="center" wrapText="1"/>
    </xf>
    <xf numFmtId="169" fontId="4" fillId="4" borderId="65" xfId="0" applyNumberFormat="1" applyFont="1" applyFill="1" applyBorder="1" applyAlignment="1">
      <alignment horizontal="center" vertical="center" wrapText="1"/>
    </xf>
    <xf numFmtId="169" fontId="4" fillId="4" borderId="57" xfId="0" applyNumberFormat="1" applyFont="1" applyFill="1" applyBorder="1" applyAlignment="1">
      <alignment horizontal="center" vertical="center" wrapText="1"/>
    </xf>
    <xf numFmtId="169" fontId="4" fillId="4" borderId="58" xfId="0" applyNumberFormat="1" applyFont="1" applyFill="1" applyBorder="1" applyAlignment="1">
      <alignment horizontal="center" vertical="center" wrapText="1"/>
    </xf>
    <xf numFmtId="2" fontId="4" fillId="4" borderId="58" xfId="0" applyNumberFormat="1" applyFont="1" applyFill="1" applyBorder="1" applyAlignment="1">
      <alignment horizontal="center" vertical="center" wrapText="1"/>
    </xf>
    <xf numFmtId="169" fontId="4" fillId="4" borderId="60" xfId="0" applyNumberFormat="1" applyFont="1" applyFill="1" applyBorder="1" applyAlignment="1">
      <alignment horizontal="center" vertical="center" wrapText="1"/>
    </xf>
    <xf numFmtId="2" fontId="4" fillId="4" borderId="61" xfId="0" applyNumberFormat="1" applyFont="1" applyFill="1" applyBorder="1" applyAlignment="1">
      <alignment horizontal="center" vertical="center" wrapText="1"/>
    </xf>
    <xf numFmtId="169" fontId="4" fillId="4" borderId="64" xfId="0" applyNumberFormat="1" applyFont="1" applyFill="1" applyBorder="1" applyAlignment="1">
      <alignment horizontal="center" vertical="center" wrapText="1"/>
    </xf>
    <xf numFmtId="169" fontId="46" fillId="2" borderId="14" xfId="0" applyNumberFormat="1" applyFont="1" applyFill="1" applyBorder="1" applyAlignment="1">
      <alignment vertical="center"/>
    </xf>
    <xf numFmtId="0" fontId="2" fillId="2" borderId="55" xfId="0" applyFont="1" applyFill="1" applyBorder="1" applyAlignment="1">
      <alignment horizontal="right" vertical="center"/>
    </xf>
    <xf numFmtId="169" fontId="2" fillId="2" borderId="2" xfId="0" applyNumberFormat="1" applyFont="1" applyFill="1" applyBorder="1" applyAlignment="1">
      <alignment vertical="center"/>
    </xf>
    <xf numFmtId="169" fontId="2" fillId="2" borderId="9" xfId="0" applyNumberFormat="1" applyFont="1" applyFill="1" applyBorder="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0" fontId="8" fillId="0" borderId="0" xfId="6" quotePrefix="1" applyBorder="1" applyAlignment="1" applyProtection="1">
      <alignment vertical="center"/>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13" fillId="9" borderId="25" xfId="0" applyFont="1" applyFill="1" applyBorder="1" applyAlignment="1">
      <alignment horizontal="center" vertical="center" wrapText="1"/>
    </xf>
    <xf numFmtId="0" fontId="0" fillId="8" borderId="16" xfId="0" applyFill="1" applyBorder="1" applyAlignment="1">
      <alignment horizontal="center" vertical="center"/>
    </xf>
    <xf numFmtId="169" fontId="46" fillId="2" borderId="51" xfId="0" applyNumberFormat="1" applyFont="1" applyFill="1" applyBorder="1" applyAlignment="1">
      <alignment vertical="center"/>
    </xf>
    <xf numFmtId="169" fontId="46" fillId="2" borderId="30" xfId="0" applyNumberFormat="1" applyFont="1" applyFill="1" applyBorder="1" applyAlignment="1">
      <alignment vertical="center"/>
    </xf>
    <xf numFmtId="169" fontId="47" fillId="4" borderId="1" xfId="0" applyNumberFormat="1" applyFont="1" applyFill="1" applyBorder="1" applyAlignment="1">
      <alignment horizontal="center" vertical="center"/>
    </xf>
    <xf numFmtId="169" fontId="47" fillId="4" borderId="1" xfId="0" applyNumberFormat="1" applyFont="1" applyFill="1" applyBorder="1" applyAlignment="1">
      <alignment horizontal="center" vertical="center" wrapText="1"/>
    </xf>
    <xf numFmtId="0" fontId="55" fillId="0" borderId="0" xfId="0" applyFont="1" applyAlignment="1">
      <alignment horizontal="left" vertical="center" wrapText="1"/>
    </xf>
    <xf numFmtId="0" fontId="56"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23" fillId="29" borderId="14" xfId="0" applyFont="1" applyFill="1" applyBorder="1" applyAlignment="1">
      <alignment horizontal="center" vertical="center" wrapText="1"/>
    </xf>
    <xf numFmtId="9" fontId="56" fillId="0" borderId="0" xfId="1" applyFont="1" applyAlignment="1">
      <alignment horizontal="center" vertical="center" wrapText="1"/>
    </xf>
    <xf numFmtId="9" fontId="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9"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0" fontId="59" fillId="6" borderId="0" xfId="0" applyFont="1" applyFill="1" applyAlignment="1">
      <alignment horizontal="center" vertical="center" wrapText="1"/>
    </xf>
    <xf numFmtId="0" fontId="59" fillId="6" borderId="0" xfId="0" applyFont="1" applyFill="1" applyAlignment="1">
      <alignment vertical="center" wrapText="1"/>
    </xf>
    <xf numFmtId="169" fontId="59" fillId="6" borderId="0" xfId="101" applyNumberFormat="1" applyFont="1" applyFill="1" applyBorder="1" applyAlignment="1">
      <alignment horizontal="center" vertical="center" wrapText="1"/>
    </xf>
    <xf numFmtId="169" fontId="59" fillId="6" borderId="0" xfId="0" applyNumberFormat="1" applyFont="1" applyFill="1" applyAlignment="1">
      <alignment horizontal="center" vertical="center" wrapText="1"/>
    </xf>
    <xf numFmtId="169"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98" xfId="0" applyFont="1" applyFill="1" applyBorder="1" applyAlignment="1">
      <alignment horizontal="center" vertical="center" wrapText="1"/>
    </xf>
    <xf numFmtId="0" fontId="23" fillId="29" borderId="96" xfId="0" applyFont="1" applyFill="1" applyBorder="1" applyAlignment="1">
      <alignment horizontal="center" vertical="center" wrapText="1"/>
    </xf>
    <xf numFmtId="0" fontId="60"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3" fillId="9" borderId="29" xfId="0" applyFont="1" applyFill="1" applyBorder="1" applyAlignment="1">
      <alignment horizontal="center" vertical="center" wrapText="1"/>
    </xf>
    <xf numFmtId="0" fontId="13" fillId="0" borderId="0" xfId="0" applyFont="1" applyAlignment="1">
      <alignment wrapText="1"/>
    </xf>
    <xf numFmtId="0" fontId="63" fillId="0" borderId="1" xfId="0" applyFont="1" applyBorder="1" applyAlignment="1" applyProtection="1">
      <alignment horizontal="center" vertical="center" wrapText="1"/>
      <protection locked="0"/>
    </xf>
    <xf numFmtId="49" fontId="47" fillId="0" borderId="15" xfId="0" applyNumberFormat="1" applyFont="1" applyBorder="1" applyAlignment="1" applyProtection="1">
      <alignment horizontal="center" vertical="center" wrapText="1"/>
      <protection locked="0"/>
    </xf>
    <xf numFmtId="49" fontId="47" fillId="0" borderId="1" xfId="0" applyNumberFormat="1" applyFont="1" applyBorder="1" applyAlignment="1">
      <alignment horizontal="center" vertical="center" wrapText="1"/>
    </xf>
    <xf numFmtId="169" fontId="4" fillId="8" borderId="15" xfId="0" applyNumberFormat="1" applyFont="1" applyFill="1" applyBorder="1" applyAlignment="1">
      <alignment horizontal="center" vertical="center"/>
    </xf>
    <xf numFmtId="0" fontId="64" fillId="0" borderId="0" xfId="0" applyFont="1" applyAlignment="1">
      <alignment vertical="center"/>
    </xf>
    <xf numFmtId="0" fontId="2" fillId="2" borderId="27" xfId="0" applyFont="1" applyFill="1" applyBorder="1" applyAlignment="1">
      <alignment horizontal="right" vertical="center" wrapText="1"/>
    </xf>
    <xf numFmtId="169" fontId="2" fillId="2" borderId="27" xfId="0" applyNumberFormat="1" applyFont="1" applyFill="1" applyBorder="1" applyAlignment="1">
      <alignment vertical="center" wrapText="1"/>
    </xf>
    <xf numFmtId="167" fontId="2" fillId="2" borderId="28" xfId="0" applyNumberFormat="1" applyFont="1" applyFill="1" applyBorder="1" applyAlignment="1">
      <alignment vertical="center" wrapText="1"/>
    </xf>
    <xf numFmtId="0" fontId="2" fillId="2" borderId="32"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45" xfId="0" applyFont="1" applyFill="1" applyBorder="1" applyAlignment="1">
      <alignment horizontal="center" vertical="center" wrapText="1"/>
    </xf>
    <xf numFmtId="169" fontId="2" fillId="2" borderId="28" xfId="0" applyNumberFormat="1" applyFont="1" applyFill="1" applyBorder="1" applyAlignment="1">
      <alignment vertical="center" wrapText="1"/>
    </xf>
    <xf numFmtId="169" fontId="0" fillId="0" borderId="0" xfId="0" applyNumberFormat="1" applyAlignment="1">
      <alignment wrapText="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6"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0" fillId="6" borderId="0" xfId="0" applyFill="1" applyAlignment="1">
      <alignment vertical="center"/>
    </xf>
    <xf numFmtId="0" fontId="70" fillId="6" borderId="0" xfId="0" applyFont="1" applyFill="1" applyAlignment="1">
      <alignment vertical="center"/>
    </xf>
    <xf numFmtId="0" fontId="19" fillId="6" borderId="0" xfId="0" applyFont="1" applyFill="1" applyAlignment="1">
      <alignment horizontal="center" vertical="center" wrapText="1"/>
    </xf>
    <xf numFmtId="0" fontId="54" fillId="6" borderId="0" xfId="0" applyFont="1" applyFill="1" applyAlignment="1">
      <alignment horizontal="center" vertical="center" wrapText="1"/>
    </xf>
    <xf numFmtId="0" fontId="0" fillId="6" borderId="19"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1" fontId="4" fillId="0" borderId="15" xfId="0" applyNumberFormat="1" applyFont="1" applyBorder="1" applyAlignment="1" applyProtection="1">
      <alignment horizontal="center" vertical="center" wrapText="1"/>
      <protection locked="0"/>
    </xf>
    <xf numFmtId="0" fontId="0" fillId="8" borderId="26" xfId="0" applyFill="1" applyBorder="1" applyAlignment="1">
      <alignment horizontal="center" vertical="center"/>
    </xf>
    <xf numFmtId="0" fontId="4" fillId="0" borderId="27" xfId="0" applyFont="1" applyBorder="1" applyAlignment="1" applyProtection="1">
      <alignment horizontal="center" vertical="center" wrapText="1"/>
      <protection locked="0"/>
    </xf>
    <xf numFmtId="9" fontId="4" fillId="0" borderId="27" xfId="1" applyFont="1" applyBorder="1" applyAlignment="1" applyProtection="1">
      <alignment horizontal="center" vertical="center" wrapText="1"/>
      <protection locked="0"/>
    </xf>
    <xf numFmtId="1" fontId="4" fillId="0" borderId="27"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69" fontId="4" fillId="0" borderId="16" xfId="0" applyNumberFormat="1" applyFont="1" applyBorder="1" applyAlignment="1" applyProtection="1">
      <alignment horizontal="center" vertical="center"/>
      <protection locked="0"/>
    </xf>
    <xf numFmtId="169" fontId="0" fillId="4" borderId="15" xfId="0" applyNumberFormat="1" applyFill="1" applyBorder="1" applyAlignment="1">
      <alignment horizontal="center" vertical="center"/>
    </xf>
    <xf numFmtId="169" fontId="4" fillId="0" borderId="26" xfId="0" applyNumberFormat="1" applyFont="1" applyBorder="1" applyAlignment="1" applyProtection="1">
      <alignment horizontal="center" vertical="center"/>
      <protection locked="0"/>
    </xf>
    <xf numFmtId="169" fontId="4" fillId="0" borderId="27" xfId="0" applyNumberFormat="1" applyFont="1" applyBorder="1" applyAlignment="1" applyProtection="1">
      <alignment horizontal="center" vertical="center" wrapText="1"/>
      <protection locked="0"/>
    </xf>
    <xf numFmtId="169" fontId="4" fillId="4" borderId="104" xfId="0" applyNumberFormat="1" applyFont="1" applyFill="1" applyBorder="1" applyAlignment="1">
      <alignment horizontal="center" vertical="center" wrapText="1"/>
    </xf>
    <xf numFmtId="169" fontId="4" fillId="0" borderId="105" xfId="0" applyNumberFormat="1" applyFont="1" applyBorder="1" applyAlignment="1" applyProtection="1">
      <alignment horizontal="center" vertical="center" wrapText="1"/>
      <protection locked="0"/>
    </xf>
    <xf numFmtId="169" fontId="4" fillId="4" borderId="27" xfId="0" applyNumberFormat="1" applyFont="1" applyFill="1" applyBorder="1" applyAlignment="1">
      <alignment horizontal="center" vertical="center" wrapText="1"/>
    </xf>
    <xf numFmtId="169" fontId="4" fillId="0" borderId="106" xfId="0" applyNumberFormat="1" applyFont="1" applyBorder="1" applyAlignment="1" applyProtection="1">
      <alignment horizontal="center" vertical="center" wrapText="1"/>
      <protection locked="0"/>
    </xf>
    <xf numFmtId="169" fontId="4" fillId="4" borderId="28" xfId="0" applyNumberFormat="1" applyFont="1" applyFill="1" applyBorder="1" applyAlignment="1">
      <alignment horizontal="center" vertical="center" wrapText="1"/>
    </xf>
    <xf numFmtId="0" fontId="4" fillId="0" borderId="77" xfId="0" applyFont="1" applyBorder="1" applyAlignment="1" applyProtection="1">
      <alignment horizontal="center" vertical="center"/>
      <protection locked="0"/>
    </xf>
    <xf numFmtId="0" fontId="4" fillId="0" borderId="78" xfId="0" applyFont="1" applyBorder="1" applyAlignment="1" applyProtection="1">
      <alignment horizontal="center" vertical="center"/>
      <protection locked="0"/>
    </xf>
    <xf numFmtId="169" fontId="2" fillId="4" borderId="2" xfId="0" applyNumberFormat="1" applyFont="1" applyFill="1" applyBorder="1" applyAlignment="1">
      <alignment horizontal="center" vertical="center"/>
    </xf>
    <xf numFmtId="0" fontId="2" fillId="0" borderId="77" xfId="0" applyFont="1" applyBorder="1" applyAlignment="1" applyProtection="1">
      <alignment horizontal="center" vertical="center" wrapText="1"/>
      <protection locked="0"/>
    </xf>
    <xf numFmtId="0" fontId="2" fillId="0" borderId="78" xfId="0" applyFont="1" applyBorder="1" applyAlignment="1" applyProtection="1">
      <alignment horizontal="center" vertical="center" wrapText="1"/>
      <protection locked="0"/>
    </xf>
    <xf numFmtId="0" fontId="13" fillId="38" borderId="1" xfId="0" applyFont="1" applyFill="1" applyBorder="1" applyAlignment="1">
      <alignment horizontal="center" vertical="center" wrapText="1"/>
    </xf>
    <xf numFmtId="0" fontId="47" fillId="38"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13" fillId="38" borderId="14" xfId="0" applyFont="1" applyFill="1" applyBorder="1" applyAlignment="1">
      <alignment horizontal="center" vertical="center" wrapText="1"/>
    </xf>
    <xf numFmtId="0" fontId="10" fillId="6" borderId="0" xfId="0" applyFont="1" applyFill="1" applyAlignment="1">
      <alignment horizontal="center" vertical="center" wrapText="1"/>
    </xf>
    <xf numFmtId="0" fontId="0" fillId="6" borderId="0" xfId="0" applyFill="1" applyAlignment="1">
      <alignment wrapText="1"/>
    </xf>
    <xf numFmtId="0" fontId="4" fillId="8" borderId="29"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1" fontId="4" fillId="0" borderId="30" xfId="0" applyNumberFormat="1" applyFont="1" applyBorder="1" applyAlignment="1" applyProtection="1">
      <alignment horizontal="center" vertical="center" wrapText="1"/>
      <protection locked="0"/>
    </xf>
    <xf numFmtId="169" fontId="4" fillId="0" borderId="29" xfId="0" applyNumberFormat="1" applyFont="1" applyBorder="1" applyAlignment="1" applyProtection="1">
      <alignment horizontal="center" vertical="center"/>
      <protection locked="0"/>
    </xf>
    <xf numFmtId="169" fontId="4" fillId="0" borderId="14" xfId="0" applyNumberFormat="1" applyFont="1" applyBorder="1" applyAlignment="1" applyProtection="1">
      <alignment horizontal="center" vertical="center" wrapText="1"/>
      <protection locked="0"/>
    </xf>
    <xf numFmtId="169" fontId="4" fillId="4" borderId="5" xfId="0" applyNumberFormat="1" applyFont="1" applyFill="1" applyBorder="1" applyAlignment="1">
      <alignment horizontal="center" vertical="center" wrapText="1"/>
    </xf>
    <xf numFmtId="169" fontId="4" fillId="0" borderId="72" xfId="0" applyNumberFormat="1" applyFont="1" applyBorder="1" applyAlignment="1" applyProtection="1">
      <alignment horizontal="center" vertical="center" wrapText="1"/>
      <protection locked="0"/>
    </xf>
    <xf numFmtId="169" fontId="4" fillId="0" borderId="73" xfId="0" applyNumberFormat="1" applyFont="1" applyBorder="1" applyAlignment="1" applyProtection="1">
      <alignment horizontal="center" vertical="center" wrapText="1"/>
      <protection locked="0"/>
    </xf>
    <xf numFmtId="169" fontId="0" fillId="4" borderId="30" xfId="0" applyNumberFormat="1" applyFill="1" applyBorder="1" applyAlignment="1">
      <alignment horizontal="center" vertical="center"/>
    </xf>
    <xf numFmtId="0" fontId="4" fillId="0" borderId="108" xfId="0" applyFont="1" applyBorder="1" applyAlignment="1" applyProtection="1">
      <alignment horizontal="center" vertical="center"/>
      <protection locked="0"/>
    </xf>
    <xf numFmtId="169" fontId="47" fillId="4" borderId="14" xfId="0" applyNumberFormat="1" applyFont="1" applyFill="1" applyBorder="1" applyAlignment="1">
      <alignment horizontal="center" vertical="center"/>
    </xf>
    <xf numFmtId="169" fontId="2" fillId="4" borderId="5" xfId="0" applyNumberFormat="1" applyFont="1" applyFill="1" applyBorder="1" applyAlignment="1">
      <alignment horizontal="center" vertical="center"/>
    </xf>
    <xf numFmtId="0" fontId="2" fillId="0" borderId="108" xfId="0" applyFont="1" applyBorder="1" applyAlignment="1" applyProtection="1">
      <alignment horizontal="center" vertical="center" wrapText="1"/>
      <protection locked="0"/>
    </xf>
    <xf numFmtId="0" fontId="4" fillId="4" borderId="25" xfId="0" applyFont="1" applyFill="1" applyBorder="1" applyAlignment="1">
      <alignment horizontal="center" vertical="center" wrapText="1"/>
    </xf>
    <xf numFmtId="10" fontId="4" fillId="4" borderId="14"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2" fontId="4" fillId="4" borderId="14" xfId="0" applyNumberFormat="1" applyFont="1" applyFill="1" applyBorder="1" applyAlignment="1">
      <alignment horizontal="center" vertical="center" wrapText="1"/>
    </xf>
    <xf numFmtId="0" fontId="4" fillId="4" borderId="5" xfId="0" applyFont="1" applyFill="1" applyBorder="1" applyAlignment="1">
      <alignment horizontal="center" vertical="center" wrapText="1"/>
    </xf>
    <xf numFmtId="169" fontId="4" fillId="4" borderId="71" xfId="0" applyNumberFormat="1" applyFont="1" applyFill="1" applyBorder="1" applyAlignment="1">
      <alignment horizontal="center" vertical="center" wrapText="1"/>
    </xf>
    <xf numFmtId="169" fontId="4" fillId="4" borderId="14" xfId="0" applyNumberFormat="1" applyFont="1" applyFill="1" applyBorder="1" applyAlignment="1">
      <alignment horizontal="center" vertical="center" wrapText="1"/>
    </xf>
    <xf numFmtId="169" fontId="4" fillId="4" borderId="72" xfId="0" applyNumberFormat="1" applyFont="1" applyFill="1" applyBorder="1" applyAlignment="1">
      <alignment horizontal="center" vertical="center" wrapText="1"/>
    </xf>
    <xf numFmtId="169" fontId="4" fillId="4" borderId="73" xfId="0" applyNumberFormat="1" applyFont="1" applyFill="1" applyBorder="1" applyAlignment="1">
      <alignment horizontal="center" vertical="center" wrapText="1"/>
    </xf>
    <xf numFmtId="169" fontId="4" fillId="4" borderId="74" xfId="0" applyNumberFormat="1" applyFont="1" applyFill="1" applyBorder="1" applyAlignment="1">
      <alignment horizontal="center" vertical="center" wrapText="1"/>
    </xf>
    <xf numFmtId="0" fontId="0" fillId="0" borderId="14" xfId="0" applyBorder="1" applyAlignment="1">
      <alignment horizontal="center" vertical="center" wrapText="1"/>
    </xf>
    <xf numFmtId="169" fontId="4" fillId="4" borderId="14" xfId="0" applyNumberFormat="1" applyFont="1" applyFill="1" applyBorder="1" applyAlignment="1">
      <alignment horizontal="center" vertical="center"/>
    </xf>
    <xf numFmtId="169" fontId="47" fillId="4" borderId="14" xfId="0" applyNumberFormat="1" applyFont="1" applyFill="1" applyBorder="1" applyAlignment="1">
      <alignment horizontal="center" vertical="center" wrapText="1"/>
    </xf>
    <xf numFmtId="0" fontId="47" fillId="4" borderId="14" xfId="0" applyFont="1" applyFill="1" applyBorder="1" applyAlignment="1">
      <alignment horizontal="center" vertical="center" wrapText="1"/>
    </xf>
    <xf numFmtId="169" fontId="4" fillId="4" borderId="30" xfId="0" applyNumberFormat="1" applyFont="1" applyFill="1" applyBorder="1" applyAlignment="1">
      <alignment horizontal="center" vertical="center"/>
    </xf>
    <xf numFmtId="0" fontId="47" fillId="11" borderId="27" xfId="0" applyFont="1" applyFill="1" applyBorder="1" applyAlignment="1">
      <alignment horizontal="center" vertical="center"/>
    </xf>
    <xf numFmtId="0" fontId="13" fillId="11" borderId="27" xfId="0" applyFont="1" applyFill="1" applyBorder="1" applyAlignment="1">
      <alignment horizontal="center" vertical="center" wrapText="1"/>
    </xf>
    <xf numFmtId="9" fontId="13" fillId="11" borderId="27" xfId="0" applyNumberFormat="1" applyFont="1" applyFill="1" applyBorder="1" applyAlignment="1">
      <alignment horizontal="center" vertical="center" wrapText="1"/>
    </xf>
    <xf numFmtId="0" fontId="4" fillId="11" borderId="27" xfId="0" applyFont="1" applyFill="1" applyBorder="1" applyAlignment="1">
      <alignment horizontal="center" vertical="center" wrapText="1"/>
    </xf>
    <xf numFmtId="1" fontId="13" fillId="11" borderId="27" xfId="0" applyNumberFormat="1" applyFont="1" applyFill="1" applyBorder="1" applyAlignment="1">
      <alignment horizontal="center" vertical="center" wrapText="1"/>
    </xf>
    <xf numFmtId="2" fontId="13" fillId="11" borderId="27" xfId="0" applyNumberFormat="1" applyFont="1" applyFill="1" applyBorder="1" applyAlignment="1">
      <alignment horizontal="center" vertical="center" wrapText="1"/>
    </xf>
    <xf numFmtId="169" fontId="13" fillId="11" borderId="27" xfId="0" applyNumberFormat="1" applyFont="1" applyFill="1" applyBorder="1" applyAlignment="1">
      <alignment horizontal="center" vertical="center" wrapText="1"/>
    </xf>
    <xf numFmtId="169" fontId="4" fillId="11" borderId="27" xfId="0" applyNumberFormat="1" applyFont="1" applyFill="1" applyBorder="1" applyAlignment="1">
      <alignment horizontal="center" vertical="center" wrapText="1"/>
    </xf>
    <xf numFmtId="169" fontId="9" fillId="11" borderId="27" xfId="0" applyNumberFormat="1" applyFont="1" applyFill="1" applyBorder="1" applyAlignment="1">
      <alignment horizontal="center" vertical="center"/>
    </xf>
    <xf numFmtId="169" fontId="46" fillId="11" borderId="27" xfId="0" applyNumberFormat="1" applyFont="1" applyFill="1" applyBorder="1" applyAlignment="1">
      <alignment horizontal="center" vertical="center"/>
    </xf>
    <xf numFmtId="49" fontId="13" fillId="11" borderId="27" xfId="0" applyNumberFormat="1" applyFont="1" applyFill="1" applyBorder="1" applyAlignment="1">
      <alignment horizontal="center" vertical="center" wrapText="1"/>
    </xf>
    <xf numFmtId="0" fontId="4" fillId="11" borderId="45" xfId="0" applyFont="1" applyFill="1" applyBorder="1" applyAlignment="1">
      <alignment horizontal="center" vertical="center" wrapText="1"/>
    </xf>
    <xf numFmtId="10" fontId="4" fillId="11" borderId="27" xfId="0" applyNumberFormat="1" applyFont="1" applyFill="1" applyBorder="1" applyAlignment="1">
      <alignment horizontal="center" vertical="center" wrapText="1"/>
    </xf>
    <xf numFmtId="2" fontId="4" fillId="11" borderId="27" xfId="0" applyNumberFormat="1" applyFont="1" applyFill="1" applyBorder="1" applyAlignment="1">
      <alignment horizontal="center" vertical="center" wrapText="1"/>
    </xf>
    <xf numFmtId="0" fontId="4" fillId="11" borderId="50" xfId="0" applyFont="1" applyFill="1" applyBorder="1" applyAlignment="1">
      <alignment horizontal="center" vertical="center" wrapText="1"/>
    </xf>
    <xf numFmtId="169" fontId="4" fillId="11" borderId="27" xfId="0" applyNumberFormat="1" applyFont="1" applyFill="1" applyBorder="1" applyAlignment="1">
      <alignment horizontal="center" vertical="center"/>
    </xf>
    <xf numFmtId="169" fontId="9" fillId="11" borderId="27" xfId="0" applyNumberFormat="1" applyFont="1" applyFill="1" applyBorder="1" applyAlignment="1">
      <alignment horizontal="center" vertical="center" wrapText="1"/>
    </xf>
    <xf numFmtId="169" fontId="4" fillId="11" borderId="28" xfId="0" applyNumberFormat="1" applyFont="1" applyFill="1" applyBorder="1" applyAlignment="1">
      <alignment horizontal="center" vertical="center"/>
    </xf>
    <xf numFmtId="49" fontId="4" fillId="0" borderId="14" xfId="0" applyNumberFormat="1" applyFont="1" applyBorder="1" applyAlignment="1" applyProtection="1">
      <alignment horizontal="center" vertical="center" wrapText="1"/>
      <protection locked="0"/>
    </xf>
    <xf numFmtId="0" fontId="4" fillId="0" borderId="14" xfId="0" applyFont="1" applyBorder="1"/>
    <xf numFmtId="0" fontId="4" fillId="8" borderId="29" xfId="0" applyFont="1" applyFill="1" applyBorder="1" applyAlignment="1">
      <alignment horizontal="center" vertical="center" wrapText="1"/>
    </xf>
    <xf numFmtId="0" fontId="63" fillId="0" borderId="14"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protection locked="0"/>
    </xf>
    <xf numFmtId="49" fontId="47" fillId="0" borderId="30" xfId="0" applyNumberFormat="1" applyFont="1" applyBorder="1" applyAlignment="1" applyProtection="1">
      <alignment horizontal="center" vertical="center" wrapText="1"/>
      <protection locked="0"/>
    </xf>
    <xf numFmtId="0" fontId="4" fillId="4" borderId="29" xfId="0" applyFont="1" applyFill="1" applyBorder="1" applyAlignment="1">
      <alignment horizontal="center" vertical="center" wrapText="1"/>
    </xf>
    <xf numFmtId="49" fontId="47" fillId="0" borderId="14" xfId="0" applyNumberFormat="1" applyFont="1" applyBorder="1" applyAlignment="1">
      <alignment horizontal="center" vertical="center" wrapText="1"/>
    </xf>
    <xf numFmtId="0" fontId="47" fillId="8" borderId="14" xfId="0" applyFont="1" applyFill="1" applyBorder="1" applyAlignment="1">
      <alignment horizontal="center" vertical="center" wrapText="1"/>
    </xf>
    <xf numFmtId="169" fontId="4" fillId="8" borderId="30" xfId="0" applyNumberFormat="1" applyFont="1" applyFill="1" applyBorder="1" applyAlignment="1">
      <alignment horizontal="center" vertical="center"/>
    </xf>
    <xf numFmtId="0" fontId="13" fillId="11" borderId="26" xfId="0" applyFont="1" applyFill="1" applyBorder="1" applyAlignment="1">
      <alignment horizontal="center" vertical="center" wrapText="1"/>
    </xf>
    <xf numFmtId="0" fontId="62" fillId="11" borderId="27" xfId="0" applyFont="1" applyFill="1" applyBorder="1" applyAlignment="1" applyProtection="1">
      <alignment horizontal="center" vertical="center" wrapText="1"/>
      <protection locked="0"/>
    </xf>
    <xf numFmtId="169" fontId="13" fillId="11" borderId="50" xfId="0" applyNumberFormat="1" applyFont="1" applyFill="1" applyBorder="1" applyAlignment="1">
      <alignment horizontal="center" vertical="center" wrapText="1"/>
    </xf>
    <xf numFmtId="49" fontId="9" fillId="11" borderId="28" xfId="0" applyNumberFormat="1" applyFont="1" applyFill="1" applyBorder="1" applyAlignment="1">
      <alignment horizontal="center" vertical="center" wrapText="1"/>
    </xf>
    <xf numFmtId="0" fontId="62" fillId="31" borderId="26" xfId="0" applyFont="1" applyFill="1" applyBorder="1" applyAlignment="1" applyProtection="1">
      <alignment horizontal="center" vertical="center" wrapText="1"/>
      <protection locked="0"/>
    </xf>
    <xf numFmtId="0" fontId="13" fillId="31" borderId="45" xfId="0" applyFont="1" applyFill="1" applyBorder="1" applyAlignment="1">
      <alignment horizontal="center" vertical="center" wrapText="1"/>
    </xf>
    <xf numFmtId="0" fontId="62" fillId="31" borderId="45" xfId="0" applyFont="1" applyFill="1" applyBorder="1" applyAlignment="1" applyProtection="1">
      <alignment horizontal="center" vertical="center" wrapText="1"/>
      <protection locked="0"/>
    </xf>
    <xf numFmtId="169" fontId="13" fillId="31" borderId="33" xfId="0" applyNumberFormat="1" applyFont="1" applyFill="1" applyBorder="1" applyAlignment="1">
      <alignment horizontal="center" vertical="center" wrapText="1"/>
    </xf>
    <xf numFmtId="169" fontId="13" fillId="31" borderId="45" xfId="0" applyNumberFormat="1" applyFont="1" applyFill="1" applyBorder="1" applyAlignment="1">
      <alignment horizontal="center" vertical="center" wrapText="1"/>
    </xf>
    <xf numFmtId="49" fontId="9" fillId="11" borderId="27" xfId="0" applyNumberFormat="1" applyFont="1" applyFill="1" applyBorder="1" applyAlignment="1">
      <alignment horizontal="center" vertical="center" wrapText="1"/>
    </xf>
    <xf numFmtId="0" fontId="13" fillId="11" borderId="27" xfId="0" applyFont="1" applyFill="1" applyBorder="1"/>
    <xf numFmtId="0" fontId="13" fillId="11" borderId="28" xfId="0" applyFont="1" applyFill="1" applyBorder="1"/>
    <xf numFmtId="0" fontId="16" fillId="0" borderId="0" xfId="0" applyFont="1" applyAlignment="1">
      <alignment vertical="center" wrapText="1"/>
    </xf>
    <xf numFmtId="0" fontId="14" fillId="0" borderId="0" xfId="0" applyFont="1" applyAlignment="1">
      <alignment horizontal="center" vertical="center" wrapText="1"/>
    </xf>
    <xf numFmtId="0" fontId="66" fillId="0" borderId="0" xfId="0" applyFont="1" applyAlignment="1">
      <alignment vertical="center"/>
    </xf>
    <xf numFmtId="0" fontId="48" fillId="0" borderId="0" xfId="0" applyFont="1" applyAlignment="1">
      <alignment horizontal="center" vertical="center" wrapText="1"/>
    </xf>
    <xf numFmtId="20" fontId="23" fillId="0" borderId="0" xfId="0" applyNumberFormat="1" applyFont="1" applyAlignment="1">
      <alignment vertical="center" wrapText="1"/>
    </xf>
    <xf numFmtId="169" fontId="0" fillId="0" borderId="0" xfId="0" applyNumberFormat="1"/>
    <xf numFmtId="169" fontId="66"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165" fontId="68"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30" xfId="0" applyFont="1" applyFill="1" applyBorder="1" applyAlignment="1">
      <alignment horizontal="center" vertical="center" wrapText="1"/>
    </xf>
    <xf numFmtId="0" fontId="13" fillId="29" borderId="14" xfId="0" applyFont="1" applyFill="1" applyBorder="1" applyAlignment="1">
      <alignment horizontal="center" vertical="center" wrapText="1"/>
    </xf>
    <xf numFmtId="169" fontId="0" fillId="0" borderId="0" xfId="0" applyNumberFormat="1" applyAlignment="1" applyProtection="1">
      <alignment vertical="center"/>
      <protection hidden="1"/>
    </xf>
    <xf numFmtId="20" fontId="55" fillId="0" borderId="0" xfId="0" applyNumberFormat="1" applyFont="1" applyAlignment="1">
      <alignment vertical="center" wrapText="1"/>
    </xf>
    <xf numFmtId="20" fontId="24" fillId="0" borderId="0" xfId="0" applyNumberFormat="1" applyFont="1" applyAlignment="1">
      <alignment vertical="center" wrapText="1"/>
    </xf>
    <xf numFmtId="0" fontId="18" fillId="6" borderId="0" xfId="0" applyFont="1" applyFill="1" applyAlignment="1">
      <alignment vertical="center" wrapText="1"/>
    </xf>
    <xf numFmtId="167" fontId="24" fillId="4" borderId="53" xfId="101" applyFont="1" applyFill="1" applyBorder="1" applyAlignment="1">
      <alignment vertical="center" wrapText="1"/>
    </xf>
    <xf numFmtId="9" fontId="24" fillId="0" borderId="0" xfId="1" applyFont="1" applyFill="1" applyBorder="1" applyAlignment="1">
      <alignment vertical="center" wrapText="1"/>
    </xf>
    <xf numFmtId="169" fontId="24" fillId="0" borderId="0" xfId="0" applyNumberFormat="1" applyFont="1" applyAlignment="1">
      <alignment vertical="center" wrapText="1"/>
    </xf>
    <xf numFmtId="0" fontId="18" fillId="0" borderId="0" xfId="0" applyFont="1" applyAlignment="1">
      <alignment vertical="center" wrapText="1"/>
    </xf>
    <xf numFmtId="0" fontId="24" fillId="11" borderId="112" xfId="0" applyFont="1" applyFill="1" applyBorder="1" applyAlignment="1">
      <alignment vertical="center" wrapText="1"/>
    </xf>
    <xf numFmtId="0" fontId="80" fillId="11" borderId="112" xfId="0" applyFont="1" applyFill="1" applyBorder="1" applyAlignment="1">
      <alignment horizontal="right" vertical="center" wrapText="1"/>
    </xf>
    <xf numFmtId="0" fontId="25" fillId="2" borderId="99" xfId="0" applyFont="1" applyFill="1" applyBorder="1" applyAlignment="1" applyProtection="1">
      <alignment horizontal="right" vertical="center" wrapText="1"/>
      <protection hidden="1"/>
    </xf>
    <xf numFmtId="9" fontId="60" fillId="4" borderId="1" xfId="1" applyFont="1" applyFill="1" applyBorder="1" applyAlignment="1">
      <alignment horizontal="center" vertical="center" wrapText="1"/>
    </xf>
    <xf numFmtId="165" fontId="68" fillId="0" borderId="0" xfId="0" applyNumberFormat="1" applyFont="1" applyAlignment="1" applyProtection="1">
      <alignment horizontal="center" vertical="center" wrapText="1"/>
      <protection hidden="1"/>
    </xf>
    <xf numFmtId="169" fontId="60" fillId="4" borderId="27" xfId="0" applyNumberFormat="1" applyFont="1" applyFill="1" applyBorder="1" applyAlignment="1">
      <alignment horizontal="center" vertical="center" wrapText="1"/>
    </xf>
    <xf numFmtId="169" fontId="60" fillId="4" borderId="26" xfId="0" applyNumberFormat="1" applyFont="1" applyFill="1" applyBorder="1" applyAlignment="1">
      <alignment horizontal="center" vertical="center" wrapText="1"/>
    </xf>
    <xf numFmtId="20" fontId="23" fillId="8" borderId="1" xfId="0" applyNumberFormat="1" applyFont="1" applyFill="1" applyBorder="1" applyAlignment="1">
      <alignment horizontal="center" vertical="center" wrapText="1"/>
    </xf>
    <xf numFmtId="165" fontId="24" fillId="4" borderId="50" xfId="0" applyNumberFormat="1" applyFont="1" applyFill="1" applyBorder="1" applyAlignment="1">
      <alignment horizontal="center" vertical="center"/>
    </xf>
    <xf numFmtId="169" fontId="16" fillId="4" borderId="78" xfId="0" applyNumberFormat="1" applyFont="1" applyFill="1" applyBorder="1" applyAlignment="1">
      <alignment horizontal="center"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5" fontId="89" fillId="0" borderId="0" xfId="0" applyNumberFormat="1" applyFont="1" applyAlignment="1" applyProtection="1">
      <alignment vertical="center" wrapText="1"/>
      <protection hidden="1"/>
    </xf>
    <xf numFmtId="165" fontId="88"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0" borderId="5" xfId="0" applyFont="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4" fillId="8" borderId="46" xfId="0" applyFont="1" applyFill="1" applyBorder="1" applyAlignment="1">
      <alignment horizontal="center" vertical="center" wrapText="1"/>
    </xf>
    <xf numFmtId="0" fontId="4" fillId="8" borderId="69" xfId="0" applyFont="1" applyFill="1" applyBorder="1" applyAlignment="1">
      <alignment horizontal="center" vertical="center" wrapText="1"/>
    </xf>
    <xf numFmtId="0" fontId="4" fillId="8" borderId="49" xfId="0" applyFont="1" applyFill="1" applyBorder="1" applyAlignment="1">
      <alignment horizontal="center" vertical="center" wrapText="1"/>
    </xf>
    <xf numFmtId="0" fontId="4" fillId="8" borderId="14"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30" xfId="0" applyFont="1" applyFill="1" applyBorder="1" applyAlignment="1">
      <alignment horizontal="center" vertical="center" wrapText="1"/>
    </xf>
    <xf numFmtId="0" fontId="4" fillId="8" borderId="51" xfId="0" applyFont="1" applyFill="1" applyBorder="1" applyAlignment="1">
      <alignment horizontal="center" vertical="center" wrapText="1"/>
    </xf>
    <xf numFmtId="0" fontId="4" fillId="8" borderId="76" xfId="0" applyFont="1" applyFill="1" applyBorder="1" applyAlignment="1">
      <alignment horizontal="center" vertical="center" wrapText="1"/>
    </xf>
    <xf numFmtId="0" fontId="4" fillId="8" borderId="68"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4" fillId="6" borderId="1" xfId="0" applyFont="1" applyFill="1" applyBorder="1" applyAlignment="1">
      <alignment horizontal="center" vertical="center" wrapText="1"/>
    </xf>
    <xf numFmtId="0" fontId="4" fillId="0" borderId="1" xfId="0" applyFont="1" applyBorder="1" applyAlignment="1">
      <alignment horizontal="center" vertical="center" wrapText="1"/>
    </xf>
    <xf numFmtId="165" fontId="92" fillId="35" borderId="1" xfId="0" applyNumberFormat="1" applyFont="1" applyFill="1" applyBorder="1" applyAlignment="1" applyProtection="1">
      <alignment horizontal="center" vertical="center" wrapText="1"/>
      <protection hidden="1"/>
    </xf>
    <xf numFmtId="165" fontId="87" fillId="35" borderId="1" xfId="0" applyNumberFormat="1" applyFont="1" applyFill="1" applyBorder="1" applyAlignment="1" applyProtection="1">
      <alignment horizontal="center" vertical="center" wrapText="1"/>
      <protection hidden="1"/>
    </xf>
    <xf numFmtId="165" fontId="4" fillId="35" borderId="1" xfId="0" applyNumberFormat="1" applyFont="1" applyFill="1" applyBorder="1" applyAlignment="1" applyProtection="1">
      <alignment horizontal="center" vertical="center" wrapText="1"/>
      <protection hidden="1"/>
    </xf>
    <xf numFmtId="0" fontId="95" fillId="11" borderId="48" xfId="0" applyFont="1" applyFill="1" applyBorder="1" applyAlignment="1">
      <alignment horizontal="center" vertical="center" wrapText="1"/>
    </xf>
    <xf numFmtId="9" fontId="24" fillId="4" borderId="113" xfId="1" applyFont="1" applyFill="1" applyBorder="1" applyAlignment="1">
      <alignment vertical="center" wrapText="1"/>
    </xf>
    <xf numFmtId="169" fontId="24" fillId="4" borderId="113" xfId="0" applyNumberFormat="1" applyFont="1" applyFill="1" applyBorder="1" applyAlignment="1">
      <alignment vertical="center" wrapText="1"/>
    </xf>
    <xf numFmtId="169" fontId="80" fillId="4" borderId="113" xfId="0" applyNumberFormat="1" applyFont="1" applyFill="1" applyBorder="1" applyAlignment="1">
      <alignment vertical="center" wrapText="1"/>
    </xf>
    <xf numFmtId="169" fontId="24" fillId="2" borderId="103" xfId="0" applyNumberFormat="1" applyFont="1" applyFill="1" applyBorder="1" applyAlignment="1">
      <alignment vertical="center" wrapText="1"/>
    </xf>
    <xf numFmtId="169" fontId="24" fillId="4" borderId="1" xfId="101" applyNumberFormat="1" applyFont="1" applyFill="1" applyBorder="1" applyAlignment="1">
      <alignment horizontal="center" vertical="center" wrapText="1"/>
    </xf>
    <xf numFmtId="20" fontId="24" fillId="9" borderId="29" xfId="0" applyNumberFormat="1" applyFont="1" applyFill="1" applyBorder="1" applyAlignment="1">
      <alignment horizontal="center" vertical="center" wrapText="1"/>
    </xf>
    <xf numFmtId="169" fontId="24" fillId="9" borderId="14" xfId="0" applyNumberFormat="1" applyFont="1" applyFill="1" applyBorder="1" applyAlignment="1">
      <alignment horizontal="center" vertical="center" wrapText="1"/>
    </xf>
    <xf numFmtId="20" fontId="24" fillId="9" borderId="5" xfId="0" applyNumberFormat="1" applyFont="1" applyFill="1" applyBorder="1" applyAlignment="1">
      <alignment horizontal="center" vertical="center" wrapText="1"/>
    </xf>
    <xf numFmtId="20" fontId="16" fillId="9" borderId="108" xfId="0" applyNumberFormat="1" applyFont="1" applyFill="1" applyBorder="1" applyAlignment="1">
      <alignment horizontal="center" vertical="center" wrapText="1"/>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33" xfId="0" applyFont="1" applyFill="1" applyBorder="1" applyAlignment="1">
      <alignment horizontal="right" vertical="center" wrapText="1"/>
    </xf>
    <xf numFmtId="0" fontId="4" fillId="8" borderId="27" xfId="0" applyFont="1" applyFill="1" applyBorder="1" applyAlignment="1">
      <alignment horizontal="center" vertical="center" wrapText="1"/>
    </xf>
    <xf numFmtId="0" fontId="47" fillId="10" borderId="14" xfId="0" applyFont="1" applyFill="1" applyBorder="1" applyAlignment="1">
      <alignment horizontal="center" vertical="center" wrapText="1"/>
    </xf>
    <xf numFmtId="0" fontId="47" fillId="10" borderId="5" xfId="0" applyFont="1" applyFill="1" applyBorder="1" applyAlignment="1">
      <alignment horizontal="center" vertical="center" wrapText="1"/>
    </xf>
    <xf numFmtId="0" fontId="47" fillId="10" borderId="2" xfId="0" applyFont="1" applyFill="1" applyBorder="1" applyAlignment="1">
      <alignment horizontal="center" vertical="center" wrapText="1"/>
    </xf>
    <xf numFmtId="0" fontId="47" fillId="11" borderId="26" xfId="0" applyFont="1" applyFill="1" applyBorder="1" applyAlignment="1">
      <alignment horizontal="center" vertical="center"/>
    </xf>
    <xf numFmtId="0" fontId="13" fillId="11" borderId="45" xfId="0" applyFont="1" applyFill="1" applyBorder="1" applyAlignment="1">
      <alignment horizontal="center" vertical="center" wrapText="1"/>
    </xf>
    <xf numFmtId="49" fontId="4" fillId="11" borderId="27" xfId="0" applyNumberFormat="1" applyFont="1" applyFill="1" applyBorder="1" applyAlignment="1">
      <alignment horizontal="center" vertical="center" wrapText="1"/>
    </xf>
    <xf numFmtId="49" fontId="13" fillId="11" borderId="27" xfId="102" applyNumberFormat="1" applyFont="1" applyFill="1" applyBorder="1" applyAlignment="1">
      <alignment horizontal="center" vertical="center" wrapText="1"/>
    </xf>
    <xf numFmtId="9" fontId="13" fillId="11" borderId="27" xfId="102" applyNumberFormat="1" applyFont="1" applyFill="1" applyBorder="1" applyAlignment="1">
      <alignment horizontal="center" vertical="center" wrapText="1"/>
    </xf>
    <xf numFmtId="169" fontId="13" fillId="11" borderId="27" xfId="1" applyNumberFormat="1" applyFont="1" applyFill="1" applyBorder="1" applyAlignment="1" applyProtection="1">
      <alignment horizontal="right" vertical="center" wrapText="1"/>
    </xf>
    <xf numFmtId="49" fontId="13" fillId="11" borderId="27" xfId="1" applyNumberFormat="1" applyFont="1" applyFill="1" applyBorder="1" applyAlignment="1" applyProtection="1">
      <alignment horizontal="center" vertical="center" wrapText="1"/>
    </xf>
    <xf numFmtId="0" fontId="13" fillId="11" borderId="28" xfId="0" applyFont="1" applyFill="1" applyBorder="1" applyAlignment="1">
      <alignment horizontal="center" vertical="center" wrapText="1"/>
    </xf>
    <xf numFmtId="0" fontId="4" fillId="8" borderId="48" xfId="0" applyFont="1" applyFill="1" applyBorder="1" applyAlignment="1">
      <alignment horizontal="center" vertical="center"/>
    </xf>
    <xf numFmtId="0" fontId="4" fillId="6" borderId="25" xfId="0"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9" fontId="4" fillId="0" borderId="14" xfId="0" applyNumberFormat="1" applyFont="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3" fontId="4" fillId="6" borderId="14" xfId="102" quotePrefix="1" applyNumberFormat="1" applyFont="1" applyFill="1" applyBorder="1" applyAlignment="1" applyProtection="1">
      <alignment horizontal="center" vertical="center" wrapText="1"/>
      <protection locked="0"/>
    </xf>
    <xf numFmtId="169" fontId="4" fillId="6" borderId="14" xfId="101" applyNumberFormat="1" applyFont="1" applyFill="1" applyBorder="1" applyAlignment="1" applyProtection="1">
      <alignment horizontal="right" vertical="center" wrapText="1"/>
      <protection locked="0"/>
    </xf>
    <xf numFmtId="169" fontId="47" fillId="4" borderId="14" xfId="101" applyNumberFormat="1" applyFont="1" applyFill="1" applyBorder="1" applyAlignment="1" applyProtection="1">
      <alignment horizontal="right" vertical="center" wrapText="1"/>
    </xf>
    <xf numFmtId="0" fontId="4" fillId="0" borderId="30" xfId="0" applyFont="1" applyBorder="1" applyAlignment="1" applyProtection="1">
      <alignment horizontal="center" vertical="center" wrapText="1"/>
      <protection locked="0"/>
    </xf>
    <xf numFmtId="14" fontId="4" fillId="4" borderId="14" xfId="0" applyNumberFormat="1"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14" fontId="4" fillId="4" borderId="1" xfId="0" applyNumberFormat="1" applyFont="1" applyFill="1" applyBorder="1" applyAlignment="1">
      <alignment horizontal="center" vertical="center" wrapText="1"/>
    </xf>
    <xf numFmtId="169" fontId="2" fillId="2" borderId="4" xfId="0" applyNumberFormat="1" applyFont="1" applyFill="1" applyBorder="1" applyAlignment="1">
      <alignment vertical="center"/>
    </xf>
    <xf numFmtId="0" fontId="2" fillId="2" borderId="4" xfId="0" applyFont="1" applyFill="1" applyBorder="1" applyAlignment="1">
      <alignment vertical="center"/>
    </xf>
    <xf numFmtId="0" fontId="2" fillId="2" borderId="21" xfId="0" applyFont="1" applyFill="1" applyBorder="1" applyAlignment="1">
      <alignment vertical="center"/>
    </xf>
    <xf numFmtId="0" fontId="2" fillId="2" borderId="22" xfId="0" applyFont="1" applyFill="1" applyBorder="1" applyAlignment="1">
      <alignment vertical="center"/>
    </xf>
    <xf numFmtId="169" fontId="2" fillId="2" borderId="22" xfId="0" applyNumberFormat="1" applyFont="1" applyFill="1" applyBorder="1" applyAlignment="1">
      <alignment vertical="center"/>
    </xf>
    <xf numFmtId="0" fontId="47" fillId="10" borderId="30"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4" fillId="6" borderId="1" xfId="0" applyFont="1" applyFill="1" applyBorder="1" applyAlignment="1" applyProtection="1">
      <alignment horizontal="center" vertical="center" wrapText="1"/>
      <protection locked="0"/>
    </xf>
    <xf numFmtId="9" fontId="4" fillId="6" borderId="1" xfId="102" applyNumberFormat="1" applyFont="1" applyFill="1" applyBorder="1" applyAlignment="1" applyProtection="1">
      <alignment horizontal="center" vertical="center" wrapText="1"/>
      <protection locked="0"/>
    </xf>
    <xf numFmtId="169" fontId="4" fillId="6" borderId="1" xfId="1" applyNumberFormat="1" applyFont="1" applyFill="1" applyBorder="1" applyAlignment="1" applyProtection="1">
      <alignment horizontal="right" vertical="center" wrapText="1"/>
      <protection locked="0"/>
    </xf>
    <xf numFmtId="169" fontId="47" fillId="4" borderId="1" xfId="1" applyNumberFormat="1" applyFont="1" applyFill="1" applyBorder="1" applyAlignment="1" applyProtection="1">
      <alignment horizontal="right" vertical="center" wrapText="1"/>
    </xf>
    <xf numFmtId="0" fontId="4" fillId="0" borderId="15" xfId="0" applyFont="1" applyBorder="1" applyAlignment="1" applyProtection="1">
      <alignment horizontal="center" vertical="center"/>
      <protection locked="0"/>
    </xf>
    <xf numFmtId="169" fontId="4" fillId="4" borderId="3" xfId="0" applyNumberFormat="1" applyFont="1" applyFill="1" applyBorder="1" applyAlignment="1">
      <alignment horizontal="center" vertical="center" wrapText="1"/>
    </xf>
    <xf numFmtId="0" fontId="2" fillId="2" borderId="33" xfId="0" applyFont="1" applyFill="1" applyBorder="1" applyAlignment="1">
      <alignment vertical="center"/>
    </xf>
    <xf numFmtId="0" fontId="2" fillId="2" borderId="50" xfId="0" applyFont="1" applyFill="1" applyBorder="1" applyAlignment="1">
      <alignment horizontal="right" vertical="center"/>
    </xf>
    <xf numFmtId="0" fontId="2" fillId="2" borderId="25" xfId="0" applyFont="1" applyFill="1" applyBorder="1" applyAlignment="1">
      <alignment vertical="center"/>
    </xf>
    <xf numFmtId="0" fontId="2" fillId="2" borderId="2" xfId="0" applyFont="1" applyFill="1" applyBorder="1" applyAlignment="1">
      <alignment horizontal="right" vertical="center"/>
    </xf>
    <xf numFmtId="169" fontId="46" fillId="2" borderId="14" xfId="0" applyNumberFormat="1" applyFont="1" applyFill="1" applyBorder="1" applyAlignment="1">
      <alignment horizontal="center" vertical="center"/>
    </xf>
    <xf numFmtId="167" fontId="2" fillId="2" borderId="22" xfId="0" applyNumberFormat="1" applyFont="1" applyFill="1" applyBorder="1" applyAlignment="1">
      <alignment horizontal="center" vertical="center"/>
    </xf>
    <xf numFmtId="0" fontId="2" fillId="2" borderId="55" xfId="0" applyFont="1" applyFill="1" applyBorder="1" applyAlignment="1">
      <alignment horizontal="center" vertical="center"/>
    </xf>
    <xf numFmtId="0" fontId="0" fillId="0" borderId="0" xfId="0" applyAlignment="1">
      <alignment horizontal="center"/>
    </xf>
    <xf numFmtId="0" fontId="4" fillId="6" borderId="0" xfId="0" applyFont="1" applyFill="1" applyAlignment="1">
      <alignment vertical="center"/>
    </xf>
    <xf numFmtId="0" fontId="47" fillId="42" borderId="5"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13" fillId="9" borderId="16" xfId="0" applyFont="1" applyFill="1" applyBorder="1" applyAlignment="1">
      <alignment horizontal="center" vertical="center" wrapText="1"/>
    </xf>
    <xf numFmtId="169" fontId="4" fillId="11" borderId="1" xfId="101" applyNumberFormat="1" applyFont="1" applyFill="1" applyBorder="1" applyAlignment="1" applyProtection="1">
      <alignment horizontal="center" vertical="center" wrapText="1"/>
    </xf>
    <xf numFmtId="169" fontId="0" fillId="11" borderId="1" xfId="0" applyNumberFormat="1" applyFill="1" applyBorder="1" applyAlignment="1">
      <alignment horizontal="center" vertical="center" wrapText="1"/>
    </xf>
    <xf numFmtId="169" fontId="0" fillId="11" borderId="1" xfId="0" applyNumberFormat="1" applyFill="1" applyBorder="1" applyAlignment="1">
      <alignment vertical="center"/>
    </xf>
    <xf numFmtId="0" fontId="4" fillId="8" borderId="1" xfId="0" applyFont="1" applyFill="1" applyBorder="1" applyAlignment="1">
      <alignment horizontal="center" vertical="center" wrapText="1"/>
    </xf>
    <xf numFmtId="169" fontId="2" fillId="4" borderId="1" xfId="0" applyNumberFormat="1" applyFont="1" applyFill="1" applyBorder="1" applyAlignment="1">
      <alignment horizontal="center" vertical="center" wrapText="1"/>
    </xf>
    <xf numFmtId="169" fontId="4" fillId="4" borderId="1" xfId="0" applyNumberFormat="1" applyFont="1" applyFill="1" applyBorder="1" applyAlignment="1" applyProtection="1">
      <alignment horizontal="center" vertical="center" wrapText="1"/>
      <protection locked="0"/>
    </xf>
    <xf numFmtId="169" fontId="47" fillId="4" borderId="1" xfId="0" applyNumberFormat="1" applyFont="1" applyFill="1" applyBorder="1" applyAlignment="1" applyProtection="1">
      <alignment horizontal="center" vertical="center" wrapText="1"/>
      <protection locked="0"/>
    </xf>
    <xf numFmtId="169" fontId="0" fillId="4" borderId="1" xfId="0" applyNumberFormat="1" applyFill="1" applyBorder="1" applyAlignment="1">
      <alignment vertical="center"/>
    </xf>
    <xf numFmtId="169" fontId="0" fillId="2" borderId="9" xfId="0" applyNumberFormat="1" applyFill="1" applyBorder="1"/>
    <xf numFmtId="169" fontId="2" fillId="2" borderId="9" xfId="0" applyNumberFormat="1" applyFont="1" applyFill="1" applyBorder="1"/>
    <xf numFmtId="0" fontId="0" fillId="2" borderId="9" xfId="0" applyFill="1" applyBorder="1"/>
    <xf numFmtId="164" fontId="98" fillId="43" borderId="14" xfId="0" applyNumberFormat="1" applyFont="1" applyFill="1" applyBorder="1" applyAlignment="1">
      <alignment horizontal="center" vertical="center"/>
    </xf>
    <xf numFmtId="0" fontId="0" fillId="2" borderId="67" xfId="0" applyFill="1" applyBorder="1"/>
    <xf numFmtId="0" fontId="2" fillId="2" borderId="9" xfId="0" applyFont="1" applyFill="1" applyBorder="1" applyAlignment="1">
      <alignment horizontal="center"/>
    </xf>
    <xf numFmtId="169" fontId="2" fillId="2" borderId="9" xfId="0" applyNumberFormat="1" applyFont="1" applyFill="1" applyBorder="1" applyAlignment="1">
      <alignment horizontal="center"/>
    </xf>
    <xf numFmtId="169" fontId="0" fillId="2" borderId="3" xfId="0" applyNumberFormat="1" applyFill="1" applyBorder="1"/>
    <xf numFmtId="0" fontId="14" fillId="0" borderId="0" xfId="0" applyFont="1" applyAlignment="1">
      <alignment horizontal="left" vertical="center" wrapText="1"/>
    </xf>
    <xf numFmtId="49" fontId="0" fillId="0" borderId="0" xfId="0" applyNumberFormat="1" applyAlignment="1">
      <alignment horizontal="center" vertical="center" wrapText="1"/>
    </xf>
    <xf numFmtId="0" fontId="4" fillId="8" borderId="136" xfId="0" applyFont="1" applyFill="1" applyBorder="1" applyAlignment="1">
      <alignment horizontal="center" vertical="center" wrapText="1"/>
    </xf>
    <xf numFmtId="0" fontId="4" fillId="6" borderId="30" xfId="0" applyFont="1" applyFill="1" applyBorder="1" applyAlignment="1" applyProtection="1">
      <alignment horizontal="center" vertical="center" wrapText="1"/>
      <protection locked="0"/>
    </xf>
    <xf numFmtId="169" fontId="0" fillId="4" borderId="137" xfId="101" applyNumberFormat="1" applyFont="1" applyFill="1" applyBorder="1" applyAlignment="1" applyProtection="1">
      <alignment horizontal="center" vertical="center" wrapText="1"/>
    </xf>
    <xf numFmtId="169" fontId="0" fillId="4" borderId="138" xfId="101" applyNumberFormat="1" applyFont="1" applyFill="1" applyBorder="1" applyAlignment="1" applyProtection="1">
      <alignment horizontal="center" vertical="center" wrapText="1"/>
    </xf>
    <xf numFmtId="0" fontId="4" fillId="4" borderId="139" xfId="0" applyFont="1" applyFill="1" applyBorder="1" applyAlignment="1">
      <alignment horizontal="center" vertical="center" wrapText="1"/>
    </xf>
    <xf numFmtId="169" fontId="47" fillId="4" borderId="14" xfId="0" applyNumberFormat="1" applyFont="1" applyFill="1" applyBorder="1" applyAlignment="1">
      <alignment horizontal="right" vertical="center" wrapText="1"/>
    </xf>
    <xf numFmtId="0" fontId="4" fillId="8" borderId="126" xfId="0" applyFont="1" applyFill="1" applyBorder="1" applyAlignment="1">
      <alignment horizontal="center" vertical="center" wrapText="1"/>
    </xf>
    <xf numFmtId="0" fontId="4" fillId="6" borderId="3" xfId="0" applyFont="1" applyFill="1" applyBorder="1" applyAlignment="1" applyProtection="1">
      <alignment horizontal="center" vertical="center" wrapText="1"/>
      <protection locked="0"/>
    </xf>
    <xf numFmtId="0" fontId="4" fillId="6" borderId="15" xfId="0" applyFont="1" applyFill="1" applyBorder="1" applyAlignment="1" applyProtection="1">
      <alignment horizontal="center" vertical="center" wrapText="1"/>
      <protection locked="0"/>
    </xf>
    <xf numFmtId="0" fontId="4" fillId="6" borderId="9" xfId="0" applyFont="1" applyFill="1" applyBorder="1" applyAlignment="1" applyProtection="1">
      <alignment horizontal="center" vertical="center" wrapText="1"/>
      <protection locked="0"/>
    </xf>
    <xf numFmtId="1" fontId="0" fillId="6" borderId="53" xfId="101" applyNumberFormat="1" applyFont="1" applyFill="1" applyBorder="1" applyAlignment="1" applyProtection="1">
      <alignment horizontal="center" vertical="center" wrapText="1"/>
      <protection locked="0"/>
    </xf>
    <xf numFmtId="1" fontId="0" fillId="0" borderId="34" xfId="101" applyNumberFormat="1" applyFont="1" applyFill="1" applyBorder="1" applyAlignment="1" applyProtection="1">
      <alignment horizontal="center" vertical="center" wrapText="1"/>
      <protection locked="0"/>
    </xf>
    <xf numFmtId="169" fontId="0" fillId="4" borderId="40" xfId="101" applyNumberFormat="1" applyFont="1" applyFill="1" applyBorder="1" applyAlignment="1">
      <alignment horizontal="center" vertical="center" wrapText="1"/>
    </xf>
    <xf numFmtId="0" fontId="4" fillId="0" borderId="9" xfId="0" applyFont="1" applyBorder="1" applyAlignment="1" applyProtection="1">
      <alignment horizontal="center" vertical="center" wrapText="1"/>
      <protection locked="0"/>
    </xf>
    <xf numFmtId="0" fontId="13" fillId="4" borderId="91" xfId="0" applyFont="1" applyFill="1" applyBorder="1" applyAlignment="1">
      <alignment horizontal="center" vertical="center" wrapText="1"/>
    </xf>
    <xf numFmtId="0" fontId="13" fillId="4" borderId="53" xfId="0" applyFont="1" applyFill="1" applyBorder="1" applyAlignment="1">
      <alignment horizontal="center" vertical="center" wrapText="1"/>
    </xf>
    <xf numFmtId="0" fontId="13" fillId="4" borderId="112" xfId="0" applyFont="1" applyFill="1" applyBorder="1" applyAlignment="1">
      <alignment horizontal="center" vertical="center" wrapText="1"/>
    </xf>
    <xf numFmtId="169" fontId="4" fillId="4" borderId="56" xfId="0" applyNumberFormat="1" applyFont="1" applyFill="1" applyBorder="1" applyAlignment="1" applyProtection="1">
      <alignment horizontal="center" vertical="center" wrapText="1"/>
      <protection locked="0"/>
    </xf>
    <xf numFmtId="169" fontId="13" fillId="4" borderId="53" xfId="0" applyNumberFormat="1" applyFont="1" applyFill="1" applyBorder="1" applyAlignment="1">
      <alignment horizontal="center" vertical="center" wrapText="1"/>
    </xf>
    <xf numFmtId="169" fontId="47" fillId="4" borderId="140" xfId="0" applyNumberFormat="1" applyFont="1" applyFill="1" applyBorder="1" applyAlignment="1">
      <alignment horizontal="center" vertical="center" wrapText="1"/>
    </xf>
    <xf numFmtId="169" fontId="4" fillId="4" borderId="130" xfId="0" applyNumberFormat="1" applyFont="1" applyFill="1" applyBorder="1" applyAlignment="1">
      <alignment horizontal="center" vertical="center" wrapText="1"/>
    </xf>
    <xf numFmtId="169" fontId="4" fillId="4" borderId="53" xfId="0" applyNumberFormat="1" applyFont="1" applyFill="1" applyBorder="1" applyAlignment="1">
      <alignment horizontal="center" vertical="center" wrapText="1"/>
    </xf>
    <xf numFmtId="0" fontId="4" fillId="0" borderId="53" xfId="0" applyFont="1" applyBorder="1" applyAlignment="1">
      <alignment horizontal="center" vertical="center" wrapText="1"/>
    </xf>
    <xf numFmtId="169" fontId="9" fillId="4" borderId="53" xfId="0" applyNumberFormat="1" applyFont="1" applyFill="1" applyBorder="1" applyAlignment="1">
      <alignment horizontal="center" vertical="center" wrapText="1"/>
    </xf>
    <xf numFmtId="0" fontId="47" fillId="4" borderId="53" xfId="0" applyFont="1" applyFill="1" applyBorder="1" applyAlignment="1">
      <alignment horizontal="center" vertical="center" wrapText="1"/>
    </xf>
    <xf numFmtId="0" fontId="4" fillId="4" borderId="53" xfId="0" applyFont="1" applyFill="1" applyBorder="1" applyAlignment="1">
      <alignment horizontal="center" vertical="center" wrapText="1"/>
    </xf>
    <xf numFmtId="169" fontId="47" fillId="4" borderId="1" xfId="0" applyNumberFormat="1" applyFont="1" applyFill="1" applyBorder="1" applyAlignment="1">
      <alignment horizontal="right" vertical="center" wrapText="1"/>
    </xf>
    <xf numFmtId="169" fontId="47" fillId="4" borderId="141" xfId="0" applyNumberFormat="1" applyFont="1" applyFill="1" applyBorder="1" applyAlignment="1">
      <alignment horizontal="right" vertical="center" wrapText="1"/>
    </xf>
    <xf numFmtId="169" fontId="47" fillId="4" borderId="92" xfId="0" applyNumberFormat="1" applyFont="1" applyFill="1" applyBorder="1" applyAlignment="1">
      <alignment horizontal="right" vertical="center" wrapText="1"/>
    </xf>
    <xf numFmtId="0" fontId="4" fillId="6" borderId="9" xfId="0" applyFont="1" applyFill="1" applyBorder="1" applyAlignment="1" applyProtection="1">
      <alignment vertical="center" wrapText="1"/>
      <protection locked="0"/>
    </xf>
    <xf numFmtId="0" fontId="4" fillId="6" borderId="1" xfId="0" applyFont="1" applyFill="1" applyBorder="1" applyAlignment="1" applyProtection="1">
      <alignment vertical="center" wrapText="1"/>
      <protection locked="0"/>
    </xf>
    <xf numFmtId="0" fontId="4" fillId="6" borderId="3" xfId="0" applyFont="1" applyFill="1" applyBorder="1" applyAlignment="1" applyProtection="1">
      <alignment vertical="center" wrapText="1"/>
      <protection locked="0"/>
    </xf>
    <xf numFmtId="169" fontId="0" fillId="4" borderId="142" xfId="101" applyNumberFormat="1" applyFont="1" applyFill="1" applyBorder="1" applyAlignment="1">
      <alignment horizontal="center" vertical="center" wrapText="1"/>
    </xf>
    <xf numFmtId="0" fontId="4" fillId="8" borderId="143" xfId="0" applyFont="1" applyFill="1" applyBorder="1" applyAlignment="1">
      <alignment horizontal="center" vertical="center" wrapText="1"/>
    </xf>
    <xf numFmtId="0" fontId="4" fillId="6" borderId="45"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45" xfId="0" applyFont="1" applyFill="1" applyBorder="1" applyAlignment="1" applyProtection="1">
      <alignment vertical="center" wrapText="1"/>
      <protection locked="0"/>
    </xf>
    <xf numFmtId="0" fontId="13" fillId="4" borderId="94" xfId="0" applyFont="1" applyFill="1" applyBorder="1" applyAlignment="1">
      <alignment horizontal="center" vertical="center" wrapText="1"/>
    </xf>
    <xf numFmtId="0" fontId="13" fillId="4" borderId="151" xfId="0" applyFont="1" applyFill="1" applyBorder="1" applyAlignment="1">
      <alignment horizontal="center" vertical="center" wrapText="1"/>
    </xf>
    <xf numFmtId="0" fontId="13" fillId="4" borderId="146" xfId="0" applyFont="1" applyFill="1" applyBorder="1" applyAlignment="1">
      <alignment horizontal="center" vertical="center" wrapText="1"/>
    </xf>
    <xf numFmtId="169" fontId="4" fillId="4" borderId="109" xfId="0" applyNumberFormat="1" applyFont="1" applyFill="1" applyBorder="1" applyAlignment="1" applyProtection="1">
      <alignment horizontal="center" vertical="center" wrapText="1"/>
      <protection locked="0"/>
    </xf>
    <xf numFmtId="169" fontId="13" fillId="4" borderId="146" xfId="0" applyNumberFormat="1" applyFont="1" applyFill="1" applyBorder="1" applyAlignment="1">
      <alignment horizontal="center" vertical="center" wrapText="1"/>
    </xf>
    <xf numFmtId="169" fontId="47" fillId="4" borderId="144" xfId="0" applyNumberFormat="1" applyFont="1" applyFill="1" applyBorder="1" applyAlignment="1">
      <alignment horizontal="center" vertical="center" wrapText="1"/>
    </xf>
    <xf numFmtId="169" fontId="4" fillId="4" borderId="145" xfId="0" applyNumberFormat="1" applyFont="1" applyFill="1" applyBorder="1" applyAlignment="1">
      <alignment horizontal="center" vertical="center" wrapText="1"/>
    </xf>
    <xf numFmtId="169" fontId="4" fillId="4" borderId="146" xfId="0" applyNumberFormat="1" applyFont="1" applyFill="1" applyBorder="1" applyAlignment="1">
      <alignment horizontal="center" vertical="center" wrapText="1"/>
    </xf>
    <xf numFmtId="0" fontId="4" fillId="0" borderId="146" xfId="0" applyFont="1" applyBorder="1" applyAlignment="1">
      <alignment horizontal="center" vertical="center" wrapText="1"/>
    </xf>
    <xf numFmtId="169" fontId="9" fillId="4" borderId="146" xfId="0" applyNumberFormat="1"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 fillId="4" borderId="94" xfId="0" applyFont="1" applyFill="1" applyBorder="1" applyAlignment="1">
      <alignment horizontal="center" vertical="center" wrapText="1"/>
    </xf>
    <xf numFmtId="0" fontId="4" fillId="4" borderId="152" xfId="0" applyFont="1" applyFill="1" applyBorder="1" applyAlignment="1">
      <alignment horizontal="center" vertical="center" wrapText="1"/>
    </xf>
    <xf numFmtId="169" fontId="47" fillId="4" borderId="27" xfId="0" applyNumberFormat="1" applyFont="1" applyFill="1" applyBorder="1" applyAlignment="1">
      <alignment horizontal="right" vertical="center" wrapText="1"/>
    </xf>
    <xf numFmtId="169" fontId="47" fillId="4" borderId="148" xfId="0" applyNumberFormat="1" applyFont="1" applyFill="1" applyBorder="1" applyAlignment="1">
      <alignment horizontal="right" vertical="center" wrapText="1"/>
    </xf>
    <xf numFmtId="169" fontId="47" fillId="4" borderId="95" xfId="0" applyNumberFormat="1" applyFont="1" applyFill="1" applyBorder="1" applyAlignment="1">
      <alignment horizontal="right" vertical="center" wrapText="1"/>
    </xf>
    <xf numFmtId="0" fontId="4" fillId="6" borderId="0" xfId="0" applyFont="1" applyFill="1" applyAlignment="1">
      <alignment wrapText="1"/>
    </xf>
    <xf numFmtId="1" fontId="4" fillId="6" borderId="0" xfId="0" applyNumberFormat="1" applyFont="1" applyFill="1" applyAlignment="1">
      <alignment wrapText="1"/>
    </xf>
    <xf numFmtId="169" fontId="47" fillId="0" borderId="0" xfId="0" applyNumberFormat="1" applyFont="1" applyAlignment="1">
      <alignment wrapText="1"/>
    </xf>
    <xf numFmtId="0" fontId="47" fillId="0" borderId="0" xfId="0" applyFont="1" applyAlignment="1">
      <alignment wrapText="1"/>
    </xf>
    <xf numFmtId="169" fontId="47" fillId="0" borderId="0" xfId="0" applyNumberFormat="1" applyFont="1" applyAlignment="1">
      <alignment horizontal="center" wrapText="1"/>
    </xf>
    <xf numFmtId="0" fontId="47" fillId="4" borderId="70" xfId="0" applyFont="1" applyFill="1" applyBorder="1" applyAlignment="1">
      <alignment horizontal="center" wrapText="1"/>
    </xf>
    <xf numFmtId="169" fontId="47" fillId="4" borderId="51" xfId="0" applyNumberFormat="1" applyFont="1" applyFill="1" applyBorder="1" applyAlignment="1">
      <alignment horizontal="center" wrapText="1"/>
    </xf>
    <xf numFmtId="169" fontId="47" fillId="4" borderId="68" xfId="0" applyNumberFormat="1" applyFont="1" applyFill="1" applyBorder="1" applyAlignment="1">
      <alignment horizontal="center" wrapText="1"/>
    </xf>
    <xf numFmtId="0" fontId="103" fillId="0" borderId="6" xfId="0" applyFont="1" applyBorder="1" applyAlignment="1" applyProtection="1">
      <alignment vertical="center"/>
      <protection locked="0"/>
    </xf>
    <xf numFmtId="0" fontId="103" fillId="0" borderId="7" xfId="0" applyFont="1" applyBorder="1" applyAlignment="1" applyProtection="1">
      <alignment vertical="center" wrapText="1"/>
      <protection locked="0"/>
    </xf>
    <xf numFmtId="0" fontId="103" fillId="0" borderId="18" xfId="0" applyFont="1" applyBorder="1" applyAlignment="1" applyProtection="1">
      <alignment vertical="center" wrapText="1"/>
      <protection locked="0"/>
    </xf>
    <xf numFmtId="0" fontId="103" fillId="0" borderId="0" xfId="0" applyFont="1" applyAlignment="1">
      <alignment vertical="center" wrapText="1"/>
    </xf>
    <xf numFmtId="0" fontId="103" fillId="0" borderId="8" xfId="0" applyFont="1" applyBorder="1" applyAlignment="1" applyProtection="1">
      <alignment vertical="center"/>
      <protection locked="0"/>
    </xf>
    <xf numFmtId="0" fontId="4" fillId="0" borderId="0" xfId="0" applyFont="1" applyAlignment="1" applyProtection="1">
      <alignment wrapText="1"/>
      <protection locked="0"/>
    </xf>
    <xf numFmtId="0" fontId="103" fillId="0" borderId="19" xfId="0" applyFont="1" applyBorder="1" applyAlignment="1" applyProtection="1">
      <alignment vertical="center" wrapText="1"/>
      <protection locked="0"/>
    </xf>
    <xf numFmtId="0" fontId="4" fillId="0" borderId="8" xfId="0" applyFont="1" applyBorder="1" applyAlignment="1" applyProtection="1">
      <alignment vertical="center"/>
      <protection locked="0"/>
    </xf>
    <xf numFmtId="0" fontId="4" fillId="0" borderId="19" xfId="0" applyFont="1" applyBorder="1" applyAlignment="1" applyProtection="1">
      <alignment vertical="center" wrapText="1"/>
      <protection locked="0"/>
    </xf>
    <xf numFmtId="0" fontId="4" fillId="0" borderId="0" xfId="0" applyFont="1" applyAlignment="1">
      <alignment vertical="center" wrapText="1"/>
    </xf>
    <xf numFmtId="0" fontId="4" fillId="0" borderId="20" xfId="0" applyFont="1" applyBorder="1" applyAlignment="1" applyProtection="1">
      <alignment vertical="center"/>
      <protection locked="0"/>
    </xf>
    <xf numFmtId="0" fontId="4" fillId="0" borderId="4" xfId="0" applyFont="1" applyBorder="1" applyAlignment="1" applyProtection="1">
      <alignment wrapText="1"/>
      <protection locked="0"/>
    </xf>
    <xf numFmtId="0" fontId="4" fillId="0" borderId="21" xfId="0" applyFont="1" applyBorder="1" applyAlignment="1" applyProtection="1">
      <alignment vertical="center" wrapText="1"/>
      <protection locked="0"/>
    </xf>
    <xf numFmtId="0" fontId="4" fillId="0" borderId="0" xfId="0" applyFont="1" applyAlignment="1">
      <alignment horizontal="center" vertical="center"/>
    </xf>
    <xf numFmtId="0" fontId="47" fillId="0" borderId="0" xfId="0" applyFont="1" applyAlignment="1">
      <alignment vertical="center"/>
    </xf>
    <xf numFmtId="0" fontId="47" fillId="6" borderId="0" xfId="102" applyFont="1" applyFill="1" applyAlignment="1">
      <alignment horizontal="center" vertical="center" wrapText="1"/>
    </xf>
    <xf numFmtId="0" fontId="13" fillId="6" borderId="0" xfId="102" applyFont="1" applyFill="1" applyAlignment="1">
      <alignment horizontal="center" vertical="center" wrapText="1"/>
    </xf>
    <xf numFmtId="0" fontId="4" fillId="6" borderId="0" xfId="0" applyFont="1" applyFill="1" applyAlignment="1">
      <alignment horizontal="center" vertical="center"/>
    </xf>
    <xf numFmtId="49" fontId="13" fillId="6" borderId="0" xfId="0" applyNumberFormat="1" applyFont="1" applyFill="1" applyAlignment="1">
      <alignment horizontal="center" vertical="center" wrapText="1"/>
    </xf>
    <xf numFmtId="1" fontId="4" fillId="6" borderId="14" xfId="0" applyNumberFormat="1" applyFont="1" applyFill="1" applyBorder="1" applyAlignment="1" applyProtection="1">
      <alignment horizontal="center" vertical="center" wrapText="1"/>
      <protection locked="0"/>
    </xf>
    <xf numFmtId="1" fontId="4" fillId="6" borderId="5" xfId="0" applyNumberFormat="1" applyFont="1" applyFill="1" applyBorder="1" applyAlignment="1" applyProtection="1">
      <alignment horizontal="center" vertical="center" wrapText="1"/>
      <protection locked="0"/>
    </xf>
    <xf numFmtId="1" fontId="4" fillId="6" borderId="53" xfId="0" applyNumberFormat="1" applyFont="1" applyFill="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0" borderId="96" xfId="0" applyFont="1" applyBorder="1" applyAlignment="1" applyProtection="1">
      <alignment horizontal="center" vertical="center" wrapText="1"/>
      <protection locked="0"/>
    </xf>
    <xf numFmtId="0" fontId="4" fillId="4" borderId="91" xfId="0" applyFont="1" applyFill="1" applyBorder="1" applyAlignment="1">
      <alignment horizontal="center" vertical="center" wrapText="1"/>
    </xf>
    <xf numFmtId="0" fontId="4" fillId="0" borderId="53" xfId="0" applyFont="1" applyBorder="1" applyAlignment="1">
      <alignment vertical="center" wrapText="1"/>
    </xf>
    <xf numFmtId="2" fontId="4" fillId="4" borderId="53" xfId="0" quotePrefix="1" applyNumberFormat="1" applyFont="1" applyFill="1" applyBorder="1" applyAlignment="1">
      <alignment horizontal="center" vertical="center" wrapText="1"/>
    </xf>
    <xf numFmtId="169" fontId="47" fillId="4" borderId="92" xfId="103" applyNumberFormat="1" applyFont="1" applyFill="1" applyBorder="1" applyAlignment="1" applyProtection="1">
      <alignment horizontal="center" vertical="center" wrapText="1"/>
    </xf>
    <xf numFmtId="1" fontId="4" fillId="6" borderId="1" xfId="0" applyNumberFormat="1" applyFont="1" applyFill="1" applyBorder="1" applyAlignment="1" applyProtection="1">
      <alignment horizontal="center" vertical="center" wrapText="1"/>
      <protection locked="0"/>
    </xf>
    <xf numFmtId="1" fontId="4" fillId="6" borderId="2" xfId="0" applyNumberFormat="1" applyFont="1" applyFill="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35" xfId="0" applyFont="1" applyBorder="1" applyAlignment="1" applyProtection="1">
      <alignment horizontal="center" vertical="center" wrapText="1"/>
      <protection locked="0"/>
    </xf>
    <xf numFmtId="0" fontId="4" fillId="6" borderId="135" xfId="0" applyFont="1" applyFill="1" applyBorder="1" applyAlignment="1" applyProtection="1">
      <alignment horizontal="center" wrapText="1"/>
      <protection locked="0"/>
    </xf>
    <xf numFmtId="1" fontId="4" fillId="6" borderId="150" xfId="0" applyNumberFormat="1" applyFont="1" applyFill="1" applyBorder="1" applyAlignment="1" applyProtection="1">
      <alignment horizontal="center" vertical="center" wrapText="1"/>
      <protection locked="0"/>
    </xf>
    <xf numFmtId="0" fontId="4" fillId="0" borderId="149" xfId="0" applyFont="1" applyBorder="1" applyAlignment="1" applyProtection="1">
      <alignment horizontal="center" vertical="center" wrapText="1"/>
      <protection locked="0"/>
    </xf>
    <xf numFmtId="0" fontId="4" fillId="6" borderId="156" xfId="0" applyFont="1" applyFill="1" applyBorder="1" applyAlignment="1" applyProtection="1">
      <alignment horizontal="center" wrapText="1"/>
      <protection locked="0"/>
    </xf>
    <xf numFmtId="0" fontId="4" fillId="4" borderId="93" xfId="0" applyFont="1" applyFill="1" applyBorder="1" applyAlignment="1">
      <alignment horizontal="center" vertical="center" wrapText="1"/>
    </xf>
    <xf numFmtId="0" fontId="4" fillId="0" borderId="94" xfId="0" applyFont="1" applyBorder="1" applyAlignment="1">
      <alignment horizontal="center" vertical="center" wrapText="1"/>
    </xf>
    <xf numFmtId="0" fontId="4" fillId="0" borderId="94" xfId="0" applyFont="1" applyBorder="1" applyAlignment="1">
      <alignment vertical="center" wrapText="1"/>
    </xf>
    <xf numFmtId="2" fontId="4" fillId="4" borderId="94" xfId="0" quotePrefix="1" applyNumberFormat="1" applyFont="1" applyFill="1" applyBorder="1" applyAlignment="1">
      <alignment horizontal="center" vertical="center" wrapText="1"/>
    </xf>
    <xf numFmtId="169" fontId="47" fillId="4" borderId="95" xfId="103" applyNumberFormat="1" applyFont="1" applyFill="1" applyBorder="1" applyAlignment="1" applyProtection="1">
      <alignment horizontal="center" vertical="center" wrapText="1"/>
    </xf>
    <xf numFmtId="0" fontId="47" fillId="6" borderId="0" xfId="0" applyFont="1" applyFill="1" applyAlignment="1">
      <alignment vertical="center"/>
    </xf>
    <xf numFmtId="0" fontId="47" fillId="4" borderId="70" xfId="0" applyFont="1" applyFill="1" applyBorder="1" applyAlignment="1">
      <alignment vertical="center"/>
    </xf>
    <xf numFmtId="0" fontId="47" fillId="4" borderId="21" xfId="0" applyFont="1" applyFill="1" applyBorder="1" applyAlignment="1">
      <alignment vertical="center" wrapText="1"/>
    </xf>
    <xf numFmtId="167" fontId="47" fillId="6" borderId="0" xfId="0" applyNumberFormat="1" applyFont="1" applyFill="1" applyAlignment="1">
      <alignment vertical="center"/>
    </xf>
    <xf numFmtId="1" fontId="4" fillId="4" borderId="155" xfId="0" applyNumberFormat="1" applyFont="1" applyFill="1" applyBorder="1" applyAlignment="1">
      <alignment vertical="center"/>
    </xf>
    <xf numFmtId="169" fontId="4" fillId="4" borderId="157" xfId="101" applyNumberFormat="1" applyFont="1" applyFill="1" applyBorder="1" applyAlignment="1" applyProtection="1">
      <alignment vertical="center"/>
    </xf>
    <xf numFmtId="1" fontId="4" fillId="4" borderId="158" xfId="0" applyNumberFormat="1" applyFont="1" applyFill="1" applyBorder="1" applyAlignment="1">
      <alignment vertical="center"/>
    </xf>
    <xf numFmtId="169" fontId="47" fillId="4" borderId="159" xfId="101" applyNumberFormat="1" applyFont="1" applyFill="1" applyBorder="1" applyAlignment="1" applyProtection="1">
      <alignment vertical="center"/>
    </xf>
    <xf numFmtId="0" fontId="47" fillId="4" borderId="155" xfId="0" applyFont="1" applyFill="1" applyBorder="1" applyAlignment="1">
      <alignment vertical="center"/>
    </xf>
    <xf numFmtId="169" fontId="47" fillId="4" borderId="88" xfId="0" applyNumberFormat="1" applyFont="1" applyFill="1" applyBorder="1" applyAlignment="1">
      <alignment vertical="center" wrapText="1"/>
    </xf>
    <xf numFmtId="169" fontId="47" fillId="4" borderId="160" xfId="101" applyNumberFormat="1" applyFont="1" applyFill="1" applyBorder="1" applyAlignment="1">
      <alignment vertical="center"/>
    </xf>
    <xf numFmtId="169" fontId="47" fillId="4" borderId="88" xfId="0" applyNumberFormat="1" applyFont="1" applyFill="1" applyBorder="1" applyAlignment="1">
      <alignment vertical="center"/>
    </xf>
    <xf numFmtId="169" fontId="47" fillId="4" borderId="88" xfId="101" applyNumberFormat="1" applyFont="1" applyFill="1" applyBorder="1" applyAlignment="1" applyProtection="1">
      <alignment vertical="center" wrapText="1"/>
    </xf>
    <xf numFmtId="0" fontId="47" fillId="0" borderId="161" xfId="0" applyFont="1" applyBorder="1" applyAlignment="1">
      <alignment vertical="center"/>
    </xf>
    <xf numFmtId="0" fontId="47" fillId="4" borderId="70" xfId="0" applyFont="1" applyFill="1" applyBorder="1" applyAlignment="1">
      <alignment horizontal="center" vertical="center"/>
    </xf>
    <xf numFmtId="169" fontId="47" fillId="4" borderId="21" xfId="101" applyNumberFormat="1" applyFont="1" applyFill="1" applyBorder="1" applyAlignment="1" applyProtection="1">
      <alignment vertical="center" wrapText="1"/>
    </xf>
    <xf numFmtId="169" fontId="47" fillId="4" borderId="21" xfId="0" applyNumberFormat="1" applyFont="1" applyFill="1" applyBorder="1" applyAlignment="1">
      <alignment horizontal="center" vertical="center" wrapText="1"/>
    </xf>
    <xf numFmtId="0" fontId="103" fillId="0" borderId="6" xfId="0" applyFont="1" applyBorder="1" applyAlignment="1" applyProtection="1">
      <alignment horizontal="left" vertical="center"/>
      <protection locked="0"/>
    </xf>
    <xf numFmtId="0" fontId="4" fillId="0" borderId="7" xfId="0" applyFont="1" applyBorder="1" applyAlignment="1" applyProtection="1">
      <alignment vertical="center"/>
      <protection locked="0"/>
    </xf>
    <xf numFmtId="0" fontId="4" fillId="0" borderId="18"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19" xfId="0" applyFont="1" applyBorder="1" applyAlignment="1" applyProtection="1">
      <alignment vertical="center"/>
      <protection locked="0"/>
    </xf>
    <xf numFmtId="0" fontId="103" fillId="0" borderId="8" xfId="0" applyFont="1" applyBorder="1" applyAlignment="1" applyProtection="1">
      <alignment horizontal="left" vertical="center"/>
      <protection locked="0"/>
    </xf>
    <xf numFmtId="0" fontId="103" fillId="0" borderId="8" xfId="0" applyFont="1" applyBorder="1" applyAlignment="1" applyProtection="1">
      <alignment horizontal="left" vertical="center" wrapText="1"/>
      <protection locked="0"/>
    </xf>
    <xf numFmtId="0" fontId="103" fillId="0" borderId="20" xfId="0"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21" xfId="0" applyFont="1" applyBorder="1" applyAlignment="1" applyProtection="1">
      <alignment vertical="center"/>
      <protection locked="0"/>
    </xf>
    <xf numFmtId="169" fontId="4" fillId="11" borderId="45" xfId="0" applyNumberFormat="1" applyFont="1" applyFill="1" applyBorder="1" applyAlignment="1">
      <alignment horizontal="center" vertical="center" wrapText="1"/>
    </xf>
    <xf numFmtId="169" fontId="4" fillId="11" borderId="26" xfId="0" applyNumberFormat="1" applyFont="1" applyFill="1" applyBorder="1" applyAlignment="1">
      <alignment horizontal="center" vertical="center" wrapText="1"/>
    </xf>
    <xf numFmtId="169" fontId="4" fillId="11" borderId="28" xfId="0" applyNumberFormat="1" applyFont="1" applyFill="1" applyBorder="1" applyAlignment="1">
      <alignment horizontal="center" vertical="center" wrapText="1"/>
    </xf>
    <xf numFmtId="0" fontId="13" fillId="29" borderId="3" xfId="0" applyFont="1" applyFill="1" applyBorder="1" applyAlignment="1">
      <alignment horizontal="center" vertical="center" wrapText="1"/>
    </xf>
    <xf numFmtId="169" fontId="4" fillId="11" borderId="26" xfId="0" applyNumberFormat="1" applyFont="1" applyFill="1" applyBorder="1" applyAlignment="1">
      <alignment horizontal="center" vertical="center"/>
    </xf>
    <xf numFmtId="169" fontId="9" fillId="11" borderId="26" xfId="0" applyNumberFormat="1" applyFont="1" applyFill="1" applyBorder="1" applyAlignment="1">
      <alignment horizontal="center" vertical="center" wrapText="1"/>
    </xf>
    <xf numFmtId="169" fontId="9" fillId="11" borderId="28" xfId="0" applyNumberFormat="1" applyFont="1" applyFill="1" applyBorder="1" applyAlignment="1">
      <alignment horizontal="center" vertical="center" wrapText="1"/>
    </xf>
    <xf numFmtId="0" fontId="4" fillId="11" borderId="78" xfId="0" applyFont="1" applyFill="1" applyBorder="1" applyAlignment="1">
      <alignment horizontal="center" vertical="center" wrapText="1"/>
    </xf>
    <xf numFmtId="0" fontId="47" fillId="11" borderId="26" xfId="0" applyFont="1" applyFill="1" applyBorder="1" applyAlignment="1">
      <alignment horizontal="center" vertical="center" wrapText="1"/>
    </xf>
    <xf numFmtId="0" fontId="47" fillId="4" borderId="68" xfId="0" applyFont="1" applyFill="1" applyBorder="1" applyAlignment="1">
      <alignment horizontal="center" vertical="center" wrapText="1"/>
    </xf>
    <xf numFmtId="0" fontId="13" fillId="11" borderId="50" xfId="0" applyFont="1" applyFill="1" applyBorder="1" applyAlignment="1">
      <alignment horizontal="center" vertical="center" wrapText="1"/>
    </xf>
    <xf numFmtId="169" fontId="13" fillId="11" borderId="26" xfId="0" applyNumberFormat="1" applyFont="1" applyFill="1" applyBorder="1" applyAlignment="1">
      <alignment horizontal="center" vertical="center"/>
    </xf>
    <xf numFmtId="169" fontId="13" fillId="11" borderId="26" xfId="0" applyNumberFormat="1" applyFont="1" applyFill="1" applyBorder="1" applyAlignment="1">
      <alignment horizontal="center" vertical="center" wrapText="1"/>
    </xf>
    <xf numFmtId="169" fontId="13" fillId="11" borderId="45" xfId="0" applyNumberFormat="1" applyFont="1" applyFill="1" applyBorder="1" applyAlignment="1">
      <alignment horizontal="center" vertical="center"/>
    </xf>
    <xf numFmtId="169" fontId="0" fillId="11" borderId="28" xfId="0" applyNumberFormat="1" applyFill="1" applyBorder="1" applyAlignment="1">
      <alignment horizontal="center" vertical="center"/>
    </xf>
    <xf numFmtId="0" fontId="47" fillId="9" borderId="29" xfId="0" applyFont="1" applyFill="1" applyBorder="1" applyAlignment="1">
      <alignment horizontal="center" vertical="center" wrapText="1"/>
    </xf>
    <xf numFmtId="0" fontId="68" fillId="6" borderId="0" xfId="0" applyFont="1" applyFill="1" applyAlignment="1">
      <alignment vertical="center" wrapText="1"/>
    </xf>
    <xf numFmtId="0" fontId="67" fillId="6" borderId="0" xfId="0" applyFont="1" applyFill="1" applyAlignment="1">
      <alignment vertical="center" wrapText="1"/>
    </xf>
    <xf numFmtId="0" fontId="48" fillId="6" borderId="0" xfId="0" applyFont="1" applyFill="1" applyAlignment="1">
      <alignment horizontal="center" vertical="center" wrapText="1"/>
    </xf>
    <xf numFmtId="0" fontId="47" fillId="47" borderId="14" xfId="0" applyFont="1" applyFill="1" applyBorder="1" applyAlignment="1">
      <alignment horizontal="center" vertical="center" wrapText="1"/>
    </xf>
    <xf numFmtId="0" fontId="47" fillId="47" borderId="23" xfId="0" applyFont="1" applyFill="1" applyBorder="1" applyAlignment="1">
      <alignment horizontal="center" vertical="center" wrapText="1"/>
    </xf>
    <xf numFmtId="0" fontId="47" fillId="47" borderId="39" xfId="0" applyFont="1" applyFill="1" applyBorder="1" applyAlignment="1">
      <alignment horizontal="center" vertical="center" wrapText="1"/>
    </xf>
    <xf numFmtId="0" fontId="47" fillId="47" borderId="25" xfId="0" applyFont="1" applyFill="1" applyBorder="1" applyAlignment="1">
      <alignment horizontal="center" vertical="center" wrapText="1"/>
    </xf>
    <xf numFmtId="0" fontId="99" fillId="47" borderId="1" xfId="102" applyFont="1" applyFill="1" applyBorder="1" applyAlignment="1">
      <alignment horizontal="center" vertical="center" wrapText="1"/>
    </xf>
    <xf numFmtId="0" fontId="99" fillId="47" borderId="3" xfId="0" applyFont="1" applyFill="1" applyBorder="1" applyAlignment="1">
      <alignment horizontal="center" vertical="center" wrapText="1"/>
    </xf>
    <xf numFmtId="0" fontId="99" fillId="47" borderId="9" xfId="0" applyFont="1" applyFill="1" applyBorder="1" applyAlignment="1">
      <alignment horizontal="center" vertical="center" wrapText="1"/>
    </xf>
    <xf numFmtId="0" fontId="100" fillId="47" borderId="1" xfId="0" applyFont="1" applyFill="1" applyBorder="1" applyAlignment="1">
      <alignment horizontal="center" vertical="center" wrapText="1"/>
    </xf>
    <xf numFmtId="0" fontId="13" fillId="47" borderId="25" xfId="0" applyFont="1" applyFill="1" applyBorder="1" applyAlignment="1">
      <alignment horizontal="center" vertical="center" wrapText="1"/>
    </xf>
    <xf numFmtId="0" fontId="13" fillId="47" borderId="14" xfId="0" applyFont="1" applyFill="1" applyBorder="1" applyAlignment="1">
      <alignment horizontal="center" vertical="center" wrapText="1"/>
    </xf>
    <xf numFmtId="0" fontId="47" fillId="48" borderId="25" xfId="0" applyFont="1" applyFill="1" applyBorder="1" applyAlignment="1">
      <alignment horizontal="center" vertical="center" wrapText="1"/>
    </xf>
    <xf numFmtId="0" fontId="47" fillId="48" borderId="123" xfId="102" applyFont="1" applyFill="1" applyBorder="1" applyAlignment="1">
      <alignment horizontal="center" vertical="center" wrapText="1"/>
    </xf>
    <xf numFmtId="0" fontId="47" fillId="48" borderId="14" xfId="102" applyFont="1" applyFill="1" applyBorder="1" applyAlignment="1">
      <alignment horizontal="center" vertical="center" wrapText="1"/>
    </xf>
    <xf numFmtId="0" fontId="47" fillId="48" borderId="14" xfId="0" applyFont="1" applyFill="1" applyBorder="1" applyAlignment="1">
      <alignment horizontal="center" vertical="center" wrapText="1"/>
    </xf>
    <xf numFmtId="0" fontId="47" fillId="48" borderId="114" xfId="0" applyFont="1" applyFill="1" applyBorder="1" applyAlignment="1">
      <alignment horizontal="center" vertical="center" wrapText="1"/>
    </xf>
    <xf numFmtId="0" fontId="47" fillId="48" borderId="31" xfId="0" applyFont="1" applyFill="1" applyBorder="1" applyAlignment="1">
      <alignment horizontal="center" vertical="center" wrapText="1"/>
    </xf>
    <xf numFmtId="0" fontId="47" fillId="48" borderId="23" xfId="0" applyFont="1" applyFill="1" applyBorder="1" applyAlignment="1">
      <alignment horizontal="center" vertical="center" wrapText="1"/>
    </xf>
    <xf numFmtId="0" fontId="47" fillId="48" borderId="39" xfId="0" applyFont="1" applyFill="1" applyBorder="1" applyAlignment="1">
      <alignment horizontal="center" vertical="center" wrapText="1"/>
    </xf>
    <xf numFmtId="0" fontId="47" fillId="48" borderId="71" xfId="0" applyFont="1" applyFill="1" applyBorder="1" applyAlignment="1">
      <alignment horizontal="center" vertical="center" wrapText="1"/>
    </xf>
    <xf numFmtId="0" fontId="47" fillId="48" borderId="116" xfId="0" applyFont="1" applyFill="1" applyBorder="1" applyAlignment="1">
      <alignment horizontal="center" vertical="center" wrapText="1"/>
    </xf>
    <xf numFmtId="0" fontId="47" fillId="48" borderId="117" xfId="0" applyFont="1" applyFill="1" applyBorder="1" applyAlignment="1">
      <alignment horizontal="center" vertical="center" wrapText="1"/>
    </xf>
    <xf numFmtId="0" fontId="47" fillId="48" borderId="118" xfId="0" applyFont="1" applyFill="1" applyBorder="1" applyAlignment="1">
      <alignment horizontal="center" vertical="center" wrapText="1"/>
    </xf>
    <xf numFmtId="0" fontId="47" fillId="48" borderId="119" xfId="0" applyFont="1" applyFill="1" applyBorder="1" applyAlignment="1">
      <alignment horizontal="center" vertical="center" wrapText="1"/>
    </xf>
    <xf numFmtId="0" fontId="47" fillId="48" borderId="5" xfId="0" applyFont="1" applyFill="1" applyBorder="1" applyAlignment="1">
      <alignment horizontal="center" vertical="center" wrapText="1"/>
    </xf>
    <xf numFmtId="0" fontId="99" fillId="48" borderId="132" xfId="102" applyFont="1" applyFill="1" applyBorder="1" applyAlignment="1">
      <alignment horizontal="center" vertical="center" wrapText="1"/>
    </xf>
    <xf numFmtId="0" fontId="99" fillId="48" borderId="1" xfId="0" applyFont="1" applyFill="1" applyBorder="1" applyAlignment="1">
      <alignment horizontal="center" vertical="center" wrapText="1"/>
    </xf>
    <xf numFmtId="0" fontId="100" fillId="48" borderId="1" xfId="0" applyFont="1" applyFill="1" applyBorder="1" applyAlignment="1">
      <alignment horizontal="center" vertical="center" wrapText="1"/>
    </xf>
    <xf numFmtId="0" fontId="99" fillId="48" borderId="127" xfId="102" applyFont="1" applyFill="1" applyBorder="1" applyAlignment="1">
      <alignment horizontal="center" vertical="center" wrapText="1"/>
    </xf>
    <xf numFmtId="0" fontId="99" fillId="48" borderId="16" xfId="0" applyFont="1" applyFill="1" applyBorder="1" applyAlignment="1">
      <alignment horizontal="center" vertical="center" wrapText="1"/>
    </xf>
    <xf numFmtId="0" fontId="99" fillId="48" borderId="3" xfId="0" applyFont="1" applyFill="1" applyBorder="1" applyAlignment="1">
      <alignment horizontal="center" vertical="center" wrapText="1"/>
    </xf>
    <xf numFmtId="0" fontId="99" fillId="48" borderId="9" xfId="0" applyFont="1" applyFill="1" applyBorder="1" applyAlignment="1">
      <alignment horizontal="center" vertical="center" wrapText="1"/>
    </xf>
    <xf numFmtId="0" fontId="100" fillId="48" borderId="56" xfId="0" applyFont="1" applyFill="1" applyBorder="1" applyAlignment="1">
      <alignment horizontal="center" vertical="center" wrapText="1"/>
    </xf>
    <xf numFmtId="0" fontId="99" fillId="48" borderId="128" xfId="0" applyFont="1" applyFill="1" applyBorder="1" applyAlignment="1">
      <alignment horizontal="center" vertical="center" wrapText="1"/>
    </xf>
    <xf numFmtId="0" fontId="100" fillId="48" borderId="3" xfId="0" applyFont="1" applyFill="1" applyBorder="1" applyAlignment="1">
      <alignment horizontal="center" vertical="center" wrapText="1"/>
    </xf>
    <xf numFmtId="0" fontId="100" fillId="48" borderId="129" xfId="0" applyFont="1" applyFill="1" applyBorder="1" applyAlignment="1">
      <alignment horizontal="center" vertical="center" wrapText="1"/>
    </xf>
    <xf numFmtId="0" fontId="99" fillId="48" borderId="130" xfId="0" applyFont="1" applyFill="1" applyBorder="1" applyAlignment="1">
      <alignment horizontal="center" vertical="center" wrapText="1"/>
    </xf>
    <xf numFmtId="0" fontId="100" fillId="48" borderId="133" xfId="0" applyFont="1" applyFill="1" applyBorder="1" applyAlignment="1">
      <alignment horizontal="center" vertical="center" wrapText="1"/>
    </xf>
    <xf numFmtId="0" fontId="13" fillId="48" borderId="14" xfId="0" applyFont="1" applyFill="1" applyBorder="1" applyAlignment="1">
      <alignment horizontal="center" vertical="center" wrapText="1"/>
    </xf>
    <xf numFmtId="0" fontId="67" fillId="26" borderId="0" xfId="0" applyFont="1" applyFill="1" applyAlignment="1">
      <alignment vertical="center" wrapText="1"/>
    </xf>
    <xf numFmtId="1" fontId="0" fillId="6" borderId="120" xfId="101" applyNumberFormat="1" applyFont="1" applyFill="1" applyBorder="1" applyAlignment="1" applyProtection="1">
      <alignment horizontal="center" vertical="center" wrapText="1"/>
      <protection locked="0"/>
    </xf>
    <xf numFmtId="1" fontId="0" fillId="0" borderId="107" xfId="101" applyNumberFormat="1" applyFont="1" applyFill="1" applyBorder="1" applyAlignment="1" applyProtection="1">
      <alignment horizontal="center" vertical="center" wrapText="1"/>
      <protection locked="0"/>
    </xf>
    <xf numFmtId="0" fontId="47" fillId="47" borderId="30" xfId="0" applyFont="1" applyFill="1" applyBorder="1" applyAlignment="1">
      <alignment horizontal="center" vertical="center" wrapText="1"/>
    </xf>
    <xf numFmtId="0" fontId="13" fillId="47" borderId="30" xfId="0" applyFont="1" applyFill="1" applyBorder="1" applyAlignment="1">
      <alignment horizontal="center" vertical="center" wrapText="1"/>
    </xf>
    <xf numFmtId="0" fontId="47" fillId="47" borderId="108" xfId="0" applyFont="1" applyFill="1" applyBorder="1" applyAlignment="1">
      <alignment horizontal="center" vertical="center" wrapText="1"/>
    </xf>
    <xf numFmtId="0" fontId="13" fillId="47" borderId="108" xfId="0" applyFont="1" applyFill="1" applyBorder="1" applyAlignment="1">
      <alignment horizontal="center" vertical="center" wrapText="1"/>
    </xf>
    <xf numFmtId="0" fontId="4" fillId="6" borderId="22" xfId="0" applyFont="1" applyFill="1" applyBorder="1" applyAlignment="1" applyProtection="1">
      <alignment horizontal="center" vertical="center" wrapText="1"/>
      <protection locked="0"/>
    </xf>
    <xf numFmtId="0" fontId="47" fillId="47" borderId="31" xfId="0" applyFont="1" applyFill="1" applyBorder="1" applyAlignment="1">
      <alignment horizontal="center" vertical="center" wrapText="1"/>
    </xf>
    <xf numFmtId="0" fontId="100" fillId="47" borderId="16" xfId="0"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0" fontId="4" fillId="6" borderId="0" xfId="0" applyFont="1" applyFill="1"/>
    <xf numFmtId="49" fontId="4" fillId="11" borderId="14" xfId="0" applyNumberFormat="1" applyFont="1" applyFill="1" applyBorder="1" applyAlignment="1" applyProtection="1">
      <alignment horizontal="center" vertical="center" wrapText="1"/>
      <protection locked="0"/>
    </xf>
    <xf numFmtId="0" fontId="47" fillId="29" borderId="14" xfId="0" applyFont="1" applyFill="1" applyBorder="1" applyAlignment="1">
      <alignment horizontal="center" vertical="center" wrapText="1"/>
    </xf>
    <xf numFmtId="0" fontId="73" fillId="6" borderId="0" xfId="0" applyFont="1" applyFill="1" applyAlignment="1">
      <alignment vertical="center" wrapText="1"/>
    </xf>
    <xf numFmtId="49" fontId="4" fillId="6" borderId="14" xfId="0" applyNumberFormat="1" applyFont="1" applyFill="1" applyBorder="1" applyAlignment="1">
      <alignment horizontal="center" vertical="center" wrapText="1"/>
    </xf>
    <xf numFmtId="9" fontId="4" fillId="6" borderId="14" xfId="102" applyNumberFormat="1" applyFont="1" applyFill="1" applyBorder="1" applyAlignment="1" applyProtection="1">
      <alignment horizontal="center" vertical="center" wrapText="1"/>
      <protection locked="0"/>
    </xf>
    <xf numFmtId="169" fontId="4" fillId="6" borderId="14" xfId="1" applyNumberFormat="1" applyFont="1" applyFill="1" applyBorder="1" applyAlignment="1" applyProtection="1">
      <alignment horizontal="right" vertical="center" wrapText="1"/>
      <protection locked="0"/>
    </xf>
    <xf numFmtId="169" fontId="47" fillId="4" borderId="14" xfId="1" applyNumberFormat="1" applyFont="1" applyFill="1" applyBorder="1" applyAlignment="1" applyProtection="1">
      <alignment horizontal="right" vertical="center" wrapText="1"/>
    </xf>
    <xf numFmtId="0" fontId="4" fillId="0" borderId="30" xfId="0" applyFont="1" applyBorder="1" applyAlignment="1" applyProtection="1">
      <alignment horizontal="center" vertical="center"/>
      <protection locked="0"/>
    </xf>
    <xf numFmtId="169" fontId="4" fillId="4" borderId="25" xfId="0" applyNumberFormat="1" applyFont="1" applyFill="1" applyBorder="1" applyAlignment="1">
      <alignment horizontal="center" vertical="center" wrapText="1"/>
    </xf>
    <xf numFmtId="0" fontId="4" fillId="6" borderId="14" xfId="0" applyFont="1" applyFill="1" applyBorder="1" applyAlignment="1">
      <alignment horizontal="center" vertical="center" wrapText="1"/>
    </xf>
    <xf numFmtId="0" fontId="47" fillId="6" borderId="14" xfId="0" applyFont="1" applyFill="1" applyBorder="1" applyAlignment="1">
      <alignment horizontal="center" vertical="center" wrapText="1"/>
    </xf>
    <xf numFmtId="0" fontId="13" fillId="11" borderId="28" xfId="0" applyFont="1" applyFill="1" applyBorder="1" applyAlignment="1">
      <alignment horizontal="center" vertical="center"/>
    </xf>
    <xf numFmtId="0" fontId="47" fillId="47" borderId="2" xfId="0" applyFont="1" applyFill="1" applyBorder="1" applyAlignment="1">
      <alignment horizontal="center" vertical="center" wrapText="1"/>
    </xf>
    <xf numFmtId="0" fontId="47" fillId="47" borderId="1" xfId="0" applyFont="1" applyFill="1" applyBorder="1" applyAlignment="1">
      <alignment horizontal="center" vertical="center" wrapText="1"/>
    </xf>
    <xf numFmtId="0" fontId="13" fillId="47" borderId="2" xfId="0" applyFont="1" applyFill="1" applyBorder="1" applyAlignment="1">
      <alignment horizontal="center" vertical="center" wrapText="1"/>
    </xf>
    <xf numFmtId="0" fontId="13" fillId="47" borderId="1" xfId="0" applyFont="1" applyFill="1" applyBorder="1" applyAlignment="1">
      <alignment horizontal="center" vertical="center" wrapText="1"/>
    </xf>
    <xf numFmtId="0" fontId="47" fillId="38" borderId="14" xfId="0" applyFont="1" applyFill="1" applyBorder="1" applyAlignment="1">
      <alignment horizontal="center" vertical="center" wrapText="1"/>
    </xf>
    <xf numFmtId="0" fontId="47" fillId="38" borderId="5" xfId="0" applyFont="1" applyFill="1" applyBorder="1" applyAlignment="1">
      <alignment horizontal="center" vertical="center" wrapText="1"/>
    </xf>
    <xf numFmtId="0" fontId="13" fillId="38" borderId="5"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110" fillId="11" borderId="1" xfId="0" applyFont="1" applyFill="1" applyBorder="1" applyAlignment="1">
      <alignment vertical="center" wrapText="1"/>
    </xf>
    <xf numFmtId="0" fontId="47" fillId="29" borderId="124" xfId="0" applyFont="1" applyFill="1" applyBorder="1" applyAlignment="1">
      <alignment horizontal="center" vertical="center" wrapText="1"/>
    </xf>
    <xf numFmtId="0" fontId="47" fillId="29" borderId="125" xfId="0" applyFont="1" applyFill="1" applyBorder="1" applyAlignment="1">
      <alignment horizontal="center" vertical="center" wrapText="1"/>
    </xf>
    <xf numFmtId="0" fontId="99" fillId="29" borderId="1" xfId="0" applyFont="1" applyFill="1" applyBorder="1" applyAlignment="1">
      <alignment horizontal="center" vertical="center" wrapText="1"/>
    </xf>
    <xf numFmtId="0" fontId="99" fillId="29" borderId="2" xfId="0" applyFont="1" applyFill="1" applyBorder="1" applyAlignment="1">
      <alignment horizontal="center" vertical="center" wrapText="1"/>
    </xf>
    <xf numFmtId="0" fontId="99" fillId="29" borderId="135" xfId="0" applyFont="1" applyFill="1" applyBorder="1" applyAlignment="1">
      <alignment horizontal="center" vertical="center" wrapText="1"/>
    </xf>
    <xf numFmtId="0" fontId="47" fillId="50" borderId="14" xfId="0" applyFont="1" applyFill="1" applyBorder="1" applyAlignment="1">
      <alignment horizontal="center" vertical="center" wrapText="1"/>
    </xf>
    <xf numFmtId="0" fontId="13" fillId="50" borderId="1" xfId="0" applyFont="1" applyFill="1" applyBorder="1" applyAlignment="1">
      <alignment horizontal="center" vertical="center" wrapText="1"/>
    </xf>
    <xf numFmtId="0" fontId="13" fillId="50" borderId="14" xfId="0" applyFont="1" applyFill="1" applyBorder="1" applyAlignment="1">
      <alignment horizontal="center" vertical="center" wrapText="1"/>
    </xf>
    <xf numFmtId="0" fontId="47" fillId="38" borderId="31" xfId="102" applyFont="1" applyFill="1" applyBorder="1" applyAlignment="1">
      <alignment horizontal="center" vertical="center" wrapText="1"/>
    </xf>
    <xf numFmtId="0" fontId="47" fillId="38" borderId="14" xfId="102" applyFont="1" applyFill="1" applyBorder="1" applyAlignment="1">
      <alignment horizontal="center" vertical="center" wrapText="1"/>
    </xf>
    <xf numFmtId="0" fontId="47" fillId="38" borderId="39" xfId="0" applyFont="1" applyFill="1" applyBorder="1" applyAlignment="1">
      <alignment horizontal="center" vertical="center" wrapText="1"/>
    </xf>
    <xf numFmtId="0" fontId="99" fillId="38" borderId="16" xfId="102" applyFont="1" applyFill="1" applyBorder="1" applyAlignment="1">
      <alignment horizontal="center" vertical="center" wrapText="1"/>
    </xf>
    <xf numFmtId="0" fontId="99" fillId="38" borderId="1" xfId="102" applyFont="1" applyFill="1" applyBorder="1" applyAlignment="1">
      <alignment horizontal="center" vertical="center" wrapText="1"/>
    </xf>
    <xf numFmtId="0" fontId="99" fillId="38" borderId="9" xfId="102" applyFont="1" applyFill="1" applyBorder="1" applyAlignment="1">
      <alignment horizontal="center" vertical="center" wrapText="1"/>
    </xf>
    <xf numFmtId="0" fontId="47" fillId="42" borderId="1" xfId="0" applyFont="1" applyFill="1" applyBorder="1" applyAlignment="1">
      <alignment horizontal="center" vertical="center" wrapText="1"/>
    </xf>
    <xf numFmtId="0" fontId="100" fillId="38" borderId="1" xfId="0" applyFont="1" applyFill="1" applyBorder="1" applyAlignment="1">
      <alignment horizontal="center" vertical="center" wrapText="1"/>
    </xf>
    <xf numFmtId="0" fontId="99" fillId="38" borderId="1" xfId="0" applyFont="1" applyFill="1" applyBorder="1" applyAlignment="1">
      <alignment horizontal="center" vertical="center" wrapText="1"/>
    </xf>
    <xf numFmtId="0" fontId="99" fillId="47" borderId="1" xfId="0" applyFont="1" applyFill="1" applyBorder="1" applyAlignment="1">
      <alignment horizontal="center" vertical="center" wrapText="1"/>
    </xf>
    <xf numFmtId="0" fontId="99" fillId="42" borderId="1" xfId="0" applyFont="1" applyFill="1" applyBorder="1" applyAlignment="1">
      <alignment horizontal="center" vertical="center" wrapText="1"/>
    </xf>
    <xf numFmtId="169" fontId="47" fillId="4" borderId="163" xfId="0" applyNumberFormat="1" applyFont="1" applyFill="1" applyBorder="1" applyAlignment="1">
      <alignment horizontal="right" vertical="center" wrapText="1"/>
    </xf>
    <xf numFmtId="169" fontId="47" fillId="4" borderId="166" xfId="0" applyNumberFormat="1" applyFont="1" applyFill="1" applyBorder="1" applyAlignment="1">
      <alignment horizontal="right" vertical="center" wrapText="1"/>
    </xf>
    <xf numFmtId="169" fontId="4" fillId="6" borderId="1" xfId="0" applyNumberFormat="1" applyFont="1" applyFill="1" applyBorder="1" applyAlignment="1" applyProtection="1">
      <alignment horizontal="right" vertical="center" wrapText="1"/>
      <protection locked="0"/>
    </xf>
    <xf numFmtId="169" fontId="4" fillId="4" borderId="1" xfId="0" applyNumberFormat="1" applyFont="1" applyFill="1" applyBorder="1" applyAlignment="1">
      <alignment horizontal="right" vertical="center" wrapText="1"/>
    </xf>
    <xf numFmtId="0" fontId="4" fillId="46" borderId="1" xfId="0" applyFont="1" applyFill="1" applyBorder="1" applyAlignment="1" applyProtection="1">
      <alignment horizontal="center" vertical="center" wrapText="1"/>
      <protection locked="0"/>
    </xf>
    <xf numFmtId="49" fontId="4" fillId="6" borderId="1" xfId="0" applyNumberFormat="1" applyFont="1" applyFill="1" applyBorder="1" applyAlignment="1" applyProtection="1">
      <alignment vertical="center" wrapText="1"/>
      <protection locked="0"/>
    </xf>
    <xf numFmtId="169" fontId="4" fillId="6" borderId="1" xfId="0" applyNumberFormat="1" applyFont="1" applyFill="1" applyBorder="1" applyAlignment="1" applyProtection="1">
      <alignment vertical="center" wrapText="1"/>
      <protection locked="0"/>
    </xf>
    <xf numFmtId="0" fontId="4" fillId="6" borderId="27" xfId="0" applyFont="1" applyFill="1" applyBorder="1" applyAlignment="1" applyProtection="1">
      <alignment vertical="center" wrapText="1"/>
      <protection locked="0"/>
    </xf>
    <xf numFmtId="49" fontId="4" fillId="6" borderId="27" xfId="0" applyNumberFormat="1" applyFont="1" applyFill="1" applyBorder="1" applyAlignment="1" applyProtection="1">
      <alignment vertical="center" wrapText="1"/>
      <protection locked="0"/>
    </xf>
    <xf numFmtId="169" fontId="4" fillId="6" borderId="27" xfId="0" applyNumberFormat="1" applyFont="1" applyFill="1" applyBorder="1" applyAlignment="1" applyProtection="1">
      <alignment vertical="center" wrapText="1"/>
      <protection locked="0"/>
    </xf>
    <xf numFmtId="169" fontId="4" fillId="4" borderId="27" xfId="0" applyNumberFormat="1" applyFont="1" applyFill="1" applyBorder="1" applyAlignment="1" applyProtection="1">
      <alignment vertical="center" wrapText="1"/>
      <protection locked="0"/>
    </xf>
    <xf numFmtId="169" fontId="4" fillId="6" borderId="27" xfId="0" applyNumberFormat="1" applyFont="1" applyFill="1" applyBorder="1" applyAlignment="1">
      <alignment vertical="center" wrapText="1"/>
    </xf>
    <xf numFmtId="169" fontId="4" fillId="4" borderId="27" xfId="0" applyNumberFormat="1" applyFont="1" applyFill="1" applyBorder="1" applyAlignment="1">
      <alignment horizontal="right" vertical="center" wrapText="1"/>
    </xf>
    <xf numFmtId="0" fontId="4" fillId="46" borderId="27" xfId="0" applyFont="1" applyFill="1" applyBorder="1" applyAlignment="1" applyProtection="1">
      <alignment horizontal="center" vertical="center" wrapText="1"/>
      <protection locked="0"/>
    </xf>
    <xf numFmtId="1" fontId="0" fillId="6" borderId="146" xfId="101" applyNumberFormat="1" applyFont="1" applyFill="1" applyBorder="1" applyAlignment="1" applyProtection="1">
      <alignment horizontal="center" vertical="center" wrapText="1"/>
      <protection locked="0"/>
    </xf>
    <xf numFmtId="1" fontId="0" fillId="0" borderId="45" xfId="101" applyNumberFormat="1" applyFont="1" applyFill="1" applyBorder="1" applyAlignment="1" applyProtection="1">
      <alignment horizontal="center" vertical="center" wrapText="1"/>
      <protection locked="0"/>
    </xf>
    <xf numFmtId="169" fontId="0" fillId="4" borderId="167" xfId="101" applyNumberFormat="1" applyFont="1" applyFill="1" applyBorder="1" applyAlignment="1">
      <alignment horizontal="center" vertical="center" wrapText="1"/>
    </xf>
    <xf numFmtId="0" fontId="4" fillId="6" borderId="33" xfId="0" applyFont="1" applyFill="1" applyBorder="1" applyAlignment="1" applyProtection="1">
      <alignment vertical="center" wrapText="1"/>
      <protection locked="0"/>
    </xf>
    <xf numFmtId="0" fontId="13" fillId="4" borderId="168" xfId="0" applyFont="1" applyFill="1" applyBorder="1" applyAlignment="1">
      <alignment horizontal="center" vertical="center" wrapText="1"/>
    </xf>
    <xf numFmtId="169" fontId="4" fillId="6" borderId="14" xfId="0" applyNumberFormat="1" applyFont="1" applyFill="1" applyBorder="1" applyAlignment="1" applyProtection="1">
      <alignment horizontal="right" vertical="center" wrapText="1"/>
      <protection locked="0"/>
    </xf>
    <xf numFmtId="169" fontId="4" fillId="4" borderId="14" xfId="0" applyNumberFormat="1" applyFont="1" applyFill="1" applyBorder="1" applyAlignment="1">
      <alignment horizontal="right" vertical="center" wrapText="1"/>
    </xf>
    <xf numFmtId="0" fontId="67" fillId="6" borderId="39" xfId="0" applyFont="1" applyFill="1" applyBorder="1" applyAlignment="1">
      <alignment vertical="center" wrapText="1"/>
    </xf>
    <xf numFmtId="0" fontId="73" fillId="6" borderId="107" xfId="0" applyFont="1" applyFill="1" applyBorder="1" applyAlignment="1">
      <alignment vertical="center" wrapText="1"/>
    </xf>
    <xf numFmtId="0" fontId="47" fillId="48" borderId="1" xfId="102" applyFont="1" applyFill="1" applyBorder="1" applyAlignment="1">
      <alignment horizontal="center" vertical="center" wrapText="1"/>
    </xf>
    <xf numFmtId="0" fontId="47" fillId="48" borderId="1" xfId="0" applyFont="1" applyFill="1" applyBorder="1" applyAlignment="1">
      <alignment horizontal="center" vertical="center" wrapText="1"/>
    </xf>
    <xf numFmtId="0" fontId="4" fillId="8" borderId="115" xfId="0" applyFont="1" applyFill="1" applyBorder="1" applyAlignment="1">
      <alignment horizontal="center" vertical="center" wrapText="1"/>
    </xf>
    <xf numFmtId="0" fontId="4" fillId="8" borderId="86" xfId="0" applyFont="1" applyFill="1" applyBorder="1" applyAlignment="1">
      <alignment horizontal="center" vertical="center" wrapText="1"/>
    </xf>
    <xf numFmtId="0" fontId="47" fillId="47" borderId="1" xfId="102" applyFont="1" applyFill="1" applyBorder="1" applyAlignment="1">
      <alignment horizontal="center" vertical="center" wrapText="1"/>
    </xf>
    <xf numFmtId="0" fontId="99" fillId="48" borderId="1" xfId="102" applyFont="1" applyFill="1" applyBorder="1" applyAlignment="1">
      <alignment horizontal="center" vertical="center" wrapText="1"/>
    </xf>
    <xf numFmtId="0" fontId="4" fillId="4" borderId="169" xfId="0" applyFont="1" applyFill="1" applyBorder="1" applyAlignment="1">
      <alignment horizontal="center" vertical="center" wrapText="1"/>
    </xf>
    <xf numFmtId="0" fontId="4" fillId="4" borderId="120" xfId="0" applyFont="1" applyFill="1" applyBorder="1" applyAlignment="1">
      <alignment horizontal="center" vertical="center" wrapText="1"/>
    </xf>
    <xf numFmtId="169" fontId="4" fillId="4" borderId="120" xfId="0" applyNumberFormat="1" applyFont="1" applyFill="1" applyBorder="1" applyAlignment="1">
      <alignment horizontal="center" vertical="center" wrapText="1"/>
    </xf>
    <xf numFmtId="0" fontId="4" fillId="0" borderId="120" xfId="0" applyFont="1" applyBorder="1" applyAlignment="1">
      <alignment horizontal="center" vertical="center" wrapText="1"/>
    </xf>
    <xf numFmtId="169" fontId="47" fillId="4" borderId="120" xfId="103" applyNumberFormat="1" applyFont="1" applyFill="1" applyBorder="1" applyAlignment="1" applyProtection="1">
      <alignment horizontal="center" vertical="center" wrapText="1"/>
    </xf>
    <xf numFmtId="0" fontId="4" fillId="0" borderId="120" xfId="0" applyFont="1" applyBorder="1" applyAlignment="1">
      <alignment vertical="center" wrapText="1"/>
    </xf>
    <xf numFmtId="2" fontId="4" fillId="4" borderId="120" xfId="0" quotePrefix="1" applyNumberFormat="1" applyFont="1" applyFill="1" applyBorder="1" applyAlignment="1">
      <alignment horizontal="center" vertical="center" wrapText="1"/>
    </xf>
    <xf numFmtId="169" fontId="47" fillId="4" borderId="170" xfId="103" applyNumberFormat="1" applyFont="1" applyFill="1" applyBorder="1" applyAlignment="1" applyProtection="1">
      <alignment horizontal="center" vertical="center" wrapText="1"/>
    </xf>
    <xf numFmtId="0" fontId="13" fillId="11" borderId="102" xfId="0" applyFont="1" applyFill="1" applyBorder="1" applyAlignment="1">
      <alignment horizontal="center" vertical="center" wrapText="1"/>
    </xf>
    <xf numFmtId="0" fontId="13" fillId="11" borderId="26" xfId="1" applyNumberFormat="1" applyFont="1" applyFill="1" applyBorder="1" applyAlignment="1" applyProtection="1">
      <alignment horizontal="center" vertical="center" wrapText="1"/>
    </xf>
    <xf numFmtId="0" fontId="13" fillId="11" borderId="45" xfId="1" applyNumberFormat="1" applyFont="1" applyFill="1" applyBorder="1" applyAlignment="1" applyProtection="1">
      <alignment horizontal="center" vertical="center" wrapText="1"/>
    </xf>
    <xf numFmtId="0" fontId="13" fillId="11" borderId="33" xfId="1" applyNumberFormat="1" applyFont="1" applyFill="1" applyBorder="1" applyAlignment="1" applyProtection="1">
      <alignment horizontal="center" vertical="center" wrapText="1"/>
    </xf>
    <xf numFmtId="0" fontId="13" fillId="11" borderId="27" xfId="1" applyNumberFormat="1" applyFont="1" applyFill="1" applyBorder="1" applyAlignment="1" applyProtection="1">
      <alignment horizontal="center" vertical="center" wrapText="1"/>
    </xf>
    <xf numFmtId="169" fontId="9" fillId="11" borderId="164" xfId="0" applyNumberFormat="1" applyFont="1" applyFill="1" applyBorder="1" applyAlignment="1">
      <alignment horizontal="right" vertical="center" wrapText="1"/>
    </xf>
    <xf numFmtId="169" fontId="9" fillId="11" borderId="165" xfId="0" applyNumberFormat="1" applyFont="1" applyFill="1" applyBorder="1" applyAlignment="1">
      <alignment horizontal="right" vertical="center" wrapText="1"/>
    </xf>
    <xf numFmtId="169" fontId="4" fillId="11" borderId="26" xfId="101" applyNumberFormat="1" applyFont="1" applyFill="1" applyBorder="1" applyAlignment="1" applyProtection="1">
      <alignment horizontal="center" vertical="center" wrapText="1"/>
    </xf>
    <xf numFmtId="1" fontId="4" fillId="11" borderId="27" xfId="101" applyNumberFormat="1" applyFont="1" applyFill="1" applyBorder="1" applyAlignment="1" applyProtection="1">
      <alignment horizontal="center" vertical="center" wrapText="1"/>
    </xf>
    <xf numFmtId="169" fontId="4" fillId="11" borderId="27" xfId="101" applyNumberFormat="1" applyFont="1" applyFill="1" applyBorder="1" applyAlignment="1" applyProtection="1">
      <alignment horizontal="center" vertical="center" wrapText="1"/>
    </xf>
    <xf numFmtId="1" fontId="4" fillId="11" borderId="28" xfId="101" applyNumberFormat="1" applyFont="1" applyFill="1" applyBorder="1" applyAlignment="1" applyProtection="1">
      <alignment horizontal="center" vertical="center" wrapText="1"/>
    </xf>
    <xf numFmtId="169" fontId="4" fillId="11" borderId="78" xfId="101" applyNumberFormat="1" applyFont="1" applyFill="1" applyBorder="1" applyAlignment="1" applyProtection="1">
      <alignment horizontal="center" vertical="center" wrapText="1"/>
    </xf>
    <xf numFmtId="169" fontId="9" fillId="11" borderId="27" xfId="0" applyNumberFormat="1" applyFont="1" applyFill="1" applyBorder="1" applyAlignment="1">
      <alignment horizontal="right" vertical="center" wrapText="1"/>
    </xf>
    <xf numFmtId="49" fontId="13" fillId="11" borderId="171" xfId="0" applyNumberFormat="1" applyFont="1" applyFill="1" applyBorder="1" applyAlignment="1">
      <alignment horizontal="center" vertical="center" wrapText="1"/>
    </xf>
    <xf numFmtId="1" fontId="13" fillId="11" borderId="27" xfId="0" quotePrefix="1" applyNumberFormat="1" applyFont="1" applyFill="1" applyBorder="1" applyAlignment="1">
      <alignment horizontal="center" vertical="center"/>
    </xf>
    <xf numFmtId="0" fontId="13" fillId="11" borderId="172" xfId="0" applyFont="1" applyFill="1" applyBorder="1" applyAlignment="1">
      <alignment horizontal="center" vertical="center" wrapText="1"/>
    </xf>
    <xf numFmtId="0" fontId="13" fillId="11" borderId="27" xfId="0" applyFont="1" applyFill="1" applyBorder="1" applyAlignment="1">
      <alignment horizontal="center" vertical="center"/>
    </xf>
    <xf numFmtId="2" fontId="13" fillId="11" borderId="27" xfId="0" quotePrefix="1" applyNumberFormat="1" applyFont="1" applyFill="1" applyBorder="1" applyAlignment="1">
      <alignment horizontal="center" vertical="center" wrapText="1"/>
    </xf>
    <xf numFmtId="169" fontId="9" fillId="11" borderId="172" xfId="103" applyNumberFormat="1" applyFont="1" applyFill="1" applyBorder="1" applyAlignment="1" applyProtection="1">
      <alignment horizontal="center" vertical="center" wrapText="1"/>
    </xf>
    <xf numFmtId="0" fontId="47" fillId="38" borderId="1" xfId="102" applyFont="1" applyFill="1" applyBorder="1" applyAlignment="1">
      <alignment horizontal="center" vertical="center" wrapText="1"/>
    </xf>
    <xf numFmtId="169" fontId="83" fillId="4" borderId="1" xfId="0" applyNumberFormat="1" applyFont="1" applyFill="1" applyBorder="1" applyAlignment="1">
      <alignment horizontal="center" vertical="center" wrapText="1"/>
    </xf>
    <xf numFmtId="169" fontId="84" fillId="4" borderId="1" xfId="0" applyNumberFormat="1" applyFont="1" applyFill="1" applyBorder="1" applyAlignment="1">
      <alignment horizontal="center" vertical="center"/>
    </xf>
    <xf numFmtId="169" fontId="83" fillId="4" borderId="1" xfId="1" applyNumberFormat="1" applyFont="1" applyFill="1" applyBorder="1" applyAlignment="1">
      <alignment horizontal="center" vertical="center"/>
    </xf>
    <xf numFmtId="169" fontId="15" fillId="0" borderId="0" xfId="0" applyNumberFormat="1" applyFont="1"/>
    <xf numFmtId="0" fontId="15" fillId="6" borderId="0" xfId="0" applyFont="1" applyFill="1"/>
    <xf numFmtId="169" fontId="71" fillId="6" borderId="0" xfId="0" applyNumberFormat="1" applyFont="1" applyFill="1" applyAlignment="1">
      <alignment vertical="center" wrapText="1"/>
    </xf>
    <xf numFmtId="20" fontId="23" fillId="6" borderId="0" xfId="0" applyNumberFormat="1" applyFont="1" applyFill="1" applyAlignment="1">
      <alignment vertical="center" wrapText="1"/>
    </xf>
    <xf numFmtId="165" fontId="68" fillId="6" borderId="0" xfId="0" applyNumberFormat="1" applyFont="1" applyFill="1" applyAlignment="1" applyProtection="1">
      <alignment horizontal="center" vertical="center" wrapText="1"/>
      <protection hidden="1"/>
    </xf>
    <xf numFmtId="0" fontId="14" fillId="0" borderId="0" xfId="0" applyFont="1" applyAlignment="1">
      <alignment vertical="center" wrapText="1"/>
    </xf>
    <xf numFmtId="169" fontId="4" fillId="11" borderId="11" xfId="0" applyNumberFormat="1" applyFont="1" applyFill="1" applyBorder="1" applyAlignment="1">
      <alignment horizontal="center" vertical="center" wrapText="1"/>
    </xf>
    <xf numFmtId="169" fontId="9" fillId="11" borderId="14" xfId="101" applyNumberFormat="1" applyFont="1" applyFill="1" applyBorder="1" applyAlignment="1" applyProtection="1">
      <alignment horizontal="right" vertical="center" wrapText="1"/>
    </xf>
    <xf numFmtId="14" fontId="13" fillId="11" borderId="27" xfId="0" applyNumberFormat="1" applyFont="1" applyFill="1" applyBorder="1" applyAlignment="1">
      <alignment horizontal="center" vertical="center" wrapText="1"/>
    </xf>
    <xf numFmtId="10" fontId="13" fillId="11" borderId="27" xfId="0" applyNumberFormat="1" applyFont="1" applyFill="1" applyBorder="1" applyAlignment="1">
      <alignment horizontal="center" vertical="center" wrapText="1"/>
    </xf>
    <xf numFmtId="0" fontId="110" fillId="11" borderId="27" xfId="0" applyFont="1" applyFill="1" applyBorder="1" applyAlignment="1">
      <alignment horizontal="center" vertical="center" wrapText="1"/>
    </xf>
    <xf numFmtId="169" fontId="9" fillId="4" borderId="14" xfId="0" applyNumberFormat="1" applyFont="1" applyFill="1" applyBorder="1" applyAlignment="1">
      <alignment horizontal="center" vertical="center" wrapText="1"/>
    </xf>
    <xf numFmtId="0" fontId="9" fillId="11" borderId="27" xfId="0" applyFont="1" applyFill="1" applyBorder="1" applyAlignment="1">
      <alignment horizontal="center" vertical="center" wrapText="1"/>
    </xf>
    <xf numFmtId="169" fontId="9" fillId="11" borderId="14" xfId="0" applyNumberFormat="1" applyFont="1" applyFill="1" applyBorder="1" applyAlignment="1">
      <alignment horizontal="center" vertical="center" wrapText="1"/>
    </xf>
    <xf numFmtId="20" fontId="23" fillId="6" borderId="0" xfId="0" applyNumberFormat="1" applyFont="1" applyFill="1" applyAlignment="1">
      <alignment horizontal="center" vertical="center" wrapText="1"/>
    </xf>
    <xf numFmtId="0" fontId="47" fillId="29" borderId="25" xfId="0" applyFont="1" applyFill="1" applyBorder="1" applyAlignment="1">
      <alignment horizontal="center" vertical="center" wrapText="1"/>
    </xf>
    <xf numFmtId="0" fontId="76" fillId="6" borderId="0" xfId="0" applyFont="1" applyFill="1" applyAlignment="1">
      <alignment vertical="center" wrapText="1"/>
    </xf>
    <xf numFmtId="49" fontId="25" fillId="6" borderId="0" xfId="0" applyNumberFormat="1" applyFont="1" applyFill="1" applyAlignment="1" applyProtection="1">
      <alignment horizontal="center" vertical="center" wrapText="1"/>
      <protection locked="0"/>
    </xf>
    <xf numFmtId="169" fontId="60" fillId="6" borderId="0" xfId="1" applyNumberFormat="1" applyFont="1" applyFill="1" applyBorder="1" applyAlignment="1">
      <alignment horizontal="center" vertical="center"/>
    </xf>
    <xf numFmtId="165" fontId="68" fillId="6" borderId="0" xfId="0" applyNumberFormat="1" applyFont="1" applyFill="1" applyAlignment="1" applyProtection="1">
      <alignment vertical="center" wrapText="1"/>
      <protection hidden="1"/>
    </xf>
    <xf numFmtId="49" fontId="70" fillId="8" borderId="1" xfId="0" applyNumberFormat="1" applyFont="1" applyFill="1" applyBorder="1" applyAlignment="1" applyProtection="1">
      <alignment horizontal="center" vertical="center" wrapText="1"/>
      <protection locked="0"/>
    </xf>
    <xf numFmtId="20" fontId="23" fillId="48" borderId="1" xfId="0" applyNumberFormat="1" applyFont="1" applyFill="1" applyBorder="1" applyAlignment="1">
      <alignment horizontal="center" vertical="center" wrapText="1"/>
    </xf>
    <xf numFmtId="0" fontId="24" fillId="4" borderId="1" xfId="0" applyFont="1" applyFill="1" applyBorder="1" applyAlignment="1">
      <alignment horizontal="center" vertical="center" wrapText="1"/>
    </xf>
    <xf numFmtId="169" fontId="60" fillId="4" borderId="1" xfId="101" applyNumberFormat="1" applyFont="1" applyFill="1" applyBorder="1" applyAlignment="1">
      <alignment horizontal="center" vertical="center" wrapText="1"/>
    </xf>
    <xf numFmtId="169" fontId="0" fillId="6" borderId="0" xfId="0" applyNumberFormat="1" applyFill="1"/>
    <xf numFmtId="0" fontId="15" fillId="0" borderId="19" xfId="0" applyFont="1" applyBorder="1"/>
    <xf numFmtId="166" fontId="55" fillId="53" borderId="0" xfId="0" applyNumberFormat="1" applyFont="1" applyFill="1" applyAlignment="1">
      <alignment vertical="center"/>
    </xf>
    <xf numFmtId="0" fontId="24" fillId="6" borderId="0" xfId="0" applyFont="1" applyFill="1" applyAlignment="1" applyProtection="1">
      <alignment horizontal="center" vertical="center" wrapText="1"/>
      <protection hidden="1"/>
    </xf>
    <xf numFmtId="0" fontId="82" fillId="6" borderId="0" xfId="0" applyFont="1" applyFill="1" applyAlignment="1" applyProtection="1">
      <alignment horizontal="center" vertical="center" wrapText="1"/>
      <protection hidden="1"/>
    </xf>
    <xf numFmtId="0" fontId="47" fillId="10" borderId="98" xfId="0" applyFont="1" applyFill="1" applyBorder="1" applyAlignment="1">
      <alignment horizontal="center" vertical="center" wrapText="1"/>
    </xf>
    <xf numFmtId="0" fontId="13" fillId="10" borderId="98" xfId="0" applyFont="1" applyFill="1" applyBorder="1" applyAlignment="1">
      <alignment horizontal="center" vertical="center" wrapText="1"/>
    </xf>
    <xf numFmtId="0" fontId="13" fillId="10" borderId="14" xfId="0" applyFont="1" applyFill="1" applyBorder="1" applyAlignment="1">
      <alignment horizontal="center" vertical="center" wrapText="1"/>
    </xf>
    <xf numFmtId="0" fontId="99" fillId="48" borderId="2" xfId="0" applyFont="1" applyFill="1" applyBorder="1" applyAlignment="1">
      <alignment horizontal="center" vertical="center" wrapText="1"/>
    </xf>
    <xf numFmtId="169" fontId="9" fillId="4" borderId="175" xfId="0" applyNumberFormat="1" applyFont="1" applyFill="1" applyBorder="1" applyAlignment="1">
      <alignment horizontal="center" vertical="center" wrapText="1"/>
    </xf>
    <xf numFmtId="169" fontId="9" fillId="4" borderId="176" xfId="0" applyNumberFormat="1" applyFont="1" applyFill="1" applyBorder="1" applyAlignment="1">
      <alignment horizontal="center" vertical="center" wrapText="1"/>
    </xf>
    <xf numFmtId="169" fontId="4" fillId="11" borderId="177" xfId="101" applyNumberFormat="1" applyFont="1" applyFill="1" applyBorder="1" applyAlignment="1" applyProtection="1">
      <alignment horizontal="center" vertical="center" wrapText="1"/>
    </xf>
    <xf numFmtId="169" fontId="13" fillId="9" borderId="1" xfId="0" applyNumberFormat="1" applyFont="1" applyFill="1" applyBorder="1" applyAlignment="1">
      <alignment horizontal="center" vertical="center" wrapText="1"/>
    </xf>
    <xf numFmtId="169" fontId="13" fillId="48" borderId="1" xfId="0" applyNumberFormat="1" applyFont="1" applyFill="1" applyBorder="1" applyAlignment="1">
      <alignment horizontal="center" vertical="center" wrapText="1"/>
    </xf>
    <xf numFmtId="169" fontId="9" fillId="4" borderId="1" xfId="0" applyNumberFormat="1" applyFont="1" applyFill="1" applyBorder="1" applyAlignment="1">
      <alignment horizontal="center" vertical="center" wrapText="1"/>
    </xf>
    <xf numFmtId="0" fontId="47" fillId="9" borderId="16" xfId="0" applyFont="1" applyFill="1" applyBorder="1" applyAlignment="1">
      <alignment horizontal="center" vertical="center" wrapText="1"/>
    </xf>
    <xf numFmtId="169" fontId="47" fillId="48" borderId="15" xfId="0" applyNumberFormat="1" applyFont="1" applyFill="1" applyBorder="1" applyAlignment="1">
      <alignment horizontal="center" vertical="center" wrapText="1"/>
    </xf>
    <xf numFmtId="169" fontId="13" fillId="9" borderId="16" xfId="0" applyNumberFormat="1" applyFont="1" applyFill="1" applyBorder="1" applyAlignment="1">
      <alignment horizontal="center" vertical="center" wrapText="1"/>
    </xf>
    <xf numFmtId="169" fontId="13" fillId="48" borderId="15" xfId="0" applyNumberFormat="1" applyFont="1" applyFill="1" applyBorder="1" applyAlignment="1">
      <alignment horizontal="center" vertical="center" wrapText="1"/>
    </xf>
    <xf numFmtId="169" fontId="9" fillId="4" borderId="27" xfId="0" applyNumberFormat="1" applyFont="1" applyFill="1" applyBorder="1" applyAlignment="1">
      <alignment horizontal="center" vertical="center" wrapText="1"/>
    </xf>
    <xf numFmtId="169" fontId="0" fillId="4" borderId="170" xfId="101" applyNumberFormat="1" applyFont="1" applyFill="1" applyBorder="1" applyAlignment="1">
      <alignment horizontal="center" vertical="center" wrapText="1"/>
    </xf>
    <xf numFmtId="169" fontId="47" fillId="4" borderId="120" xfId="103" applyNumberFormat="1" applyFont="1" applyFill="1" applyBorder="1" applyAlignment="1">
      <alignment horizontal="center" vertical="center" wrapText="1"/>
    </xf>
    <xf numFmtId="0" fontId="78" fillId="35" borderId="66" xfId="0" applyFont="1" applyFill="1" applyBorder="1" applyAlignment="1">
      <alignment horizontal="center" vertical="center" wrapText="1"/>
    </xf>
    <xf numFmtId="0" fontId="78" fillId="35" borderId="174" xfId="0" applyFont="1" applyFill="1" applyBorder="1" applyAlignment="1">
      <alignment horizontal="center" vertical="center" wrapText="1"/>
    </xf>
    <xf numFmtId="0" fontId="78" fillId="35" borderId="79" xfId="0" applyFont="1" applyFill="1" applyBorder="1" applyAlignment="1">
      <alignment horizontal="center" vertical="center" wrapText="1"/>
    </xf>
    <xf numFmtId="0" fontId="4" fillId="10" borderId="1" xfId="0" applyFont="1" applyFill="1" applyBorder="1" applyAlignment="1">
      <alignment horizontal="center" vertical="center" wrapText="1"/>
    </xf>
    <xf numFmtId="169" fontId="0" fillId="0" borderId="0" xfId="0" applyNumberFormat="1" applyAlignment="1">
      <alignment horizontal="center"/>
    </xf>
    <xf numFmtId="0" fontId="4" fillId="6" borderId="53" xfId="0" applyFont="1" applyFill="1" applyBorder="1" applyAlignment="1">
      <alignment horizontal="right" vertical="center" wrapText="1"/>
    </xf>
    <xf numFmtId="0" fontId="4" fillId="6" borderId="94" xfId="0" applyFont="1" applyFill="1" applyBorder="1" applyAlignment="1">
      <alignment horizontal="right" vertical="center" wrapText="1"/>
    </xf>
    <xf numFmtId="0" fontId="47" fillId="11" borderId="20" xfId="0" applyFont="1" applyFill="1" applyBorder="1" applyAlignment="1">
      <alignment wrapText="1"/>
    </xf>
    <xf numFmtId="169" fontId="47" fillId="11" borderId="51" xfId="0" applyNumberFormat="1" applyFont="1" applyFill="1" applyBorder="1" applyAlignment="1">
      <alignment wrapText="1"/>
    </xf>
    <xf numFmtId="169" fontId="47" fillId="11" borderId="68" xfId="0" applyNumberFormat="1" applyFont="1" applyFill="1" applyBorder="1" applyAlignment="1">
      <alignment wrapText="1"/>
    </xf>
    <xf numFmtId="169" fontId="9" fillId="4" borderId="11" xfId="0" applyNumberFormat="1" applyFont="1" applyFill="1" applyBorder="1" applyAlignment="1">
      <alignment horizontal="center" vertical="center" wrapText="1"/>
    </xf>
    <xf numFmtId="169" fontId="47" fillId="11" borderId="178" xfId="0" applyNumberFormat="1" applyFont="1" applyFill="1" applyBorder="1" applyAlignment="1">
      <alignment horizontal="center" wrapText="1"/>
    </xf>
    <xf numFmtId="169" fontId="47" fillId="11" borderId="179" xfId="0" applyNumberFormat="1" applyFont="1" applyFill="1" applyBorder="1" applyAlignment="1">
      <alignment horizontal="center" wrapText="1"/>
    </xf>
    <xf numFmtId="169" fontId="47" fillId="11" borderId="180" xfId="0" applyNumberFormat="1" applyFont="1" applyFill="1" applyBorder="1" applyAlignment="1">
      <alignment horizontal="center" wrapText="1"/>
    </xf>
    <xf numFmtId="169" fontId="47" fillId="11" borderId="153" xfId="0" applyNumberFormat="1" applyFont="1" applyFill="1" applyBorder="1" applyAlignment="1">
      <alignment wrapText="1"/>
    </xf>
    <xf numFmtId="169" fontId="47" fillId="11" borderId="154" xfId="0" applyNumberFormat="1" applyFont="1" applyFill="1" applyBorder="1" applyAlignment="1">
      <alignment wrapText="1"/>
    </xf>
    <xf numFmtId="0" fontId="4" fillId="0" borderId="22" xfId="0" applyFont="1" applyBorder="1" applyAlignment="1" applyProtection="1">
      <alignment horizontal="center" vertical="center" wrapText="1"/>
      <protection locked="0"/>
    </xf>
    <xf numFmtId="0" fontId="13" fillId="4" borderId="169" xfId="0" applyFont="1" applyFill="1" applyBorder="1" applyAlignment="1">
      <alignment horizontal="center" vertical="center" wrapText="1"/>
    </xf>
    <xf numFmtId="0" fontId="13" fillId="4" borderId="120" xfId="0" applyFont="1" applyFill="1" applyBorder="1" applyAlignment="1">
      <alignment horizontal="center" vertical="center" wrapText="1"/>
    </xf>
    <xf numFmtId="0" fontId="13" fillId="4" borderId="181" xfId="0" applyFont="1" applyFill="1" applyBorder="1" applyAlignment="1">
      <alignment horizontal="center" vertical="center" wrapText="1"/>
    </xf>
    <xf numFmtId="169" fontId="4" fillId="4" borderId="71" xfId="0" applyNumberFormat="1" applyFont="1" applyFill="1" applyBorder="1" applyAlignment="1" applyProtection="1">
      <alignment horizontal="center" vertical="center" wrapText="1"/>
      <protection locked="0"/>
    </xf>
    <xf numFmtId="169" fontId="13" fillId="4" borderId="120" xfId="0" applyNumberFormat="1" applyFont="1" applyFill="1" applyBorder="1" applyAlignment="1">
      <alignment horizontal="center" vertical="center" wrapText="1"/>
    </xf>
    <xf numFmtId="169" fontId="4" fillId="4" borderId="116" xfId="0" applyNumberFormat="1" applyFont="1" applyFill="1" applyBorder="1" applyAlignment="1">
      <alignment horizontal="center" vertical="center" wrapText="1"/>
    </xf>
    <xf numFmtId="169" fontId="4" fillId="4" borderId="182" xfId="0" applyNumberFormat="1" applyFont="1" applyFill="1" applyBorder="1" applyAlignment="1">
      <alignment horizontal="center" vertical="center" wrapText="1"/>
    </xf>
    <xf numFmtId="169" fontId="9" fillId="4" borderId="120" xfId="0" applyNumberFormat="1" applyFont="1" applyFill="1" applyBorder="1" applyAlignment="1">
      <alignment horizontal="center" vertical="center" wrapText="1"/>
    </xf>
    <xf numFmtId="169" fontId="9" fillId="4" borderId="139" xfId="0" applyNumberFormat="1" applyFont="1" applyFill="1" applyBorder="1" applyAlignment="1">
      <alignment horizontal="center" vertical="center" wrapText="1"/>
    </xf>
    <xf numFmtId="169" fontId="13" fillId="4" borderId="29" xfId="0" applyNumberFormat="1" applyFont="1" applyFill="1" applyBorder="1" applyAlignment="1">
      <alignment horizontal="center" vertical="center" wrapText="1"/>
    </xf>
    <xf numFmtId="2" fontId="13" fillId="4" borderId="14" xfId="0" applyNumberFormat="1" applyFont="1" applyFill="1" applyBorder="1" applyAlignment="1">
      <alignment horizontal="center" vertical="center" wrapText="1"/>
    </xf>
    <xf numFmtId="169" fontId="13" fillId="4" borderId="14" xfId="0" applyNumberFormat="1" applyFont="1" applyFill="1" applyBorder="1" applyAlignment="1">
      <alignment horizontal="center" vertical="center" wrapText="1"/>
    </xf>
    <xf numFmtId="0" fontId="4" fillId="6" borderId="120" xfId="0" applyFont="1" applyFill="1" applyBorder="1" applyAlignment="1">
      <alignment horizontal="center" vertical="center" wrapText="1"/>
    </xf>
    <xf numFmtId="0" fontId="47" fillId="0" borderId="120" xfId="0" applyFont="1" applyBorder="1" applyAlignment="1">
      <alignment horizontal="center" vertical="center" wrapText="1"/>
    </xf>
    <xf numFmtId="169" fontId="47" fillId="4" borderId="170" xfId="0" applyNumberFormat="1" applyFont="1" applyFill="1" applyBorder="1" applyAlignment="1">
      <alignment horizontal="right" vertical="center" wrapText="1"/>
    </xf>
    <xf numFmtId="49" fontId="13" fillId="11" borderId="28" xfId="0" applyNumberFormat="1" applyFont="1" applyFill="1" applyBorder="1" applyAlignment="1">
      <alignment horizontal="center" vertical="center" wrapText="1"/>
    </xf>
    <xf numFmtId="169" fontId="9" fillId="11" borderId="173" xfId="0" applyNumberFormat="1" applyFont="1" applyFill="1" applyBorder="1" applyAlignment="1">
      <alignment horizontal="right" vertical="center" wrapText="1"/>
    </xf>
    <xf numFmtId="169" fontId="9" fillId="11" borderId="51" xfId="0" applyNumberFormat="1" applyFont="1" applyFill="1" applyBorder="1" applyAlignment="1">
      <alignment horizontal="right" vertical="center" wrapText="1"/>
    </xf>
    <xf numFmtId="169" fontId="9" fillId="11" borderId="27" xfId="1" applyNumberFormat="1" applyFont="1" applyFill="1" applyBorder="1" applyAlignment="1" applyProtection="1">
      <alignment horizontal="right" vertical="center" wrapText="1"/>
    </xf>
    <xf numFmtId="169" fontId="13" fillId="11" borderId="27" xfId="0" applyNumberFormat="1" applyFont="1" applyFill="1" applyBorder="1" applyAlignment="1">
      <alignment horizontal="right" vertical="center" wrapText="1"/>
    </xf>
    <xf numFmtId="169" fontId="13" fillId="51" borderId="27" xfId="0" applyNumberFormat="1" applyFont="1" applyFill="1" applyBorder="1" applyAlignment="1">
      <alignment horizontal="center" vertical="center" wrapText="1"/>
    </xf>
    <xf numFmtId="169" fontId="9" fillId="11" borderId="183" xfId="0" applyNumberFormat="1" applyFont="1" applyFill="1" applyBorder="1" applyAlignment="1">
      <alignment horizontal="right" vertical="center" wrapText="1"/>
    </xf>
    <xf numFmtId="1" fontId="4" fillId="11" borderId="27" xfId="101" applyNumberFormat="1" applyFont="1" applyFill="1" applyBorder="1" applyAlignment="1">
      <alignment horizontal="center" vertical="center" wrapText="1"/>
    </xf>
    <xf numFmtId="169" fontId="4" fillId="11" borderId="184" xfId="101" applyNumberFormat="1" applyFont="1" applyFill="1" applyBorder="1" applyAlignment="1" applyProtection="1">
      <alignment horizontal="center" vertical="center" wrapText="1"/>
    </xf>
    <xf numFmtId="0" fontId="13" fillId="11" borderId="33" xfId="0" applyFont="1" applyFill="1" applyBorder="1" applyAlignment="1">
      <alignment horizontal="center" vertical="center" wrapText="1"/>
    </xf>
    <xf numFmtId="0" fontId="13" fillId="11" borderId="171" xfId="0" applyFont="1" applyFill="1" applyBorder="1" applyAlignment="1">
      <alignment horizontal="center" vertical="center" wrapText="1"/>
    </xf>
    <xf numFmtId="49" fontId="13" fillId="11" borderId="50" xfId="0" applyNumberFormat="1" applyFont="1" applyFill="1" applyBorder="1" applyAlignment="1">
      <alignment horizontal="center" vertical="center" wrapText="1"/>
    </xf>
    <xf numFmtId="169" fontId="13" fillId="11" borderId="109" xfId="0" applyNumberFormat="1" applyFont="1" applyFill="1" applyBorder="1" applyAlignment="1">
      <alignment horizontal="center" vertical="center" wrapText="1"/>
    </xf>
    <xf numFmtId="169" fontId="13" fillId="11" borderId="185" xfId="1" applyNumberFormat="1" applyFont="1" applyFill="1" applyBorder="1" applyAlignment="1" applyProtection="1">
      <alignment horizontal="center" vertical="center" wrapText="1"/>
    </xf>
    <xf numFmtId="169" fontId="13" fillId="11" borderId="186" xfId="0" applyNumberFormat="1" applyFont="1" applyFill="1" applyBorder="1" applyAlignment="1">
      <alignment horizontal="right" vertical="center" wrapText="1"/>
    </xf>
    <xf numFmtId="169" fontId="13" fillId="11" borderId="50" xfId="0" applyNumberFormat="1" applyFont="1" applyFill="1" applyBorder="1" applyAlignment="1">
      <alignment horizontal="right" vertical="center" wrapText="1"/>
    </xf>
    <xf numFmtId="169" fontId="13" fillId="11" borderId="187" xfId="0" applyNumberFormat="1" applyFont="1" applyFill="1" applyBorder="1" applyAlignment="1">
      <alignment horizontal="right" vertical="center" wrapText="1"/>
    </xf>
    <xf numFmtId="169" fontId="13" fillId="11" borderId="188" xfId="0" applyNumberFormat="1" applyFont="1" applyFill="1" applyBorder="1" applyAlignment="1">
      <alignment horizontal="right" vertical="center" wrapText="1"/>
    </xf>
    <xf numFmtId="169" fontId="13" fillId="11" borderId="33" xfId="0" applyNumberFormat="1" applyFont="1" applyFill="1" applyBorder="1" applyAlignment="1">
      <alignment horizontal="center" vertical="center" wrapText="1"/>
    </xf>
    <xf numFmtId="169" fontId="9" fillId="11" borderId="50" xfId="0" applyNumberFormat="1" applyFont="1" applyFill="1" applyBorder="1" applyAlignment="1">
      <alignment horizontal="center" vertical="center" wrapText="1"/>
    </xf>
    <xf numFmtId="169" fontId="9" fillId="11" borderId="26" xfId="0" applyNumberFormat="1" applyFont="1" applyFill="1" applyBorder="1" applyAlignment="1">
      <alignment horizontal="right" vertical="center" wrapText="1"/>
    </xf>
    <xf numFmtId="2" fontId="9" fillId="11" borderId="27" xfId="0" applyNumberFormat="1" applyFont="1" applyFill="1" applyBorder="1" applyAlignment="1">
      <alignment horizontal="right" vertical="center" wrapText="1"/>
    </xf>
    <xf numFmtId="169" fontId="4" fillId="11" borderId="28" xfId="101" applyNumberFormat="1" applyFont="1" applyFill="1" applyBorder="1" applyAlignment="1" applyProtection="1">
      <alignment horizontal="center" vertical="center" wrapText="1"/>
    </xf>
    <xf numFmtId="0" fontId="47" fillId="11" borderId="27" xfId="0" applyFont="1" applyFill="1" applyBorder="1" applyAlignment="1">
      <alignment horizontal="center" vertical="center" wrapText="1"/>
    </xf>
    <xf numFmtId="169" fontId="9" fillId="11" borderId="172" xfId="0" applyNumberFormat="1" applyFont="1" applyFill="1" applyBorder="1" applyAlignment="1">
      <alignment horizontal="right" vertical="center" wrapText="1"/>
    </xf>
    <xf numFmtId="169" fontId="47" fillId="4" borderId="189" xfId="0" applyNumberFormat="1" applyFont="1" applyFill="1" applyBorder="1" applyAlignment="1">
      <alignment horizontal="center" vertical="center"/>
    </xf>
    <xf numFmtId="169" fontId="15" fillId="6" borderId="0" xfId="0" applyNumberFormat="1" applyFont="1" applyFill="1"/>
    <xf numFmtId="0" fontId="14" fillId="6" borderId="0" xfId="0" applyFont="1" applyFill="1" applyAlignment="1">
      <alignment vertical="center" wrapText="1"/>
    </xf>
    <xf numFmtId="0" fontId="24" fillId="9" borderId="1" xfId="0" applyFont="1" applyFill="1" applyBorder="1" applyAlignment="1">
      <alignment horizontal="left" vertical="center" wrapText="1"/>
    </xf>
    <xf numFmtId="0" fontId="24" fillId="4" borderId="1" xfId="0" applyFont="1" applyFill="1" applyBorder="1" applyAlignment="1" applyProtection="1">
      <alignment horizontal="center" vertical="center" wrapText="1"/>
      <protection hidden="1"/>
    </xf>
    <xf numFmtId="0" fontId="47" fillId="8" borderId="24" xfId="0" applyFont="1" applyFill="1" applyBorder="1" applyAlignment="1">
      <alignment horizontal="center" vertical="center" wrapText="1"/>
    </xf>
    <xf numFmtId="0" fontId="47" fillId="7" borderId="13" xfId="0" applyFont="1" applyFill="1" applyBorder="1" applyAlignment="1" applyProtection="1">
      <alignment vertical="center" wrapText="1"/>
      <protection locked="0"/>
    </xf>
    <xf numFmtId="0" fontId="95" fillId="11" borderId="1" xfId="0" applyFont="1" applyFill="1" applyBorder="1" applyAlignment="1">
      <alignment horizontal="center" vertical="center" wrapText="1"/>
    </xf>
    <xf numFmtId="0" fontId="4" fillId="6" borderId="46" xfId="102" applyFont="1" applyFill="1" applyBorder="1" applyAlignment="1" applyProtection="1">
      <alignment horizontal="center" vertical="center" wrapText="1"/>
      <protection locked="0"/>
    </xf>
    <xf numFmtId="0" fontId="4" fillId="6" borderId="14" xfId="102" applyFont="1" applyFill="1" applyBorder="1" applyAlignment="1" applyProtection="1">
      <alignment horizontal="center" vertical="center" wrapText="1"/>
      <protection locked="0"/>
    </xf>
    <xf numFmtId="0" fontId="4" fillId="6" borderId="1" xfId="102" applyFont="1" applyFill="1" applyBorder="1" applyAlignment="1" applyProtection="1">
      <alignment horizontal="center" vertical="center" wrapText="1"/>
      <protection locked="0"/>
    </xf>
    <xf numFmtId="0" fontId="47" fillId="38" borderId="191" xfId="102" applyFont="1" applyFill="1" applyBorder="1" applyAlignment="1">
      <alignment horizontal="center" vertical="center" wrapText="1"/>
    </xf>
    <xf numFmtId="0" fontId="99" fillId="38" borderId="3" xfId="102" applyFont="1" applyFill="1" applyBorder="1" applyAlignment="1">
      <alignment horizontal="center" vertical="center" wrapText="1"/>
    </xf>
    <xf numFmtId="49" fontId="13" fillId="11" borderId="52" xfId="102" applyNumberFormat="1" applyFont="1" applyFill="1" applyBorder="1" applyAlignment="1">
      <alignment horizontal="center" vertical="center" wrapText="1"/>
    </xf>
    <xf numFmtId="0" fontId="0" fillId="6" borderId="3" xfId="0" applyFill="1" applyBorder="1" applyAlignment="1">
      <alignment horizontal="center" vertical="center"/>
    </xf>
    <xf numFmtId="0" fontId="0" fillId="6" borderId="45" xfId="0" applyFill="1" applyBorder="1" applyAlignment="1">
      <alignment horizontal="center" vertical="center"/>
    </xf>
    <xf numFmtId="49" fontId="13" fillId="11" borderId="1" xfId="102" applyNumberFormat="1" applyFont="1" applyFill="1" applyBorder="1" applyAlignment="1">
      <alignment horizontal="center" vertical="center" wrapText="1"/>
    </xf>
    <xf numFmtId="49" fontId="4" fillId="11" borderId="27" xfId="0" applyNumberFormat="1" applyFont="1" applyFill="1" applyBorder="1" applyAlignment="1" applyProtection="1">
      <alignment horizontal="center" vertical="center" wrapText="1"/>
      <protection locked="0"/>
    </xf>
    <xf numFmtId="0" fontId="2" fillId="2" borderId="20" xfId="0" applyFont="1" applyFill="1" applyBorder="1" applyAlignment="1">
      <alignment vertical="center"/>
    </xf>
    <xf numFmtId="0" fontId="47" fillId="11" borderId="1" xfId="0" applyFont="1" applyFill="1" applyBorder="1" applyAlignment="1">
      <alignment horizontal="center" vertical="center"/>
    </xf>
    <xf numFmtId="0" fontId="4" fillId="8" borderId="1" xfId="0" applyFont="1" applyFill="1" applyBorder="1" applyAlignment="1">
      <alignment horizontal="center" vertical="center"/>
    </xf>
    <xf numFmtId="0" fontId="0" fillId="8" borderId="1" xfId="0" applyFill="1" applyBorder="1" applyAlignment="1">
      <alignment horizontal="center" vertical="center"/>
    </xf>
    <xf numFmtId="0" fontId="0" fillId="6" borderId="1" xfId="0" applyFill="1" applyBorder="1" applyAlignment="1">
      <alignment horizontal="center" vertical="center"/>
    </xf>
    <xf numFmtId="0" fontId="24" fillId="9" borderId="11" xfId="0" applyFont="1" applyFill="1" applyBorder="1" applyAlignment="1">
      <alignment vertical="center" wrapText="1"/>
    </xf>
    <xf numFmtId="0" fontId="24" fillId="6" borderId="11" xfId="0" applyFont="1" applyFill="1" applyBorder="1" applyAlignment="1">
      <alignment horizontal="center" vertical="center" wrapText="1"/>
    </xf>
    <xf numFmtId="10" fontId="0" fillId="6" borderId="0" xfId="0" applyNumberFormat="1" applyFill="1" applyAlignment="1" applyProtection="1">
      <alignment horizontal="center" vertical="center"/>
      <protection hidden="1"/>
    </xf>
    <xf numFmtId="0" fontId="0" fillId="6" borderId="0" xfId="0" applyFill="1" applyAlignment="1" applyProtection="1">
      <alignment vertical="center"/>
      <protection hidden="1"/>
    </xf>
    <xf numFmtId="1" fontId="4" fillId="6" borderId="97" xfId="0" applyNumberFormat="1" applyFont="1" applyFill="1" applyBorder="1" applyAlignment="1" applyProtection="1">
      <alignment horizontal="center" vertical="center" wrapText="1"/>
      <protection locked="0"/>
    </xf>
    <xf numFmtId="1" fontId="4" fillId="6" borderId="192" xfId="0" applyNumberFormat="1" applyFont="1" applyFill="1" applyBorder="1" applyAlignment="1" applyProtection="1">
      <alignment horizontal="center" vertical="center" wrapText="1"/>
      <protection locked="0"/>
    </xf>
    <xf numFmtId="0" fontId="47" fillId="38" borderId="23" xfId="0" applyFont="1" applyFill="1" applyBorder="1" applyAlignment="1">
      <alignment horizontal="center" vertical="center" wrapText="1"/>
    </xf>
    <xf numFmtId="49" fontId="13" fillId="11" borderId="11" xfId="0" applyNumberFormat="1" applyFont="1" applyFill="1" applyBorder="1" applyAlignment="1">
      <alignment horizontal="center" vertical="center" wrapText="1"/>
    </xf>
    <xf numFmtId="0" fontId="121" fillId="38" borderId="1" xfId="102" applyFont="1" applyFill="1" applyBorder="1" applyAlignment="1">
      <alignment horizontal="center" vertical="center" wrapText="1"/>
    </xf>
    <xf numFmtId="0" fontId="60" fillId="4" borderId="53" xfId="0" applyFont="1" applyFill="1" applyBorder="1" applyAlignment="1">
      <alignment vertical="center" wrapText="1"/>
    </xf>
    <xf numFmtId="0" fontId="121" fillId="9" borderId="1" xfId="102" applyFont="1" applyFill="1" applyBorder="1" applyAlignment="1">
      <alignment horizontal="center" vertical="center" wrapText="1"/>
    </xf>
    <xf numFmtId="0" fontId="47" fillId="38" borderId="53" xfId="102" applyFont="1" applyFill="1" applyBorder="1" applyAlignment="1">
      <alignment horizontal="center" vertical="center" wrapText="1"/>
    </xf>
    <xf numFmtId="0" fontId="47" fillId="9" borderId="53" xfId="102" applyFont="1" applyFill="1" applyBorder="1" applyAlignment="1">
      <alignment horizontal="center" vertical="center" wrapText="1"/>
    </xf>
    <xf numFmtId="0" fontId="61" fillId="9" borderId="53" xfId="102" applyFont="1" applyFill="1" applyBorder="1" applyAlignment="1">
      <alignment horizontal="center" vertical="center" wrapText="1"/>
    </xf>
    <xf numFmtId="0" fontId="13" fillId="51" borderId="27" xfId="0" applyFont="1" applyFill="1" applyBorder="1" applyAlignment="1">
      <alignment horizontal="center" vertical="center" wrapText="1"/>
    </xf>
    <xf numFmtId="49" fontId="13" fillId="11" borderId="146" xfId="102" applyNumberFormat="1"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3" xfId="0" applyFont="1" applyFill="1" applyBorder="1" applyAlignment="1">
      <alignment horizontal="center" vertical="center" wrapText="1"/>
    </xf>
    <xf numFmtId="169" fontId="13" fillId="51" borderId="34" xfId="0" applyNumberFormat="1" applyFont="1" applyFill="1" applyBorder="1" applyAlignment="1">
      <alignment horizontal="center" vertical="center" wrapText="1"/>
    </xf>
    <xf numFmtId="169" fontId="13" fillId="31" borderId="34" xfId="0" applyNumberFormat="1" applyFont="1" applyFill="1" applyBorder="1" applyAlignment="1">
      <alignment horizontal="center" vertical="center" wrapText="1"/>
    </xf>
    <xf numFmtId="169" fontId="4" fillId="4" borderId="1" xfId="7" applyNumberFormat="1" applyFont="1" applyFill="1" applyBorder="1" applyAlignment="1" applyProtection="1">
      <alignment horizontal="center" vertical="center" wrapText="1"/>
    </xf>
    <xf numFmtId="0" fontId="2" fillId="2" borderId="1" xfId="0" applyFont="1" applyFill="1" applyBorder="1" applyAlignment="1">
      <alignment horizontal="center" vertical="center" wrapText="1"/>
    </xf>
    <xf numFmtId="0" fontId="13" fillId="38" borderId="11" xfId="0" applyFont="1" applyFill="1" applyBorder="1" applyAlignment="1">
      <alignment horizontal="center" vertical="center" wrapText="1"/>
    </xf>
    <xf numFmtId="0" fontId="61" fillId="38" borderId="100" xfId="102" applyFont="1" applyFill="1" applyBorder="1" applyAlignment="1">
      <alignment horizontal="center" vertical="center" wrapText="1"/>
    </xf>
    <xf numFmtId="0" fontId="13" fillId="38" borderId="23" xfId="0" applyFont="1" applyFill="1" applyBorder="1" applyAlignment="1">
      <alignment horizontal="center" vertical="center" wrapText="1"/>
    </xf>
    <xf numFmtId="49" fontId="13" fillId="11" borderId="193" xfId="102" applyNumberFormat="1" applyFont="1" applyFill="1" applyBorder="1" applyAlignment="1">
      <alignment horizontal="center" vertical="center" wrapText="1"/>
    </xf>
    <xf numFmtId="0" fontId="2" fillId="2" borderId="32" xfId="0" applyFont="1" applyFill="1" applyBorder="1" applyAlignment="1">
      <alignment vertical="center"/>
    </xf>
    <xf numFmtId="0" fontId="0" fillId="2" borderId="9" xfId="0" applyFill="1" applyBorder="1" applyAlignment="1">
      <alignment horizontal="center"/>
    </xf>
    <xf numFmtId="0" fontId="47" fillId="9" borderId="23" xfId="0" applyFont="1" applyFill="1" applyBorder="1" applyAlignment="1">
      <alignment horizontal="center" vertical="center" wrapText="1"/>
    </xf>
    <xf numFmtId="9" fontId="13" fillId="11" borderId="11" xfId="0" applyNumberFormat="1" applyFont="1" applyFill="1" applyBorder="1" applyAlignment="1">
      <alignment horizontal="center" vertical="center" wrapText="1"/>
    </xf>
    <xf numFmtId="0" fontId="13" fillId="11" borderId="11" xfId="0" applyFont="1" applyFill="1" applyBorder="1" applyAlignment="1">
      <alignment horizontal="center" vertical="center" wrapText="1"/>
    </xf>
    <xf numFmtId="1" fontId="4" fillId="6" borderId="120" xfId="0" applyNumberFormat="1" applyFont="1" applyFill="1" applyBorder="1" applyAlignment="1" applyProtection="1">
      <alignment horizontal="center" vertical="center" wrapText="1"/>
      <protection locked="0"/>
    </xf>
    <xf numFmtId="0" fontId="4" fillId="8" borderId="2" xfId="0" applyFont="1" applyFill="1" applyBorder="1" applyAlignment="1">
      <alignment horizontal="center" vertical="center" wrapText="1"/>
    </xf>
    <xf numFmtId="0" fontId="4" fillId="0" borderId="9" xfId="0" applyFont="1" applyBorder="1" applyAlignment="1" applyProtection="1">
      <alignment horizontal="center" vertical="center"/>
      <protection locked="0"/>
    </xf>
    <xf numFmtId="0" fontId="0" fillId="0" borderId="9" xfId="0" applyBorder="1" applyAlignment="1" applyProtection="1">
      <alignment horizontal="center" vertical="center" wrapText="1"/>
      <protection locked="0"/>
    </xf>
    <xf numFmtId="49" fontId="13" fillId="11" borderId="11" xfId="102" applyNumberFormat="1" applyFont="1" applyFill="1" applyBorder="1" applyAlignment="1">
      <alignment horizontal="center" vertical="center" wrapText="1"/>
    </xf>
    <xf numFmtId="0" fontId="0" fillId="11" borderId="11" xfId="0" applyFill="1" applyBorder="1" applyAlignment="1">
      <alignment horizontal="center" vertical="center" wrapText="1"/>
    </xf>
    <xf numFmtId="0" fontId="0" fillId="11" borderId="11" xfId="0" applyFill="1" applyBorder="1" applyAlignment="1">
      <alignment horizontal="left" vertical="center" wrapText="1"/>
    </xf>
    <xf numFmtId="169" fontId="4" fillId="11" borderId="11" xfId="101" applyNumberFormat="1" applyFont="1" applyFill="1" applyBorder="1" applyAlignment="1" applyProtection="1">
      <alignment horizontal="center" vertical="center" wrapText="1"/>
    </xf>
    <xf numFmtId="169" fontId="0" fillId="11" borderId="11" xfId="0" applyNumberFormat="1" applyFill="1" applyBorder="1" applyAlignment="1">
      <alignment horizontal="center" vertical="center" wrapText="1"/>
    </xf>
    <xf numFmtId="169" fontId="0" fillId="11" borderId="54" xfId="0" applyNumberFormat="1" applyFill="1" applyBorder="1" applyAlignment="1">
      <alignment horizontal="center" vertical="center" wrapText="1"/>
    </xf>
    <xf numFmtId="0" fontId="0" fillId="11" borderId="54" xfId="0"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8" borderId="1" xfId="102" applyFont="1" applyFill="1" applyBorder="1" applyAlignment="1" applyProtection="1">
      <alignment horizontal="center" vertical="center" wrapText="1"/>
      <protection locked="0"/>
    </xf>
    <xf numFmtId="0" fontId="0" fillId="8" borderId="1" xfId="0" applyFill="1" applyBorder="1" applyAlignment="1">
      <alignment horizontal="left" vertical="center" wrapText="1"/>
    </xf>
    <xf numFmtId="0" fontId="4" fillId="0" borderId="3" xfId="0" applyFont="1" applyBorder="1" applyAlignment="1" applyProtection="1">
      <alignment horizontal="center" vertical="center"/>
      <protection locked="0"/>
    </xf>
    <xf numFmtId="0" fontId="47" fillId="47" borderId="2" xfId="102" applyFont="1" applyFill="1" applyBorder="1" applyAlignment="1">
      <alignment horizontal="center" vertical="center" wrapText="1"/>
    </xf>
    <xf numFmtId="0" fontId="106" fillId="47" borderId="2" xfId="102" applyFont="1" applyFill="1" applyBorder="1" applyAlignment="1">
      <alignment horizontal="center" vertical="center" wrapText="1"/>
    </xf>
    <xf numFmtId="1" fontId="13" fillId="11" borderId="50" xfId="0" applyNumberFormat="1" applyFont="1" applyFill="1" applyBorder="1" applyAlignment="1">
      <alignment horizontal="center" vertical="center"/>
    </xf>
    <xf numFmtId="0" fontId="47" fillId="47" borderId="3" xfId="102" applyFont="1" applyFill="1" applyBorder="1" applyAlignment="1">
      <alignment horizontal="center" vertical="center" wrapText="1"/>
    </xf>
    <xf numFmtId="0" fontId="47" fillId="38" borderId="16" xfId="102" applyFont="1" applyFill="1" applyBorder="1" applyAlignment="1">
      <alignment horizontal="center" vertical="center" wrapText="1"/>
    </xf>
    <xf numFmtId="0" fontId="47" fillId="38" borderId="15" xfId="102" applyFont="1" applyFill="1" applyBorder="1" applyAlignment="1">
      <alignment horizontal="center" vertical="center" wrapText="1"/>
    </xf>
    <xf numFmtId="0" fontId="100" fillId="38" borderId="16" xfId="0" applyFont="1" applyFill="1" applyBorder="1" applyAlignment="1">
      <alignment horizontal="center" vertical="center" wrapText="1"/>
    </xf>
    <xf numFmtId="0" fontId="100" fillId="38" borderId="15" xfId="0" applyFont="1" applyFill="1" applyBorder="1" applyAlignment="1">
      <alignment horizontal="center" vertical="center" wrapText="1"/>
    </xf>
    <xf numFmtId="169" fontId="13" fillId="11" borderId="26" xfId="0" quotePrefix="1" applyNumberFormat="1" applyFont="1" applyFill="1" applyBorder="1" applyAlignment="1">
      <alignment horizontal="center" vertical="center"/>
    </xf>
    <xf numFmtId="169" fontId="13" fillId="11" borderId="28" xfId="0" quotePrefix="1" applyNumberFormat="1" applyFont="1" applyFill="1" applyBorder="1" applyAlignment="1">
      <alignment horizontal="center" vertical="center"/>
    </xf>
    <xf numFmtId="169" fontId="4" fillId="0" borderId="29" xfId="0" applyNumberFormat="1" applyFont="1" applyBorder="1" applyAlignment="1" applyProtection="1">
      <alignment horizontal="center" vertical="center" wrapText="1"/>
      <protection locked="0"/>
    </xf>
    <xf numFmtId="169" fontId="4" fillId="4" borderId="114" xfId="0" applyNumberFormat="1" applyFont="1" applyFill="1" applyBorder="1" applyAlignment="1">
      <alignment horizontal="center" vertical="center" wrapText="1"/>
    </xf>
    <xf numFmtId="169" fontId="4" fillId="4" borderId="113" xfId="0" applyNumberFormat="1" applyFont="1" applyFill="1" applyBorder="1" applyAlignment="1">
      <alignment horizontal="center" vertical="center" wrapText="1"/>
    </xf>
    <xf numFmtId="169" fontId="4" fillId="0" borderId="16" xfId="0" applyNumberFormat="1" applyFont="1" applyBorder="1" applyAlignment="1" applyProtection="1">
      <alignment horizontal="center" vertical="center" wrapText="1"/>
      <protection locked="0"/>
    </xf>
    <xf numFmtId="169" fontId="4" fillId="0" borderId="26" xfId="0" applyNumberFormat="1" applyFont="1" applyBorder="1" applyAlignment="1" applyProtection="1">
      <alignment horizontal="center" vertical="center" wrapText="1"/>
      <protection locked="0"/>
    </xf>
    <xf numFmtId="1" fontId="4" fillId="6" borderId="50" xfId="0" applyNumberFormat="1" applyFont="1" applyFill="1" applyBorder="1" applyAlignment="1" applyProtection="1">
      <alignment horizontal="center" vertical="center" wrapText="1"/>
      <protection locked="0"/>
    </xf>
    <xf numFmtId="169" fontId="4" fillId="4" borderId="147" xfId="0" applyNumberFormat="1" applyFont="1" applyFill="1" applyBorder="1" applyAlignment="1">
      <alignment horizontal="center" vertical="center" wrapText="1"/>
    </xf>
    <xf numFmtId="0" fontId="47" fillId="47" borderId="16" xfId="102" applyFont="1" applyFill="1" applyBorder="1" applyAlignment="1">
      <alignment horizontal="center" vertical="center" wrapText="1"/>
    </xf>
    <xf numFmtId="0" fontId="47" fillId="47" borderId="15" xfId="102" applyFont="1" applyFill="1" applyBorder="1" applyAlignment="1">
      <alignment horizontal="center" vertical="center" wrapText="1"/>
    </xf>
    <xf numFmtId="0" fontId="99" fillId="47" borderId="16" xfId="0" applyFont="1" applyFill="1" applyBorder="1" applyAlignment="1">
      <alignment horizontal="center" vertical="center" wrapText="1"/>
    </xf>
    <xf numFmtId="0" fontId="100" fillId="47" borderId="15" xfId="0" applyFont="1" applyFill="1" applyBorder="1" applyAlignment="1">
      <alignment horizontal="center" vertical="center" wrapText="1"/>
    </xf>
    <xf numFmtId="1" fontId="13" fillId="11" borderId="26" xfId="0" quotePrefix="1" applyNumberFormat="1" applyFont="1" applyFill="1" applyBorder="1" applyAlignment="1">
      <alignment horizontal="center" vertical="center"/>
    </xf>
    <xf numFmtId="1" fontId="4" fillId="6" borderId="31" xfId="0" applyNumberFormat="1" applyFont="1" applyFill="1" applyBorder="1" applyAlignment="1" applyProtection="1">
      <alignment horizontal="center" vertical="center" wrapText="1"/>
      <protection locked="0"/>
    </xf>
    <xf numFmtId="1" fontId="4" fillId="6" borderId="112" xfId="0" applyNumberFormat="1" applyFont="1" applyFill="1" applyBorder="1" applyAlignment="1" applyProtection="1">
      <alignment horizontal="center" vertical="center" wrapText="1"/>
      <protection locked="0"/>
    </xf>
    <xf numFmtId="1" fontId="4" fillId="6" borderId="151" xfId="0" applyNumberFormat="1" applyFont="1" applyFill="1" applyBorder="1" applyAlignment="1" applyProtection="1">
      <alignment horizontal="center" vertical="center" wrapText="1"/>
      <protection locked="0"/>
    </xf>
    <xf numFmtId="0" fontId="100" fillId="47" borderId="3" xfId="0" applyFont="1" applyFill="1" applyBorder="1" applyAlignment="1">
      <alignment horizontal="center" vertical="center" wrapText="1"/>
    </xf>
    <xf numFmtId="169" fontId="9" fillId="11" borderId="45" xfId="0" quotePrefix="1" applyNumberFormat="1" applyFont="1" applyFill="1" applyBorder="1" applyAlignment="1">
      <alignment horizontal="center" vertical="center"/>
    </xf>
    <xf numFmtId="169" fontId="4" fillId="4" borderId="107" xfId="0" applyNumberFormat="1" applyFont="1" applyFill="1" applyBorder="1" applyAlignment="1">
      <alignment horizontal="center" vertical="center" wrapText="1"/>
    </xf>
    <xf numFmtId="169" fontId="4" fillId="4" borderId="141" xfId="0" applyNumberFormat="1" applyFont="1" applyFill="1" applyBorder="1" applyAlignment="1">
      <alignment horizontal="center" vertical="center" wrapText="1"/>
    </xf>
    <xf numFmtId="169" fontId="4" fillId="4" borderId="148" xfId="0" applyNumberFormat="1" applyFont="1" applyFill="1" applyBorder="1" applyAlignment="1">
      <alignment horizontal="center" vertical="center" wrapText="1"/>
    </xf>
    <xf numFmtId="0" fontId="99" fillId="38" borderId="16" xfId="0" applyFont="1" applyFill="1" applyBorder="1" applyAlignment="1">
      <alignment horizontal="center" vertical="center" wrapText="1"/>
    </xf>
    <xf numFmtId="169" fontId="13" fillId="11" borderId="28" xfId="101" quotePrefix="1" applyNumberFormat="1" applyFont="1" applyFill="1" applyBorder="1" applyAlignment="1" applyProtection="1">
      <alignment horizontal="center" vertical="center"/>
    </xf>
    <xf numFmtId="0" fontId="47" fillId="48" borderId="2" xfId="102" applyFont="1" applyFill="1" applyBorder="1" applyAlignment="1">
      <alignment horizontal="center" vertical="center" wrapText="1"/>
    </xf>
    <xf numFmtId="0" fontId="4" fillId="4" borderId="175" xfId="0" applyFont="1" applyFill="1" applyBorder="1" applyAlignment="1">
      <alignment horizontal="center" vertical="center" wrapText="1"/>
    </xf>
    <xf numFmtId="0" fontId="4" fillId="4" borderId="194" xfId="0" applyFont="1" applyFill="1" applyBorder="1" applyAlignment="1">
      <alignment horizontal="center" vertical="center" wrapText="1"/>
    </xf>
    <xf numFmtId="0" fontId="47" fillId="48" borderId="3" xfId="102" applyFont="1" applyFill="1" applyBorder="1" applyAlignment="1">
      <alignment horizontal="center" vertical="center" wrapText="1"/>
    </xf>
    <xf numFmtId="0" fontId="47" fillId="48" borderId="16" xfId="102" applyFont="1" applyFill="1" applyBorder="1" applyAlignment="1">
      <alignment horizontal="center" vertical="center" wrapText="1"/>
    </xf>
    <xf numFmtId="0" fontId="47" fillId="48" borderId="15" xfId="102" applyFont="1" applyFill="1" applyBorder="1" applyAlignment="1">
      <alignment horizontal="center" vertical="center" wrapText="1"/>
    </xf>
    <xf numFmtId="0" fontId="99" fillId="48" borderId="15" xfId="0" applyFont="1" applyFill="1" applyBorder="1" applyAlignment="1">
      <alignment horizontal="center" vertical="center" wrapText="1"/>
    </xf>
    <xf numFmtId="169" fontId="4" fillId="4" borderId="181" xfId="0" applyNumberFormat="1" applyFont="1" applyFill="1" applyBorder="1" applyAlignment="1">
      <alignment horizontal="center" vertical="center" wrapText="1"/>
    </xf>
    <xf numFmtId="169" fontId="4" fillId="4" borderId="121" xfId="101" applyNumberFormat="1" applyFont="1" applyFill="1" applyBorder="1" applyAlignment="1">
      <alignment horizontal="center" vertical="center" wrapText="1"/>
    </xf>
    <xf numFmtId="169" fontId="4" fillId="4" borderId="112" xfId="0" applyNumberFormat="1" applyFont="1" applyFill="1" applyBorder="1" applyAlignment="1">
      <alignment horizontal="center" vertical="center" wrapText="1"/>
    </xf>
    <xf numFmtId="169" fontId="4" fillId="4" borderId="113" xfId="101" applyNumberFormat="1" applyFont="1" applyFill="1" applyBorder="1" applyAlignment="1">
      <alignment horizontal="center" vertical="center" wrapText="1"/>
    </xf>
    <xf numFmtId="169" fontId="4" fillId="4" borderId="151" xfId="0" applyNumberFormat="1" applyFont="1" applyFill="1" applyBorder="1" applyAlignment="1">
      <alignment horizontal="center" vertical="center" wrapText="1"/>
    </xf>
    <xf numFmtId="0" fontId="4" fillId="4" borderId="146" xfId="0" applyFont="1" applyFill="1" applyBorder="1" applyAlignment="1">
      <alignment horizontal="center" vertical="center" wrapText="1"/>
    </xf>
    <xf numFmtId="169" fontId="4" fillId="4" borderId="147" xfId="101" applyNumberFormat="1" applyFont="1" applyFill="1" applyBorder="1" applyAlignment="1">
      <alignment horizontal="center" vertical="center" wrapText="1"/>
    </xf>
    <xf numFmtId="0" fontId="4" fillId="4" borderId="181" xfId="0" applyFont="1" applyFill="1" applyBorder="1" applyAlignment="1">
      <alignment horizontal="center" vertical="center" wrapText="1"/>
    </xf>
    <xf numFmtId="169" fontId="4" fillId="4" borderId="121" xfId="0" applyNumberFormat="1" applyFont="1" applyFill="1" applyBorder="1" applyAlignment="1">
      <alignment horizontal="center" vertical="center" wrapText="1"/>
    </xf>
    <xf numFmtId="0" fontId="4" fillId="4" borderId="112" xfId="0" applyFont="1" applyFill="1" applyBorder="1" applyAlignment="1">
      <alignment horizontal="center" vertical="center" wrapText="1"/>
    </xf>
    <xf numFmtId="0" fontId="4" fillId="4" borderId="151" xfId="0" applyFont="1" applyFill="1" applyBorder="1" applyAlignment="1">
      <alignment horizontal="center" vertical="center" wrapText="1"/>
    </xf>
    <xf numFmtId="0" fontId="13" fillId="11" borderId="45" xfId="0" applyFont="1" applyFill="1" applyBorder="1" applyAlignment="1">
      <alignment horizontal="center" vertical="center"/>
    </xf>
    <xf numFmtId="169" fontId="4" fillId="4" borderId="163" xfId="0" applyNumberFormat="1" applyFont="1" applyFill="1" applyBorder="1" applyAlignment="1">
      <alignment horizontal="center" vertical="center" wrapText="1"/>
    </xf>
    <xf numFmtId="0" fontId="58" fillId="0" borderId="0" xfId="0" applyFont="1" applyAlignment="1">
      <alignment vertical="center" wrapText="1"/>
    </xf>
    <xf numFmtId="0" fontId="23" fillId="29" borderId="25" xfId="0" applyFont="1" applyFill="1" applyBorder="1" applyAlignment="1">
      <alignment horizontal="center" vertical="center" wrapText="1"/>
    </xf>
    <xf numFmtId="20" fontId="18" fillId="6" borderId="0" xfId="0" applyNumberFormat="1" applyFont="1" applyFill="1" applyAlignment="1">
      <alignment vertical="center" wrapText="1"/>
    </xf>
    <xf numFmtId="20" fontId="24" fillId="6" borderId="0" xfId="0" applyNumberFormat="1" applyFont="1" applyFill="1" applyAlignment="1">
      <alignment vertical="center" wrapText="1"/>
    </xf>
    <xf numFmtId="20" fontId="23" fillId="29" borderId="199" xfId="0" applyNumberFormat="1" applyFont="1" applyFill="1" applyBorder="1" applyAlignment="1">
      <alignment horizontal="center" vertical="center" wrapText="1"/>
    </xf>
    <xf numFmtId="169" fontId="24" fillId="4" borderId="113" xfId="0" applyNumberFormat="1" applyFont="1" applyFill="1" applyBorder="1" applyAlignment="1">
      <alignment horizontal="right" vertical="center" wrapText="1"/>
    </xf>
    <xf numFmtId="20" fontId="55" fillId="30" borderId="201" xfId="0" applyNumberFormat="1" applyFont="1" applyFill="1" applyBorder="1" applyAlignment="1">
      <alignment horizontal="right" vertical="center" wrapText="1"/>
    </xf>
    <xf numFmtId="167" fontId="24" fillId="2" borderId="4" xfId="101" applyFont="1" applyFill="1" applyBorder="1" applyAlignment="1">
      <alignment horizontal="center" vertical="center" wrapText="1"/>
    </xf>
    <xf numFmtId="169" fontId="24" fillId="2" borderId="165" xfId="0" applyNumberFormat="1" applyFont="1" applyFill="1" applyBorder="1" applyAlignment="1">
      <alignment horizontal="right" vertical="center" wrapText="1"/>
    </xf>
    <xf numFmtId="49" fontId="4" fillId="0" borderId="75" xfId="0" applyNumberFormat="1" applyFont="1" applyBorder="1" applyAlignment="1" applyProtection="1">
      <alignment horizontal="center" vertical="center" wrapText="1"/>
      <protection locked="0"/>
    </xf>
    <xf numFmtId="20" fontId="25" fillId="2" borderId="202" xfId="0" applyNumberFormat="1" applyFont="1" applyFill="1" applyBorder="1" applyAlignment="1" applyProtection="1">
      <alignment horizontal="right" vertical="center" wrapText="1"/>
      <protection hidden="1"/>
    </xf>
    <xf numFmtId="0" fontId="24" fillId="0" borderId="0" xfId="0" applyFont="1" applyAlignment="1">
      <alignment horizontal="center" vertical="center" wrapText="1"/>
    </xf>
    <xf numFmtId="9" fontId="24" fillId="0" borderId="0" xfId="1" applyFont="1" applyAlignment="1">
      <alignment horizontal="center" vertical="center" wrapText="1"/>
    </xf>
    <xf numFmtId="0" fontId="25" fillId="53" borderId="0" xfId="0" applyFont="1" applyFill="1" applyAlignment="1" applyProtection="1">
      <alignment horizontal="center" vertical="center" wrapText="1"/>
      <protection locked="0"/>
    </xf>
    <xf numFmtId="0" fontId="25" fillId="8" borderId="1" xfId="0" applyFont="1" applyFill="1" applyBorder="1" applyAlignment="1">
      <alignment horizontal="center" vertical="center" wrapText="1"/>
    </xf>
    <xf numFmtId="0" fontId="25" fillId="7" borderId="1" xfId="0" applyFont="1" applyFill="1" applyBorder="1" applyAlignment="1" applyProtection="1">
      <alignment vertical="center" wrapText="1"/>
      <protection locked="0"/>
    </xf>
    <xf numFmtId="0" fontId="25" fillId="53" borderId="107" xfId="0" applyFont="1" applyFill="1" applyBorder="1" applyAlignment="1" applyProtection="1">
      <alignment horizontal="center" vertical="center" wrapText="1"/>
      <protection locked="0"/>
    </xf>
    <xf numFmtId="0" fontId="58" fillId="0" borderId="39" xfId="0" applyFont="1" applyBorder="1" applyAlignment="1">
      <alignment vertical="center" wrapText="1"/>
    </xf>
    <xf numFmtId="9" fontId="58" fillId="0" borderId="0" xfId="1" applyFont="1" applyBorder="1" applyAlignment="1">
      <alignment vertical="center" wrapText="1"/>
    </xf>
    <xf numFmtId="0" fontId="58" fillId="0" borderId="107" xfId="0" applyFont="1" applyBorder="1" applyAlignment="1">
      <alignment vertical="center" wrapText="1"/>
    </xf>
    <xf numFmtId="10" fontId="63" fillId="0" borderId="14" xfId="1" applyNumberFormat="1" applyFont="1" applyFill="1" applyBorder="1" applyAlignment="1" applyProtection="1">
      <alignment horizontal="center" vertical="center" wrapText="1"/>
      <protection locked="0"/>
    </xf>
    <xf numFmtId="10" fontId="63" fillId="0" borderId="1" xfId="1" applyNumberFormat="1" applyFont="1" applyFill="1" applyBorder="1" applyAlignment="1" applyProtection="1">
      <alignment horizontal="center" vertical="center" wrapText="1"/>
      <protection locked="0"/>
    </xf>
    <xf numFmtId="10" fontId="62" fillId="11" borderId="27" xfId="1" applyNumberFormat="1" applyFont="1" applyFill="1" applyBorder="1" applyAlignment="1" applyProtection="1">
      <alignment horizontal="center" vertical="center" wrapText="1"/>
      <protection locked="0"/>
    </xf>
    <xf numFmtId="10" fontId="62" fillId="31" borderId="34" xfId="0" applyNumberFormat="1" applyFont="1" applyFill="1" applyBorder="1" applyAlignment="1" applyProtection="1">
      <alignment horizontal="center" vertical="center" wrapText="1"/>
      <protection locked="0"/>
    </xf>
    <xf numFmtId="10" fontId="4" fillId="4" borderId="1" xfId="1" applyNumberFormat="1" applyFont="1" applyFill="1" applyBorder="1" applyAlignment="1">
      <alignment horizontal="center" vertical="center" wrapText="1"/>
    </xf>
    <xf numFmtId="169" fontId="4" fillId="4" borderId="14" xfId="7" applyNumberFormat="1" applyFont="1" applyFill="1" applyBorder="1" applyAlignment="1" applyProtection="1">
      <alignment horizontal="center" vertical="center" wrapText="1"/>
    </xf>
    <xf numFmtId="0" fontId="73" fillId="49" borderId="161" xfId="0" applyFont="1" applyFill="1" applyBorder="1" applyAlignment="1">
      <alignment horizontal="center" vertical="center" wrapText="1"/>
    </xf>
    <xf numFmtId="0" fontId="73" fillId="37" borderId="14" xfId="0" applyFont="1" applyFill="1" applyBorder="1" applyAlignment="1">
      <alignment horizontal="center" vertical="center" wrapText="1"/>
    </xf>
    <xf numFmtId="0" fontId="133" fillId="55" borderId="203" xfId="0" applyFont="1" applyFill="1" applyBorder="1" applyAlignment="1">
      <alignment horizontal="center" vertical="center" wrapText="1"/>
    </xf>
    <xf numFmtId="0" fontId="134" fillId="55" borderId="204" xfId="0" applyFont="1" applyFill="1" applyBorder="1" applyAlignment="1">
      <alignment horizontal="center" vertical="center" wrapText="1"/>
    </xf>
    <xf numFmtId="0" fontId="0" fillId="57" borderId="53" xfId="0" applyFill="1" applyBorder="1" applyAlignment="1">
      <alignment horizontal="center" vertical="center" wrapText="1"/>
    </xf>
    <xf numFmtId="0" fontId="0" fillId="0" borderId="53" xfId="0" applyBorder="1" applyAlignment="1">
      <alignment horizontal="left" vertical="center" wrapText="1"/>
    </xf>
    <xf numFmtId="49" fontId="0" fillId="0" borderId="53" xfId="0" applyNumberFormat="1" applyBorder="1" applyAlignment="1">
      <alignment horizontal="left" vertical="center" wrapText="1"/>
    </xf>
    <xf numFmtId="169" fontId="47" fillId="4" borderId="139" xfId="0" applyNumberFormat="1" applyFont="1" applyFill="1" applyBorder="1" applyAlignment="1">
      <alignment horizontal="right" vertical="center" wrapText="1"/>
    </xf>
    <xf numFmtId="169" fontId="47" fillId="4" borderId="175" xfId="0" applyNumberFormat="1" applyFont="1" applyFill="1" applyBorder="1" applyAlignment="1">
      <alignment horizontal="right" vertical="center" wrapText="1"/>
    </xf>
    <xf numFmtId="169" fontId="47" fillId="4" borderId="176" xfId="0" applyNumberFormat="1" applyFont="1" applyFill="1" applyBorder="1" applyAlignment="1">
      <alignment horizontal="right" vertical="center" wrapText="1"/>
    </xf>
    <xf numFmtId="1" fontId="0" fillId="6" borderId="163" xfId="101" applyNumberFormat="1" applyFont="1" applyFill="1" applyBorder="1" applyAlignment="1" applyProtection="1">
      <alignment horizontal="center" vertical="center" wrapText="1"/>
      <protection locked="0"/>
    </xf>
    <xf numFmtId="1" fontId="0" fillId="6" borderId="141" xfId="101" applyNumberFormat="1" applyFont="1" applyFill="1" applyBorder="1" applyAlignment="1" applyProtection="1">
      <alignment horizontal="center" vertical="center" wrapText="1"/>
      <protection locked="0"/>
    </xf>
    <xf numFmtId="1" fontId="0" fillId="6" borderId="148" xfId="101" applyNumberFormat="1" applyFont="1" applyFill="1" applyBorder="1" applyAlignment="1" applyProtection="1">
      <alignment horizontal="center" vertical="center" wrapText="1"/>
      <protection locked="0"/>
    </xf>
    <xf numFmtId="169" fontId="135" fillId="56" borderId="205" xfId="0" applyNumberFormat="1" applyFont="1" applyFill="1" applyBorder="1" applyAlignment="1">
      <alignment horizontal="center" vertical="center" wrapText="1"/>
    </xf>
    <xf numFmtId="169" fontId="13" fillId="11" borderId="206" xfId="0" applyNumberFormat="1" applyFont="1" applyFill="1" applyBorder="1" applyAlignment="1">
      <alignment horizontal="center" vertical="center" wrapText="1"/>
    </xf>
    <xf numFmtId="169" fontId="133" fillId="0" borderId="1" xfId="0" applyNumberFormat="1" applyFont="1" applyBorder="1" applyAlignment="1">
      <alignment horizontal="center" vertical="center" wrapText="1"/>
    </xf>
    <xf numFmtId="169" fontId="0" fillId="4" borderId="120" xfId="101" applyNumberFormat="1" applyFont="1" applyFill="1" applyBorder="1" applyAlignment="1" applyProtection="1">
      <alignment horizontal="center" vertical="center" wrapText="1"/>
    </xf>
    <xf numFmtId="169" fontId="0" fillId="4" borderId="1" xfId="101" applyNumberFormat="1" applyFont="1" applyFill="1" applyBorder="1" applyAlignment="1">
      <alignment horizontal="center" vertical="center" wrapText="1"/>
    </xf>
    <xf numFmtId="169" fontId="0" fillId="4" borderId="170" xfId="101" applyNumberFormat="1" applyFont="1" applyFill="1" applyBorder="1" applyAlignment="1" applyProtection="1">
      <alignment horizontal="center" vertical="center" wrapText="1"/>
    </xf>
    <xf numFmtId="169" fontId="83" fillId="0" borderId="1" xfId="0" applyNumberFormat="1" applyFont="1" applyBorder="1" applyAlignment="1" applyProtection="1">
      <alignment vertical="center"/>
      <protection locked="0"/>
    </xf>
    <xf numFmtId="0" fontId="136" fillId="58" borderId="48" xfId="0" applyFont="1" applyFill="1" applyBorder="1" applyAlignment="1">
      <alignment horizontal="center" vertical="center" wrapText="1"/>
    </xf>
    <xf numFmtId="0" fontId="138" fillId="58" borderId="17" xfId="0" applyFont="1" applyFill="1" applyBorder="1" applyAlignment="1">
      <alignment horizontal="center" vertical="center" wrapText="1"/>
    </xf>
    <xf numFmtId="169" fontId="83" fillId="0" borderId="16" xfId="0" applyNumberFormat="1" applyFont="1" applyBorder="1" applyAlignment="1" applyProtection="1">
      <alignment vertical="center"/>
      <protection locked="0"/>
    </xf>
    <xf numFmtId="169" fontId="83" fillId="0" borderId="26" xfId="0" applyNumberFormat="1" applyFont="1" applyBorder="1" applyAlignment="1" applyProtection="1">
      <alignment vertical="center"/>
      <protection locked="0"/>
    </xf>
    <xf numFmtId="169" fontId="14" fillId="4" borderId="95" xfId="0" applyNumberFormat="1" applyFont="1" applyFill="1" applyBorder="1" applyAlignment="1">
      <alignment horizontal="center" vertical="center" wrapText="1"/>
    </xf>
    <xf numFmtId="169" fontId="142" fillId="4" borderId="95" xfId="0" applyNumberFormat="1" applyFont="1" applyFill="1" applyBorder="1" applyAlignment="1">
      <alignment horizontal="center" vertical="center" wrapText="1"/>
    </xf>
    <xf numFmtId="0" fontId="142" fillId="4" borderId="1" xfId="0" applyFont="1" applyFill="1" applyBorder="1" applyAlignment="1">
      <alignment vertical="center" wrapText="1"/>
    </xf>
    <xf numFmtId="0" fontId="14" fillId="6" borderId="0" xfId="0" applyFont="1" applyFill="1" applyAlignment="1" applyProtection="1">
      <alignment vertical="center"/>
      <protection locked="0"/>
    </xf>
    <xf numFmtId="0" fontId="104" fillId="10" borderId="27" xfId="0" applyFont="1" applyFill="1" applyBorder="1" applyAlignment="1">
      <alignment horizontal="center" vertical="center" wrapText="1"/>
    </xf>
    <xf numFmtId="0" fontId="104" fillId="10" borderId="28" xfId="0" applyFont="1" applyFill="1" applyBorder="1" applyAlignment="1">
      <alignment horizontal="center" vertical="center" wrapText="1"/>
    </xf>
    <xf numFmtId="169" fontId="0" fillId="4" borderId="1" xfId="0" applyNumberFormat="1" applyFill="1" applyBorder="1" applyAlignment="1">
      <alignment horizontal="center" vertical="center"/>
    </xf>
    <xf numFmtId="9" fontId="0" fillId="0" borderId="11" xfId="1" applyFont="1" applyBorder="1" applyAlignment="1">
      <alignment horizontal="center" vertical="center"/>
    </xf>
    <xf numFmtId="169" fontId="0" fillId="4" borderId="11" xfId="0" applyNumberFormat="1" applyFill="1" applyBorder="1" applyAlignment="1">
      <alignment horizontal="center" vertical="center"/>
    </xf>
    <xf numFmtId="10" fontId="0" fillId="4" borderId="11" xfId="0" applyNumberFormat="1" applyFill="1" applyBorder="1" applyAlignment="1">
      <alignment horizontal="center" vertical="center"/>
    </xf>
    <xf numFmtId="169" fontId="132" fillId="60" borderId="11" xfId="0" applyNumberFormat="1" applyFont="1" applyFill="1" applyBorder="1" applyAlignment="1">
      <alignment horizontal="center" vertical="center"/>
    </xf>
    <xf numFmtId="9" fontId="2" fillId="0" borderId="209" xfId="1" applyFont="1" applyBorder="1" applyAlignment="1">
      <alignment horizontal="center" vertical="center"/>
    </xf>
    <xf numFmtId="169" fontId="2" fillId="4" borderId="209" xfId="0" applyNumberFormat="1" applyFont="1" applyFill="1" applyBorder="1" applyAlignment="1">
      <alignment horizontal="center" vertical="center"/>
    </xf>
    <xf numFmtId="10" fontId="2" fillId="4" borderId="209" xfId="0" applyNumberFormat="1" applyFont="1" applyFill="1" applyBorder="1" applyAlignment="1">
      <alignment horizontal="center" vertical="center"/>
    </xf>
    <xf numFmtId="169" fontId="147" fillId="60" borderId="209" xfId="0" applyNumberFormat="1" applyFont="1" applyFill="1" applyBorder="1" applyAlignment="1">
      <alignment horizontal="center" vertical="center"/>
    </xf>
    <xf numFmtId="0" fontId="144" fillId="62" borderId="100" xfId="0" applyFont="1" applyFill="1" applyBorder="1" applyAlignment="1">
      <alignment horizontal="center" vertical="center" wrapText="1"/>
    </xf>
    <xf numFmtId="0" fontId="150" fillId="0" borderId="0" xfId="0" applyFont="1" applyAlignment="1" applyProtection="1">
      <alignment horizontal="center" vertical="center"/>
      <protection locked="0"/>
    </xf>
    <xf numFmtId="0" fontId="152" fillId="0" borderId="0" xfId="0" applyFont="1" applyAlignment="1" applyProtection="1">
      <alignment horizontal="center" vertical="center"/>
      <protection locked="0"/>
    </xf>
    <xf numFmtId="0" fontId="81" fillId="6" borderId="0" xfId="0" applyFont="1" applyFill="1" applyAlignment="1">
      <alignment vertical="center" wrapText="1"/>
    </xf>
    <xf numFmtId="169" fontId="83" fillId="6" borderId="0" xfId="0" applyNumberFormat="1" applyFont="1" applyFill="1" applyAlignment="1" applyProtection="1">
      <alignment vertical="center"/>
      <protection locked="0"/>
    </xf>
    <xf numFmtId="0" fontId="133" fillId="9" borderId="46" xfId="0" applyFont="1" applyFill="1" applyBorder="1" applyAlignment="1">
      <alignment horizontal="center" vertical="center" wrapText="1"/>
    </xf>
    <xf numFmtId="169" fontId="23" fillId="4" borderId="113" xfId="0" applyNumberFormat="1" applyFont="1" applyFill="1" applyBorder="1" applyAlignment="1">
      <alignment horizontal="center" vertical="center" wrapText="1"/>
    </xf>
    <xf numFmtId="169" fontId="49" fillId="6" borderId="0" xfId="0" applyNumberFormat="1" applyFont="1" applyFill="1" applyAlignment="1" applyProtection="1">
      <alignment horizontal="center" vertical="center"/>
      <protection hidden="1"/>
    </xf>
    <xf numFmtId="169" fontId="49" fillId="6" borderId="0" xfId="0" applyNumberFormat="1" applyFont="1" applyFill="1" applyAlignment="1" applyProtection="1">
      <alignment vertical="center"/>
      <protection hidden="1"/>
    </xf>
    <xf numFmtId="169" fontId="55" fillId="53" borderId="0" xfId="0" applyNumberFormat="1" applyFont="1" applyFill="1" applyAlignment="1">
      <alignment vertical="center"/>
    </xf>
    <xf numFmtId="0" fontId="136" fillId="0" borderId="0" xfId="0" applyFont="1" applyAlignment="1">
      <alignment horizontal="center" vertical="center" wrapText="1"/>
    </xf>
    <xf numFmtId="0" fontId="136" fillId="63" borderId="48" xfId="0" applyFont="1" applyFill="1" applyBorder="1" applyAlignment="1">
      <alignment horizontal="center" vertical="center" wrapText="1"/>
    </xf>
    <xf numFmtId="0" fontId="138" fillId="63" borderId="17" xfId="0" applyFont="1" applyFill="1" applyBorder="1" applyAlignment="1">
      <alignment horizontal="center" vertical="center" wrapText="1"/>
    </xf>
    <xf numFmtId="169" fontId="14" fillId="0" borderId="0" xfId="0" applyNumberFormat="1" applyFont="1" applyAlignment="1">
      <alignment vertical="center"/>
    </xf>
    <xf numFmtId="0" fontId="14" fillId="0" borderId="0" xfId="0" applyFont="1" applyAlignment="1">
      <alignment vertical="center"/>
    </xf>
    <xf numFmtId="0" fontId="104" fillId="0" borderId="0" xfId="0" applyFont="1" applyAlignment="1">
      <alignment horizontal="center" vertical="center" wrapText="1"/>
    </xf>
    <xf numFmtId="0" fontId="19" fillId="0" borderId="0" xfId="0" applyFont="1" applyAlignment="1">
      <alignment vertical="center" wrapText="1"/>
    </xf>
    <xf numFmtId="0" fontId="159" fillId="0" borderId="0" xfId="6" applyFont="1" applyAlignment="1">
      <alignment vertical="center"/>
    </xf>
    <xf numFmtId="0" fontId="14" fillId="8" borderId="1" xfId="0" applyFont="1" applyFill="1" applyBorder="1" applyAlignment="1">
      <alignment vertical="center" wrapText="1"/>
    </xf>
    <xf numFmtId="169" fontId="15" fillId="4" borderId="1" xfId="6" applyNumberFormat="1" applyFont="1" applyFill="1" applyBorder="1" applyAlignment="1">
      <alignment vertical="center"/>
    </xf>
    <xf numFmtId="0" fontId="142" fillId="8" borderId="1" xfId="0" applyFont="1" applyFill="1" applyBorder="1" applyAlignment="1">
      <alignment vertical="center" wrapText="1"/>
    </xf>
    <xf numFmtId="169" fontId="14" fillId="4" borderId="1" xfId="0" applyNumberFormat="1" applyFont="1" applyFill="1" applyBorder="1" applyAlignment="1">
      <alignment vertical="center"/>
    </xf>
    <xf numFmtId="20" fontId="14" fillId="35" borderId="162" xfId="0" applyNumberFormat="1" applyFont="1" applyFill="1" applyBorder="1" applyAlignment="1">
      <alignment horizontal="center" vertical="center" wrapText="1"/>
    </xf>
    <xf numFmtId="169" fontId="14" fillId="4" borderId="1" xfId="0" applyNumberFormat="1" applyFont="1" applyFill="1" applyBorder="1" applyAlignment="1">
      <alignment vertical="center" wrapText="1"/>
    </xf>
    <xf numFmtId="20" fontId="14" fillId="10" borderId="17" xfId="0" applyNumberFormat="1" applyFont="1" applyFill="1" applyBorder="1" applyAlignment="1">
      <alignment horizontal="center" vertical="center" wrapText="1"/>
    </xf>
    <xf numFmtId="169" fontId="14" fillId="10" borderId="11" xfId="0" applyNumberFormat="1" applyFont="1" applyFill="1" applyBorder="1" applyAlignment="1">
      <alignment horizontal="center" vertical="center" wrapText="1"/>
    </xf>
    <xf numFmtId="20" fontId="14" fillId="10" borderId="54" xfId="0" applyNumberFormat="1" applyFont="1" applyFill="1" applyBorder="1" applyAlignment="1">
      <alignment horizontal="center" vertical="center" wrapText="1"/>
    </xf>
    <xf numFmtId="20" fontId="14" fillId="8" borderId="11" xfId="0" applyNumberFormat="1" applyFont="1" applyFill="1" applyBorder="1" applyAlignment="1">
      <alignment horizontal="center" vertical="center" wrapText="1"/>
    </xf>
    <xf numFmtId="20" fontId="14" fillId="8" borderId="54" xfId="0" applyNumberFormat="1" applyFont="1" applyFill="1" applyBorder="1" applyAlignment="1">
      <alignment horizontal="center" vertical="center" wrapText="1"/>
    </xf>
    <xf numFmtId="49" fontId="104" fillId="8" borderId="190" xfId="0" applyNumberFormat="1" applyFont="1" applyFill="1" applyBorder="1" applyAlignment="1" applyProtection="1">
      <alignment horizontal="center" vertical="center" wrapText="1"/>
      <protection locked="0"/>
    </xf>
    <xf numFmtId="169" fontId="15" fillId="0" borderId="16" xfId="0" applyNumberFormat="1" applyFont="1" applyBorder="1" applyAlignment="1" applyProtection="1">
      <alignment vertical="center"/>
      <protection locked="0"/>
    </xf>
    <xf numFmtId="0" fontId="15" fillId="0" borderId="1" xfId="0" applyFont="1" applyBorder="1" applyAlignment="1" applyProtection="1">
      <alignment vertical="center"/>
      <protection locked="0"/>
    </xf>
    <xf numFmtId="0" fontId="14" fillId="0" borderId="15" xfId="0" applyFont="1" applyBorder="1" applyAlignment="1" applyProtection="1">
      <alignment vertical="center"/>
      <protection locked="0"/>
    </xf>
    <xf numFmtId="169" fontId="160" fillId="0" borderId="16" xfId="0" applyNumberFormat="1" applyFont="1" applyBorder="1" applyAlignment="1" applyProtection="1">
      <alignment horizontal="center" vertical="center"/>
      <protection locked="0"/>
    </xf>
    <xf numFmtId="0" fontId="160" fillId="0" borderId="1" xfId="0" applyFont="1" applyBorder="1" applyAlignment="1" applyProtection="1">
      <alignment horizontal="center" vertical="center"/>
      <protection locked="0"/>
    </xf>
    <xf numFmtId="0" fontId="161" fillId="0" borderId="15" xfId="0" applyFont="1" applyBorder="1" applyAlignment="1" applyProtection="1">
      <alignment horizontal="center" vertical="center"/>
      <protection locked="0"/>
    </xf>
    <xf numFmtId="0" fontId="161" fillId="0" borderId="0" xfId="0" applyFont="1" applyAlignment="1" applyProtection="1">
      <alignment horizontal="center" vertical="center"/>
      <protection locked="0"/>
    </xf>
    <xf numFmtId="0" fontId="142" fillId="8" borderId="173" xfId="0" applyFont="1" applyFill="1" applyBorder="1" applyAlignment="1">
      <alignment vertical="center" wrapText="1"/>
    </xf>
    <xf numFmtId="169" fontId="14" fillId="4" borderId="68" xfId="0" applyNumberFormat="1" applyFont="1" applyFill="1" applyBorder="1" applyAlignment="1">
      <alignment vertical="center" wrapText="1"/>
    </xf>
    <xf numFmtId="169" fontId="15" fillId="4" borderId="26" xfId="0" applyNumberFormat="1" applyFont="1" applyFill="1" applyBorder="1" applyAlignment="1">
      <alignment horizontal="center" vertical="center" wrapText="1"/>
    </xf>
    <xf numFmtId="169" fontId="15" fillId="4" borderId="27" xfId="0" applyNumberFormat="1" applyFont="1" applyFill="1" applyBorder="1" applyAlignment="1">
      <alignment horizontal="center" vertical="center" wrapText="1"/>
    </xf>
    <xf numFmtId="165" fontId="14" fillId="4" borderId="50" xfId="0" applyNumberFormat="1" applyFont="1" applyFill="1" applyBorder="1" applyAlignment="1">
      <alignment horizontal="center" vertical="center"/>
    </xf>
    <xf numFmtId="169" fontId="64" fillId="4" borderId="27" xfId="0" applyNumberFormat="1" applyFont="1" applyFill="1" applyBorder="1" applyAlignment="1">
      <alignment horizontal="center" vertical="center"/>
    </xf>
    <xf numFmtId="169" fontId="15" fillId="4" borderId="27" xfId="1" applyNumberFormat="1" applyFont="1" applyFill="1" applyBorder="1" applyAlignment="1">
      <alignment horizontal="center" vertical="center"/>
    </xf>
    <xf numFmtId="169" fontId="15" fillId="4" borderId="50" xfId="1" applyNumberFormat="1" applyFont="1" applyFill="1" applyBorder="1" applyAlignment="1">
      <alignment horizontal="center" vertical="center"/>
    </xf>
    <xf numFmtId="169" fontId="15" fillId="4" borderId="78" xfId="1" applyNumberFormat="1" applyFont="1" applyFill="1" applyBorder="1" applyAlignment="1">
      <alignment horizontal="center" vertical="center"/>
    </xf>
    <xf numFmtId="0" fontId="142" fillId="8" borderId="1" xfId="0" applyFont="1" applyFill="1" applyBorder="1" applyAlignment="1">
      <alignment vertical="center"/>
    </xf>
    <xf numFmtId="169" fontId="15" fillId="0" borderId="26" xfId="0" applyNumberFormat="1" applyFont="1" applyBorder="1" applyAlignment="1" applyProtection="1">
      <alignment vertical="center"/>
      <protection locked="0"/>
    </xf>
    <xf numFmtId="0" fontId="160" fillId="0" borderId="27" xfId="0" applyFont="1" applyBorder="1" applyAlignment="1" applyProtection="1">
      <alignment horizontal="center" vertical="center"/>
      <protection locked="0"/>
    </xf>
    <xf numFmtId="0" fontId="14" fillId="0" borderId="28" xfId="0" applyFont="1" applyBorder="1" applyAlignment="1" applyProtection="1">
      <alignment vertical="center"/>
      <protection locked="0"/>
    </xf>
    <xf numFmtId="169" fontId="160" fillId="0" borderId="26" xfId="0" applyNumberFormat="1" applyFont="1" applyBorder="1" applyAlignment="1" applyProtection="1">
      <alignment horizontal="center" vertical="center"/>
      <protection locked="0"/>
    </xf>
    <xf numFmtId="0" fontId="161" fillId="0" borderId="28" xfId="0" applyFont="1" applyBorder="1" applyAlignment="1" applyProtection="1">
      <alignment horizontal="center" vertical="center"/>
      <protection locked="0"/>
    </xf>
    <xf numFmtId="166" fontId="161" fillId="41" borderId="208" xfId="0" applyNumberFormat="1" applyFont="1" applyFill="1" applyBorder="1" applyAlignment="1">
      <alignment horizontal="center" vertical="center"/>
    </xf>
    <xf numFmtId="0" fontId="160" fillId="0" borderId="0" xfId="0" applyFont="1"/>
    <xf numFmtId="169" fontId="104" fillId="6" borderId="0" xfId="0" applyNumberFormat="1" applyFont="1" applyFill="1" applyAlignment="1">
      <alignment vertical="center"/>
    </xf>
    <xf numFmtId="169" fontId="14" fillId="6" borderId="0" xfId="0" applyNumberFormat="1" applyFont="1" applyFill="1" applyAlignment="1">
      <alignment vertical="center"/>
    </xf>
    <xf numFmtId="0" fontId="15" fillId="6" borderId="0" xfId="0" applyFont="1" applyFill="1" applyAlignment="1">
      <alignment vertical="center"/>
    </xf>
    <xf numFmtId="0" fontId="136" fillId="6" borderId="0" xfId="0" applyFont="1" applyFill="1" applyAlignment="1">
      <alignment horizontal="center" vertical="center" wrapText="1"/>
    </xf>
    <xf numFmtId="169" fontId="104" fillId="6" borderId="0" xfId="0" applyNumberFormat="1" applyFont="1" applyFill="1" applyAlignment="1">
      <alignment horizontal="center" vertical="center" wrapText="1"/>
    </xf>
    <xf numFmtId="0" fontId="64" fillId="6" borderId="0" xfId="102" applyFont="1" applyFill="1" applyAlignment="1" applyProtection="1">
      <alignment horizontal="center" vertical="center" wrapText="1"/>
      <protection locked="0"/>
    </xf>
    <xf numFmtId="0" fontId="88" fillId="6" borderId="0" xfId="0" applyFont="1" applyFill="1" applyAlignment="1" applyProtection="1">
      <alignment horizontal="center" vertical="center" wrapText="1"/>
      <protection hidden="1"/>
    </xf>
    <xf numFmtId="0" fontId="88" fillId="6" borderId="0" xfId="0" applyFont="1" applyFill="1" applyAlignment="1" applyProtection="1">
      <alignment vertical="center" wrapText="1"/>
      <protection hidden="1"/>
    </xf>
    <xf numFmtId="0" fontId="14" fillId="6" borderId="28"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0" xfId="0" applyFont="1" applyFill="1" applyAlignment="1">
      <alignment horizontal="left" vertical="center" wrapText="1"/>
    </xf>
    <xf numFmtId="0" fontId="136" fillId="10" borderId="1" xfId="0" applyFont="1" applyFill="1" applyBorder="1" applyAlignment="1">
      <alignment horizontal="center" vertical="center" wrapText="1"/>
    </xf>
    <xf numFmtId="169" fontId="15" fillId="4" borderId="14" xfId="0" applyNumberFormat="1" applyFont="1" applyFill="1" applyBorder="1" applyAlignment="1">
      <alignment vertical="center"/>
    </xf>
    <xf numFmtId="9" fontId="15" fillId="4" borderId="30" xfId="1" applyFont="1" applyFill="1" applyBorder="1" applyAlignment="1">
      <alignment horizontal="center" vertical="center"/>
    </xf>
    <xf numFmtId="0" fontId="144" fillId="55" borderId="162" xfId="0" applyFont="1" applyFill="1" applyBorder="1" applyAlignment="1">
      <alignment horizontal="center" vertical="center" wrapText="1"/>
    </xf>
    <xf numFmtId="10" fontId="146" fillId="4" borderId="46" xfId="1" applyNumberFormat="1" applyFont="1" applyFill="1" applyBorder="1" applyAlignment="1">
      <alignment horizontal="center" vertical="center" wrapText="1"/>
    </xf>
    <xf numFmtId="9" fontId="0" fillId="0" borderId="46" xfId="1" applyFont="1" applyBorder="1" applyAlignment="1">
      <alignment horizontal="center" vertical="center"/>
    </xf>
    <xf numFmtId="169" fontId="0" fillId="4" borderId="46" xfId="0" applyNumberFormat="1" applyFill="1" applyBorder="1" applyAlignment="1">
      <alignment horizontal="center" vertical="center"/>
    </xf>
    <xf numFmtId="10" fontId="0" fillId="4" borderId="46" xfId="0" applyNumberFormat="1" applyFill="1" applyBorder="1" applyAlignment="1">
      <alignment horizontal="center" vertical="center"/>
    </xf>
    <xf numFmtId="169" fontId="132" fillId="60" borderId="46" xfId="0" applyNumberFormat="1" applyFont="1" applyFill="1" applyBorder="1" applyAlignment="1">
      <alignment horizontal="center" vertical="center"/>
    </xf>
    <xf numFmtId="169" fontId="132" fillId="60" borderId="49" xfId="0" applyNumberFormat="1" applyFont="1" applyFill="1" applyBorder="1" applyAlignment="1">
      <alignment horizontal="center" vertical="center"/>
    </xf>
    <xf numFmtId="10" fontId="146" fillId="4" borderId="11" xfId="1" applyNumberFormat="1" applyFont="1" applyFill="1" applyBorder="1" applyAlignment="1">
      <alignment horizontal="center" vertical="center" wrapText="1"/>
    </xf>
    <xf numFmtId="169" fontId="132" fillId="60" borderId="211" xfId="0" applyNumberFormat="1" applyFont="1" applyFill="1" applyBorder="1" applyAlignment="1">
      <alignment horizontal="center" vertical="center"/>
    </xf>
    <xf numFmtId="0" fontId="2" fillId="0" borderId="0" xfId="0" applyFont="1" applyAlignment="1">
      <alignment horizontal="center"/>
    </xf>
    <xf numFmtId="0" fontId="133" fillId="60" borderId="24" xfId="0" applyFont="1" applyFill="1" applyBorder="1" applyAlignment="1">
      <alignment horizontal="center" vertical="center" wrapText="1"/>
    </xf>
    <xf numFmtId="169" fontId="139" fillId="60" borderId="209" xfId="101" applyNumberFormat="1" applyFont="1" applyFill="1" applyBorder="1" applyAlignment="1">
      <alignment horizontal="center" vertical="center"/>
    </xf>
    <xf numFmtId="0" fontId="2" fillId="0" borderId="209" xfId="0" applyFont="1" applyBorder="1" applyAlignment="1">
      <alignment horizontal="center"/>
    </xf>
    <xf numFmtId="169" fontId="132" fillId="60" borderId="209" xfId="0" applyNumberFormat="1" applyFont="1" applyFill="1" applyBorder="1" applyAlignment="1">
      <alignment horizontal="center" vertical="center"/>
    </xf>
    <xf numFmtId="169" fontId="132" fillId="60" borderId="210" xfId="0" applyNumberFormat="1" applyFont="1" applyFill="1" applyBorder="1" applyAlignment="1">
      <alignment horizontal="center" vertical="center"/>
    </xf>
    <xf numFmtId="169" fontId="0" fillId="4" borderId="27" xfId="0" applyNumberFormat="1" applyFill="1" applyBorder="1" applyAlignment="1">
      <alignment horizontal="center" vertical="center"/>
    </xf>
    <xf numFmtId="0" fontId="104" fillId="0" borderId="0" xfId="0" applyFont="1" applyAlignment="1" applyProtection="1">
      <alignment horizontal="center" vertical="center" wrapText="1"/>
      <protection hidden="1"/>
    </xf>
    <xf numFmtId="165" fontId="59" fillId="0" borderId="0" xfId="0" applyNumberFormat="1" applyFont="1" applyAlignment="1" applyProtection="1">
      <alignment horizontal="center" vertical="center"/>
      <protection hidden="1"/>
    </xf>
    <xf numFmtId="169" fontId="15" fillId="4" borderId="11" xfId="0" applyNumberFormat="1" applyFont="1" applyFill="1" applyBorder="1" applyAlignment="1">
      <alignment vertical="center"/>
    </xf>
    <xf numFmtId="169" fontId="15" fillId="4" borderId="11" xfId="1" applyNumberFormat="1" applyFont="1" applyFill="1" applyBorder="1" applyAlignment="1">
      <alignment horizontal="right" vertical="center"/>
    </xf>
    <xf numFmtId="169" fontId="15" fillId="4" borderId="23" xfId="0" applyNumberFormat="1" applyFont="1" applyFill="1" applyBorder="1" applyAlignment="1">
      <alignment vertical="center"/>
    </xf>
    <xf numFmtId="9" fontId="15" fillId="4" borderId="114" xfId="1" applyFont="1" applyFill="1" applyBorder="1" applyAlignment="1">
      <alignment horizontal="center" vertical="center"/>
    </xf>
    <xf numFmtId="169" fontId="14" fillId="3" borderId="209" xfId="0" applyNumberFormat="1" applyFont="1" applyFill="1" applyBorder="1" applyAlignment="1">
      <alignment horizontal="right" vertical="center"/>
    </xf>
    <xf numFmtId="9" fontId="14" fillId="3" borderId="209" xfId="1" applyFont="1" applyFill="1" applyBorder="1" applyAlignment="1">
      <alignment vertical="center"/>
    </xf>
    <xf numFmtId="0" fontId="15" fillId="6" borderId="209" xfId="0" applyFont="1" applyFill="1" applyBorder="1"/>
    <xf numFmtId="169" fontId="14" fillId="3" borderId="209" xfId="1" applyNumberFormat="1" applyFont="1" applyFill="1" applyBorder="1" applyAlignment="1">
      <alignment vertical="center"/>
    </xf>
    <xf numFmtId="0" fontId="15" fillId="0" borderId="209" xfId="0" applyFont="1" applyBorder="1"/>
    <xf numFmtId="0" fontId="14" fillId="6" borderId="209" xfId="0" applyFont="1" applyFill="1" applyBorder="1" applyAlignment="1" applyProtection="1">
      <alignment vertical="center"/>
      <protection locked="0"/>
    </xf>
    <xf numFmtId="0" fontId="15" fillId="0" borderId="209" xfId="0" applyFont="1" applyBorder="1" applyAlignment="1">
      <alignment vertical="center"/>
    </xf>
    <xf numFmtId="9" fontId="14" fillId="3" borderId="210" xfId="1" applyFont="1" applyFill="1" applyBorder="1" applyAlignment="1">
      <alignment horizontal="right" vertical="center"/>
    </xf>
    <xf numFmtId="0" fontId="14" fillId="3" borderId="70" xfId="0" applyFont="1" applyFill="1" applyBorder="1" applyAlignment="1">
      <alignment horizontal="center" vertical="center" wrapText="1"/>
    </xf>
    <xf numFmtId="0" fontId="141" fillId="59" borderId="27" xfId="0" applyFont="1" applyFill="1" applyBorder="1" applyAlignment="1">
      <alignment horizontal="center" vertical="center" wrapText="1"/>
    </xf>
    <xf numFmtId="0" fontId="136" fillId="59" borderId="27" xfId="0" applyFont="1" applyFill="1" applyBorder="1" applyAlignment="1">
      <alignment horizontal="center" vertical="center" wrapText="1"/>
    </xf>
    <xf numFmtId="0" fontId="162" fillId="10" borderId="27" xfId="0" applyFont="1" applyFill="1" applyBorder="1" applyAlignment="1">
      <alignment horizontal="center" vertical="center" wrapText="1"/>
    </xf>
    <xf numFmtId="0" fontId="158" fillId="10" borderId="27" xfId="0" applyFont="1" applyFill="1" applyBorder="1" applyAlignment="1">
      <alignment horizontal="center" vertical="center" wrapText="1"/>
    </xf>
    <xf numFmtId="169" fontId="15" fillId="4" borderId="29" xfId="1" applyNumberFormat="1" applyFont="1" applyFill="1" applyBorder="1" applyAlignment="1">
      <alignment horizontal="center" vertical="center"/>
    </xf>
    <xf numFmtId="169" fontId="15" fillId="4" borderId="5" xfId="1" applyNumberFormat="1" applyFont="1" applyFill="1" applyBorder="1" applyAlignment="1">
      <alignment horizontal="center" vertical="center"/>
    </xf>
    <xf numFmtId="10" fontId="15" fillId="4" borderId="14" xfId="1" applyNumberFormat="1" applyFont="1" applyFill="1" applyBorder="1" applyAlignment="1">
      <alignment horizontal="center" vertical="center"/>
    </xf>
    <xf numFmtId="165" fontId="15" fillId="4" borderId="14" xfId="0" applyNumberFormat="1" applyFont="1" applyFill="1" applyBorder="1" applyAlignment="1">
      <alignment horizontal="center" vertical="center"/>
    </xf>
    <xf numFmtId="10" fontId="15" fillId="4" borderId="14" xfId="0" applyNumberFormat="1" applyFont="1" applyFill="1" applyBorder="1" applyAlignment="1" applyProtection="1">
      <alignment horizontal="center" vertical="center"/>
      <protection locked="0"/>
    </xf>
    <xf numFmtId="169" fontId="15" fillId="4" borderId="14" xfId="1" applyNumberFormat="1" applyFont="1" applyFill="1" applyBorder="1" applyAlignment="1">
      <alignment horizontal="center" vertical="center"/>
    </xf>
    <xf numFmtId="169" fontId="15" fillId="4" borderId="14" xfId="1" applyNumberFormat="1" applyFont="1" applyFill="1" applyBorder="1" applyAlignment="1">
      <alignment horizontal="right" vertical="center"/>
    </xf>
    <xf numFmtId="0" fontId="136" fillId="59" borderId="1" xfId="0" applyFont="1" applyFill="1" applyBorder="1" applyAlignment="1">
      <alignment horizontal="center" vertical="center" wrapText="1"/>
    </xf>
    <xf numFmtId="0" fontId="104" fillId="10" borderId="1" xfId="0" applyFont="1" applyFill="1" applyBorder="1" applyAlignment="1">
      <alignment horizontal="center" vertical="center" wrapText="1"/>
    </xf>
    <xf numFmtId="0" fontId="104" fillId="10" borderId="15" xfId="0" applyFont="1" applyFill="1" applyBorder="1" applyAlignment="1">
      <alignment horizontal="center" vertical="center" wrapText="1"/>
    </xf>
    <xf numFmtId="0" fontId="164" fillId="10" borderId="27" xfId="0" applyFont="1" applyFill="1" applyBorder="1" applyAlignment="1">
      <alignment horizontal="center" vertical="center" wrapText="1"/>
    </xf>
    <xf numFmtId="0" fontId="0" fillId="26" borderId="67" xfId="0" applyFill="1" applyBorder="1" applyAlignment="1">
      <alignment vertical="center" wrapText="1"/>
    </xf>
    <xf numFmtId="0" fontId="0" fillId="26" borderId="32" xfId="0" applyFill="1" applyBorder="1" applyAlignment="1">
      <alignment vertical="center" wrapText="1"/>
    </xf>
    <xf numFmtId="0" fontId="144" fillId="55" borderId="17" xfId="0" applyFont="1" applyFill="1" applyBorder="1" applyAlignment="1">
      <alignment horizontal="center" vertical="center" wrapText="1"/>
    </xf>
    <xf numFmtId="0" fontId="144" fillId="55" borderId="11" xfId="0" applyFont="1" applyFill="1" applyBorder="1" applyAlignment="1">
      <alignment horizontal="center" vertical="center" wrapText="1"/>
    </xf>
    <xf numFmtId="0" fontId="144" fillId="61" borderId="11" xfId="0" applyFont="1" applyFill="1" applyBorder="1" applyAlignment="1">
      <alignment horizontal="center" vertical="center" wrapText="1"/>
    </xf>
    <xf numFmtId="0" fontId="104" fillId="61" borderId="11" xfId="0" applyFont="1" applyFill="1" applyBorder="1" applyAlignment="1">
      <alignment horizontal="center" vertical="center" wrapText="1"/>
    </xf>
    <xf numFmtId="0" fontId="144" fillId="55" borderId="211" xfId="0" applyFont="1" applyFill="1" applyBorder="1" applyAlignment="1">
      <alignment horizontal="center" vertical="center" wrapText="1"/>
    </xf>
    <xf numFmtId="169" fontId="146" fillId="4" borderId="46" xfId="101" applyNumberFormat="1" applyFont="1" applyFill="1" applyBorder="1" applyAlignment="1" applyProtection="1">
      <alignment horizontal="right" vertical="center" wrapText="1"/>
    </xf>
    <xf numFmtId="169" fontId="146" fillId="4" borderId="11" xfId="101" applyNumberFormat="1" applyFont="1" applyFill="1" applyBorder="1" applyAlignment="1" applyProtection="1">
      <alignment horizontal="right" vertical="center" wrapText="1"/>
    </xf>
    <xf numFmtId="10" fontId="146" fillId="4" borderId="209" xfId="1" applyNumberFormat="1" applyFont="1" applyFill="1" applyBorder="1" applyAlignment="1">
      <alignment horizontal="center" vertical="center" wrapText="1"/>
    </xf>
    <xf numFmtId="169" fontId="14" fillId="3" borderId="24" xfId="0" applyNumberFormat="1" applyFont="1" applyFill="1" applyBorder="1" applyAlignment="1">
      <alignment horizontal="center"/>
    </xf>
    <xf numFmtId="169" fontId="14" fillId="3" borderId="209" xfId="0" applyNumberFormat="1" applyFont="1" applyFill="1" applyBorder="1" applyAlignment="1">
      <alignment horizontal="center"/>
    </xf>
    <xf numFmtId="10" fontId="14" fillId="3" borderId="209" xfId="0" applyNumberFormat="1" applyFont="1" applyFill="1" applyBorder="1" applyAlignment="1">
      <alignment horizontal="center"/>
    </xf>
    <xf numFmtId="169" fontId="14" fillId="3" borderId="210" xfId="0" applyNumberFormat="1" applyFont="1" applyFill="1" applyBorder="1" applyAlignment="1">
      <alignment horizontal="center"/>
    </xf>
    <xf numFmtId="165" fontId="166" fillId="0" borderId="0" xfId="0" applyNumberFormat="1" applyFont="1" applyAlignment="1" applyProtection="1">
      <alignment horizontal="center" vertical="center" wrapText="1"/>
      <protection hidden="1"/>
    </xf>
    <xf numFmtId="0" fontId="4" fillId="0" borderId="0" xfId="0" applyFont="1" applyAlignment="1" applyProtection="1">
      <alignment horizontal="center" vertical="center" wrapText="1"/>
      <protection hidden="1"/>
    </xf>
    <xf numFmtId="0" fontId="144" fillId="0" borderId="0" xfId="0" applyFont="1" applyAlignment="1">
      <alignment horizontal="center" vertical="center" wrapText="1"/>
    </xf>
    <xf numFmtId="0" fontId="15" fillId="0" borderId="0" xfId="0" applyFont="1" applyAlignment="1">
      <alignment horizontal="center" vertical="center"/>
    </xf>
    <xf numFmtId="169" fontId="4" fillId="4" borderId="1" xfId="0" applyNumberFormat="1" applyFont="1" applyFill="1" applyBorder="1" applyAlignment="1" applyProtection="1">
      <alignment horizontal="center" vertical="center" wrapText="1"/>
      <protection hidden="1"/>
    </xf>
    <xf numFmtId="169" fontId="166" fillId="4" borderId="1" xfId="0" applyNumberFormat="1" applyFont="1" applyFill="1" applyBorder="1" applyAlignment="1" applyProtection="1">
      <alignment horizontal="center" vertical="center"/>
      <protection hidden="1"/>
    </xf>
    <xf numFmtId="0" fontId="2" fillId="61" borderId="48" xfId="0" applyFont="1" applyFill="1" applyBorder="1" applyAlignment="1">
      <alignment horizontal="center" vertical="center"/>
    </xf>
    <xf numFmtId="169" fontId="166" fillId="4" borderId="15" xfId="0" applyNumberFormat="1" applyFont="1" applyFill="1" applyBorder="1" applyAlignment="1" applyProtection="1">
      <alignment horizontal="center" vertical="center"/>
      <protection hidden="1"/>
    </xf>
    <xf numFmtId="169" fontId="4" fillId="4" borderId="27" xfId="0" applyNumberFormat="1" applyFont="1" applyFill="1" applyBorder="1" applyAlignment="1" applyProtection="1">
      <alignment horizontal="center" vertical="center" wrapText="1"/>
      <protection hidden="1"/>
    </xf>
    <xf numFmtId="169" fontId="166" fillId="4" borderId="27" xfId="0" applyNumberFormat="1" applyFont="1" applyFill="1" applyBorder="1" applyAlignment="1" applyProtection="1">
      <alignment horizontal="center" vertical="center"/>
      <protection hidden="1"/>
    </xf>
    <xf numFmtId="169" fontId="166" fillId="4" borderId="28" xfId="0" applyNumberFormat="1" applyFont="1" applyFill="1" applyBorder="1" applyAlignment="1" applyProtection="1">
      <alignment horizontal="center" vertical="center"/>
      <protection hidden="1"/>
    </xf>
    <xf numFmtId="0" fontId="144" fillId="61" borderId="67" xfId="0" applyFont="1" applyFill="1" applyBorder="1" applyAlignment="1">
      <alignment horizontal="center" vertical="center" wrapText="1"/>
    </xf>
    <xf numFmtId="0" fontId="2" fillId="61" borderId="67" xfId="0" applyFont="1" applyFill="1" applyBorder="1" applyAlignment="1">
      <alignment horizontal="center" vertical="center"/>
    </xf>
    <xf numFmtId="0" fontId="2" fillId="61" borderId="32" xfId="0" applyFont="1" applyFill="1" applyBorder="1" applyAlignment="1">
      <alignment horizontal="center" vertical="center"/>
    </xf>
    <xf numFmtId="0" fontId="2" fillId="61" borderId="47" xfId="0" applyFont="1" applyFill="1" applyBorder="1" applyAlignment="1">
      <alignment horizontal="center" vertical="center"/>
    </xf>
    <xf numFmtId="0" fontId="47" fillId="61" borderId="47" xfId="0" applyFont="1" applyFill="1" applyBorder="1" applyAlignment="1" applyProtection="1">
      <alignment horizontal="center" vertical="center" wrapText="1"/>
      <protection hidden="1"/>
    </xf>
    <xf numFmtId="165" fontId="98" fillId="61" borderId="47" xfId="0" applyNumberFormat="1" applyFont="1" applyFill="1" applyBorder="1" applyAlignment="1" applyProtection="1">
      <alignment horizontal="center" vertical="center" wrapText="1"/>
      <protection hidden="1"/>
    </xf>
    <xf numFmtId="165" fontId="98" fillId="61" borderId="79" xfId="0" applyNumberFormat="1" applyFont="1" applyFill="1" applyBorder="1" applyAlignment="1" applyProtection="1">
      <alignment horizontal="center" vertical="center"/>
      <protection hidden="1"/>
    </xf>
    <xf numFmtId="169" fontId="0" fillId="4" borderId="16" xfId="0" applyNumberFormat="1" applyFill="1" applyBorder="1" applyAlignment="1">
      <alignment horizontal="center" vertical="center"/>
    </xf>
    <xf numFmtId="169" fontId="0" fillId="4" borderId="26" xfId="0" applyNumberFormat="1" applyFill="1" applyBorder="1" applyAlignment="1">
      <alignment horizontal="center" vertical="center"/>
    </xf>
    <xf numFmtId="169" fontId="2" fillId="4" borderId="48" xfId="0" applyNumberFormat="1" applyFont="1" applyFill="1" applyBorder="1" applyAlignment="1">
      <alignment horizontal="center" vertical="center"/>
    </xf>
    <xf numFmtId="169" fontId="2" fillId="4" borderId="46" xfId="0" applyNumberFormat="1" applyFont="1" applyFill="1" applyBorder="1" applyAlignment="1">
      <alignment horizontal="center" vertical="center"/>
    </xf>
    <xf numFmtId="169" fontId="2" fillId="4" borderId="49" xfId="0" applyNumberFormat="1" applyFont="1" applyFill="1" applyBorder="1" applyAlignment="1">
      <alignment horizontal="center" vertical="center"/>
    </xf>
    <xf numFmtId="0" fontId="136" fillId="64" borderId="48" xfId="0" applyFont="1" applyFill="1" applyBorder="1" applyAlignment="1">
      <alignment horizontal="center" vertical="center" wrapText="1"/>
    </xf>
    <xf numFmtId="0" fontId="138" fillId="64" borderId="17" xfId="0" applyFont="1" applyFill="1" applyBorder="1" applyAlignment="1">
      <alignment horizontal="center" vertical="center" wrapText="1"/>
    </xf>
    <xf numFmtId="169" fontId="83" fillId="0" borderId="15" xfId="0" applyNumberFormat="1" applyFont="1" applyBorder="1" applyAlignment="1" applyProtection="1">
      <alignment vertical="center"/>
      <protection locked="0"/>
    </xf>
    <xf numFmtId="169" fontId="83" fillId="0" borderId="27" xfId="0" applyNumberFormat="1" applyFont="1" applyBorder="1" applyAlignment="1" applyProtection="1">
      <alignment vertical="center"/>
      <protection locked="0"/>
    </xf>
    <xf numFmtId="169" fontId="83" fillId="0" borderId="28" xfId="0" applyNumberFormat="1" applyFont="1" applyBorder="1" applyAlignment="1" applyProtection="1">
      <alignment vertical="center"/>
      <protection locked="0"/>
    </xf>
    <xf numFmtId="166" fontId="151" fillId="41" borderId="207" xfId="0" applyNumberFormat="1" applyFont="1" applyFill="1" applyBorder="1" applyAlignment="1">
      <alignment horizontal="center" vertical="center"/>
    </xf>
    <xf numFmtId="0" fontId="144" fillId="62" borderId="212" xfId="0" applyFont="1" applyFill="1" applyBorder="1" applyAlignment="1">
      <alignment horizontal="center" vertical="center" wrapText="1"/>
    </xf>
    <xf numFmtId="0" fontId="144" fillId="62" borderId="213" xfId="0" applyFont="1" applyFill="1" applyBorder="1" applyAlignment="1">
      <alignment horizontal="center" vertical="center" wrapText="1"/>
    </xf>
    <xf numFmtId="0" fontId="144" fillId="62" borderId="214" xfId="0" applyFont="1" applyFill="1" applyBorder="1" applyAlignment="1">
      <alignment horizontal="center" vertical="center" wrapText="1"/>
    </xf>
    <xf numFmtId="0" fontId="149" fillId="62" borderId="215" xfId="0" applyFont="1" applyFill="1" applyBorder="1" applyAlignment="1">
      <alignment horizontal="center" vertical="center" wrapText="1"/>
    </xf>
    <xf numFmtId="0" fontId="144" fillId="62" borderId="200" xfId="0" applyFont="1" applyFill="1" applyBorder="1" applyAlignment="1">
      <alignment horizontal="center" vertical="center" wrapText="1"/>
    </xf>
    <xf numFmtId="167" fontId="15" fillId="4" borderId="23" xfId="101" applyFont="1" applyFill="1" applyBorder="1" applyAlignment="1">
      <alignment horizontal="center" vertical="center"/>
    </xf>
    <xf numFmtId="10" fontId="14" fillId="3" borderId="209" xfId="1" applyNumberFormat="1" applyFont="1" applyFill="1" applyBorder="1" applyAlignment="1">
      <alignment vertical="center"/>
    </xf>
    <xf numFmtId="0" fontId="144" fillId="65" borderId="17" xfId="0" applyFont="1" applyFill="1" applyBorder="1" applyAlignment="1">
      <alignment horizontal="center" vertical="center" wrapText="1"/>
    </xf>
    <xf numFmtId="0" fontId="144" fillId="65" borderId="11" xfId="0" applyFont="1" applyFill="1" applyBorder="1" applyAlignment="1">
      <alignment horizontal="center" vertical="center" wrapText="1"/>
    </xf>
    <xf numFmtId="0" fontId="144" fillId="48" borderId="11" xfId="0" applyFont="1" applyFill="1" applyBorder="1" applyAlignment="1">
      <alignment horizontal="center" vertical="center" wrapText="1"/>
    </xf>
    <xf numFmtId="0" fontId="104" fillId="48" borderId="11" xfId="0" applyFont="1" applyFill="1" applyBorder="1" applyAlignment="1">
      <alignment horizontal="center" vertical="center" wrapText="1"/>
    </xf>
    <xf numFmtId="0" fontId="144" fillId="65" borderId="211" xfId="0" applyFont="1" applyFill="1" applyBorder="1" applyAlignment="1">
      <alignment horizontal="center" vertical="center" wrapText="1"/>
    </xf>
    <xf numFmtId="0" fontId="144" fillId="65" borderId="162" xfId="0" applyFont="1" applyFill="1" applyBorder="1" applyAlignment="1">
      <alignment horizontal="center" vertical="center" wrapText="1"/>
    </xf>
    <xf numFmtId="169" fontId="132" fillId="60" borderId="14" xfId="0" applyNumberFormat="1" applyFont="1" applyFill="1" applyBorder="1" applyAlignment="1">
      <alignment horizontal="center" vertical="center"/>
    </xf>
    <xf numFmtId="169" fontId="132" fillId="60" borderId="30" xfId="0" applyNumberFormat="1" applyFont="1" applyFill="1" applyBorder="1" applyAlignment="1">
      <alignment horizontal="center" vertical="center"/>
    </xf>
    <xf numFmtId="169" fontId="132" fillId="60" borderId="1" xfId="0" applyNumberFormat="1" applyFont="1" applyFill="1" applyBorder="1" applyAlignment="1">
      <alignment horizontal="center" vertical="center"/>
    </xf>
    <xf numFmtId="169" fontId="146" fillId="4" borderId="48" xfId="101" applyNumberFormat="1" applyFont="1" applyFill="1" applyBorder="1" applyAlignment="1" applyProtection="1">
      <alignment horizontal="right" vertical="center" wrapText="1"/>
    </xf>
    <xf numFmtId="169" fontId="132" fillId="60" borderId="27" xfId="0" applyNumberFormat="1" applyFont="1" applyFill="1" applyBorder="1" applyAlignment="1">
      <alignment horizontal="center" vertical="center"/>
    </xf>
    <xf numFmtId="169" fontId="132" fillId="60" borderId="28" xfId="0" applyNumberFormat="1" applyFont="1" applyFill="1" applyBorder="1" applyAlignment="1">
      <alignment horizontal="center" vertical="center"/>
    </xf>
    <xf numFmtId="169" fontId="146" fillId="4" borderId="17" xfId="101" applyNumberFormat="1" applyFont="1" applyFill="1" applyBorder="1" applyAlignment="1" applyProtection="1">
      <alignment horizontal="right" vertical="center" wrapText="1"/>
    </xf>
    <xf numFmtId="10" fontId="133" fillId="4" borderId="209" xfId="1" applyNumberFormat="1" applyFont="1" applyFill="1" applyBorder="1" applyAlignment="1">
      <alignment horizontal="center" vertical="center" wrapText="1"/>
    </xf>
    <xf numFmtId="169" fontId="147" fillId="60" borderId="210" xfId="0" applyNumberFormat="1" applyFont="1" applyFill="1" applyBorder="1" applyAlignment="1">
      <alignment horizontal="center" vertical="center"/>
    </xf>
    <xf numFmtId="0" fontId="0" fillId="26" borderId="67" xfId="0" applyFill="1" applyBorder="1" applyAlignment="1">
      <alignment horizontal="center" vertical="center" wrapText="1"/>
    </xf>
    <xf numFmtId="0" fontId="0" fillId="26" borderId="32" xfId="0" applyFill="1" applyBorder="1" applyAlignment="1">
      <alignment horizontal="center" vertical="center" wrapText="1"/>
    </xf>
    <xf numFmtId="169" fontId="146" fillId="4" borderId="48" xfId="101" applyNumberFormat="1" applyFont="1" applyFill="1" applyBorder="1" applyAlignment="1" applyProtection="1">
      <alignment horizontal="center" vertical="center" wrapText="1"/>
    </xf>
    <xf numFmtId="169" fontId="146" fillId="4" borderId="17" xfId="101" applyNumberFormat="1" applyFont="1" applyFill="1" applyBorder="1" applyAlignment="1" applyProtection="1">
      <alignment horizontal="center" vertical="center" wrapText="1"/>
    </xf>
    <xf numFmtId="0" fontId="15" fillId="0" borderId="0" xfId="0" applyFont="1" applyAlignment="1">
      <alignment horizontal="center"/>
    </xf>
    <xf numFmtId="169" fontId="15" fillId="0" borderId="0" xfId="0" applyNumberFormat="1" applyFont="1" applyAlignment="1">
      <alignment horizontal="center"/>
    </xf>
    <xf numFmtId="0" fontId="14" fillId="26" borderId="36" xfId="0" applyFont="1" applyFill="1" applyBorder="1" applyAlignment="1">
      <alignment horizontal="center" vertical="center" wrapText="1"/>
    </xf>
    <xf numFmtId="0" fontId="14" fillId="26" borderId="32" xfId="0" applyFont="1" applyFill="1" applyBorder="1" applyAlignment="1">
      <alignment horizontal="center" vertical="center" wrapText="1"/>
    </xf>
    <xf numFmtId="0" fontId="136" fillId="10" borderId="3" xfId="0" applyFont="1" applyFill="1" applyBorder="1" applyAlignment="1">
      <alignment horizontal="center" vertical="center" wrapText="1"/>
    </xf>
    <xf numFmtId="0" fontId="138" fillId="10" borderId="45" xfId="0" applyFont="1" applyFill="1" applyBorder="1" applyAlignment="1">
      <alignment horizontal="center" vertical="center" wrapText="1"/>
    </xf>
    <xf numFmtId="169" fontId="15" fillId="4" borderId="25" xfId="0" applyNumberFormat="1" applyFont="1" applyFill="1" applyBorder="1" applyAlignment="1">
      <alignment horizontal="center" vertical="center"/>
    </xf>
    <xf numFmtId="169" fontId="15" fillId="4" borderId="34" xfId="0" applyNumberFormat="1" applyFont="1" applyFill="1" applyBorder="1" applyAlignment="1">
      <alignment horizontal="center" vertical="center"/>
    </xf>
    <xf numFmtId="0" fontId="136" fillId="10" borderId="15" xfId="0" applyFont="1" applyFill="1" applyBorder="1" applyAlignment="1">
      <alignment horizontal="center" vertical="center" wrapText="1"/>
    </xf>
    <xf numFmtId="0" fontId="136" fillId="10" borderId="28" xfId="0" applyFont="1" applyFill="1" applyBorder="1" applyAlignment="1">
      <alignment horizontal="center" vertical="center" wrapText="1"/>
    </xf>
    <xf numFmtId="169" fontId="15" fillId="4" borderId="26" xfId="1" applyNumberFormat="1" applyFont="1" applyFill="1" applyBorder="1" applyAlignment="1">
      <alignment horizontal="center" vertical="center"/>
    </xf>
    <xf numFmtId="10" fontId="15" fillId="4" borderId="27" xfId="1" applyNumberFormat="1" applyFont="1" applyFill="1" applyBorder="1" applyAlignment="1">
      <alignment horizontal="center" vertical="center"/>
    </xf>
    <xf numFmtId="165" fontId="15" fillId="4" borderId="27" xfId="0" applyNumberFormat="1" applyFont="1" applyFill="1" applyBorder="1" applyAlignment="1">
      <alignment horizontal="center" vertical="center"/>
    </xf>
    <xf numFmtId="10" fontId="15" fillId="4" borderId="27" xfId="0" applyNumberFormat="1" applyFont="1" applyFill="1" applyBorder="1" applyAlignment="1" applyProtection="1">
      <alignment horizontal="center" vertical="center"/>
      <protection locked="0"/>
    </xf>
    <xf numFmtId="169" fontId="49" fillId="4" borderId="26" xfId="101" applyNumberFormat="1" applyFont="1" applyFill="1" applyBorder="1" applyAlignment="1" applyProtection="1">
      <alignment vertical="center"/>
      <protection hidden="1"/>
    </xf>
    <xf numFmtId="169" fontId="49" fillId="4" borderId="27" xfId="0" applyNumberFormat="1" applyFont="1" applyFill="1" applyBorder="1" applyAlignment="1" applyProtection="1">
      <alignment vertical="center"/>
      <protection hidden="1"/>
    </xf>
    <xf numFmtId="10" fontId="49" fillId="4" borderId="27" xfId="0" applyNumberFormat="1" applyFont="1" applyFill="1" applyBorder="1" applyAlignment="1" applyProtection="1">
      <alignment horizontal="center" vertical="center"/>
      <protection hidden="1"/>
    </xf>
    <xf numFmtId="0" fontId="49" fillId="6" borderId="28" xfId="0" applyFont="1" applyFill="1" applyBorder="1" applyAlignment="1" applyProtection="1">
      <alignment vertical="center"/>
      <protection hidden="1"/>
    </xf>
    <xf numFmtId="20" fontId="112" fillId="0" borderId="0" xfId="0" applyNumberFormat="1" applyFont="1" applyAlignment="1">
      <alignment vertical="center" wrapText="1"/>
    </xf>
    <xf numFmtId="169" fontId="15" fillId="4" borderId="70" xfId="0" applyNumberFormat="1" applyFont="1" applyFill="1" applyBorder="1" applyAlignment="1">
      <alignment horizontal="center" vertical="center"/>
    </xf>
    <xf numFmtId="169" fontId="49" fillId="4" borderId="27" xfId="1" applyNumberFormat="1" applyFont="1" applyFill="1" applyBorder="1" applyAlignment="1" applyProtection="1">
      <alignment horizontal="right" vertical="center"/>
      <protection hidden="1"/>
    </xf>
    <xf numFmtId="169" fontId="49" fillId="4" borderId="28" xfId="101" applyNumberFormat="1" applyFont="1" applyFill="1" applyBorder="1" applyAlignment="1" applyProtection="1">
      <alignment vertical="center"/>
      <protection hidden="1"/>
    </xf>
    <xf numFmtId="0" fontId="10" fillId="26" borderId="16" xfId="0" applyFont="1" applyFill="1" applyBorder="1" applyAlignment="1">
      <alignment horizontal="center" vertical="center" wrapText="1"/>
    </xf>
    <xf numFmtId="0" fontId="10" fillId="26" borderId="26" xfId="0" applyFont="1" applyFill="1" applyBorder="1" applyAlignment="1">
      <alignment horizontal="center" vertical="center" wrapText="1"/>
    </xf>
    <xf numFmtId="169" fontId="60" fillId="4" borderId="27" xfId="1" applyNumberFormat="1" applyFont="1" applyFill="1" applyBorder="1" applyAlignment="1" applyProtection="1">
      <alignment horizontal="center" vertical="center"/>
    </xf>
    <xf numFmtId="10" fontId="60" fillId="4" borderId="27" xfId="1" applyNumberFormat="1" applyFont="1" applyFill="1" applyBorder="1" applyAlignment="1" applyProtection="1">
      <alignment horizontal="center" vertical="center"/>
      <protection hidden="1"/>
    </xf>
    <xf numFmtId="169" fontId="49" fillId="4" borderId="27" xfId="1" applyNumberFormat="1" applyFont="1" applyFill="1" applyBorder="1" applyAlignment="1" applyProtection="1">
      <alignment horizontal="center" vertical="center"/>
      <protection hidden="1"/>
    </xf>
    <xf numFmtId="10" fontId="49" fillId="4" borderId="27" xfId="1" applyNumberFormat="1" applyFont="1" applyFill="1" applyBorder="1" applyAlignment="1" applyProtection="1">
      <alignment horizontal="center" vertical="center"/>
      <protection hidden="1"/>
    </xf>
    <xf numFmtId="10" fontId="163" fillId="0" borderId="0" xfId="0" applyNumberFormat="1" applyFont="1" applyAlignment="1">
      <alignment horizontal="center" vertical="center"/>
    </xf>
    <xf numFmtId="166" fontId="163" fillId="0" borderId="0" xfId="0" applyNumberFormat="1" applyFont="1" applyAlignment="1">
      <alignment horizontal="center" vertical="center"/>
    </xf>
    <xf numFmtId="169" fontId="14" fillId="3" borderId="51" xfId="0" applyNumberFormat="1" applyFont="1" applyFill="1" applyBorder="1" applyAlignment="1">
      <alignment horizontal="center" vertical="center"/>
    </xf>
    <xf numFmtId="10" fontId="163" fillId="41" borderId="68" xfId="0" applyNumberFormat="1" applyFont="1" applyFill="1" applyBorder="1" applyAlignment="1">
      <alignment horizontal="center" vertical="center"/>
    </xf>
    <xf numFmtId="169" fontId="163" fillId="41" borderId="70" xfId="0" applyNumberFormat="1" applyFont="1" applyFill="1" applyBorder="1" applyAlignment="1">
      <alignment horizontal="center" vertical="center"/>
    </xf>
    <xf numFmtId="10" fontId="163" fillId="41" borderId="51" xfId="0" applyNumberFormat="1" applyFont="1" applyFill="1" applyBorder="1" applyAlignment="1">
      <alignment horizontal="center" vertical="center"/>
    </xf>
    <xf numFmtId="166" fontId="163" fillId="41" borderId="51" xfId="0" applyNumberFormat="1" applyFont="1" applyFill="1" applyBorder="1" applyAlignment="1">
      <alignment horizontal="center" vertical="center"/>
    </xf>
    <xf numFmtId="169" fontId="14" fillId="3" borderId="208" xfId="1" applyNumberFormat="1" applyFont="1" applyFill="1" applyBorder="1" applyAlignment="1">
      <alignment horizontal="center" vertical="center"/>
    </xf>
    <xf numFmtId="166" fontId="163" fillId="41" borderId="70" xfId="0" applyNumberFormat="1" applyFont="1" applyFill="1" applyBorder="1" applyAlignment="1">
      <alignment horizontal="center" vertical="center"/>
    </xf>
    <xf numFmtId="10" fontId="14" fillId="3" borderId="68" xfId="1" applyNumberFormat="1" applyFont="1" applyFill="1" applyBorder="1" applyAlignment="1" applyProtection="1">
      <alignment horizontal="center" vertical="center"/>
      <protection hidden="1"/>
    </xf>
    <xf numFmtId="0" fontId="24" fillId="9" borderId="46" xfId="0" applyFont="1" applyFill="1" applyBorder="1" applyAlignment="1" applyProtection="1">
      <alignment horizontal="center" vertical="center" wrapText="1"/>
      <protection hidden="1"/>
    </xf>
    <xf numFmtId="0" fontId="47" fillId="9" borderId="46" xfId="0" applyFont="1" applyFill="1" applyBorder="1" applyAlignment="1">
      <alignment horizontal="center" vertical="center" wrapText="1"/>
    </xf>
    <xf numFmtId="0" fontId="24" fillId="9" borderId="49" xfId="0" applyFont="1" applyFill="1" applyBorder="1" applyAlignment="1" applyProtection="1">
      <alignment horizontal="center" vertical="center" wrapText="1"/>
      <protection hidden="1"/>
    </xf>
    <xf numFmtId="0" fontId="24" fillId="9" borderId="48" xfId="0" applyFont="1" applyFill="1" applyBorder="1" applyAlignment="1" applyProtection="1">
      <alignment horizontal="center" vertical="center" wrapText="1"/>
      <protection hidden="1"/>
    </xf>
    <xf numFmtId="0" fontId="24" fillId="9" borderId="47" xfId="0" applyFont="1" applyFill="1" applyBorder="1" applyAlignment="1" applyProtection="1">
      <alignment horizontal="center" vertical="center" wrapText="1"/>
      <protection hidden="1"/>
    </xf>
    <xf numFmtId="0" fontId="24" fillId="9" borderId="66" xfId="0" applyFont="1" applyFill="1" applyBorder="1" applyAlignment="1" applyProtection="1">
      <alignment horizontal="center" vertical="center" wrapText="1"/>
      <protection hidden="1"/>
    </xf>
    <xf numFmtId="169" fontId="60" fillId="4" borderId="48" xfId="1" applyNumberFormat="1" applyFont="1" applyFill="1" applyBorder="1" applyAlignment="1">
      <alignment horizontal="center" vertical="center"/>
    </xf>
    <xf numFmtId="169" fontId="60" fillId="4" borderId="46" xfId="1" applyNumberFormat="1" applyFont="1" applyFill="1" applyBorder="1" applyAlignment="1" applyProtection="1">
      <alignment horizontal="center" vertical="center"/>
    </xf>
    <xf numFmtId="10" fontId="60" fillId="4" borderId="46" xfId="1" applyNumberFormat="1" applyFont="1" applyFill="1" applyBorder="1" applyAlignment="1" applyProtection="1">
      <alignment horizontal="center" vertical="center"/>
      <protection hidden="1"/>
    </xf>
    <xf numFmtId="169" fontId="49" fillId="4" borderId="46" xfId="1" applyNumberFormat="1" applyFont="1" applyFill="1" applyBorder="1" applyAlignment="1" applyProtection="1">
      <alignment horizontal="center" vertical="center"/>
      <protection hidden="1"/>
    </xf>
    <xf numFmtId="10" fontId="49" fillId="4" borderId="46" xfId="1" applyNumberFormat="1" applyFont="1" applyFill="1" applyBorder="1" applyAlignment="1" applyProtection="1">
      <alignment horizontal="center" vertical="center"/>
      <protection hidden="1"/>
    </xf>
    <xf numFmtId="169" fontId="15" fillId="4" borderId="48" xfId="0" applyNumberFormat="1" applyFont="1" applyFill="1" applyBorder="1" applyAlignment="1">
      <alignment horizontal="center" vertical="center"/>
    </xf>
    <xf numFmtId="169" fontId="49" fillId="4" borderId="46" xfId="0" applyNumberFormat="1" applyFont="1" applyFill="1" applyBorder="1" applyAlignment="1" applyProtection="1">
      <alignment vertical="center"/>
      <protection hidden="1"/>
    </xf>
    <xf numFmtId="169" fontId="49" fillId="4" borderId="46" xfId="1" applyNumberFormat="1" applyFont="1" applyFill="1" applyBorder="1" applyAlignment="1" applyProtection="1">
      <alignment horizontal="right" vertical="center"/>
      <protection hidden="1"/>
    </xf>
    <xf numFmtId="169" fontId="49" fillId="4" borderId="49" xfId="101" applyNumberFormat="1" applyFont="1" applyFill="1" applyBorder="1" applyAlignment="1" applyProtection="1">
      <alignment vertical="center"/>
      <protection hidden="1"/>
    </xf>
    <xf numFmtId="169" fontId="49" fillId="4" borderId="48" xfId="101" applyNumberFormat="1" applyFont="1" applyFill="1" applyBorder="1" applyAlignment="1" applyProtection="1">
      <alignment vertical="center"/>
      <protection hidden="1"/>
    </xf>
    <xf numFmtId="10" fontId="49" fillId="4" borderId="46" xfId="0" applyNumberFormat="1" applyFont="1" applyFill="1" applyBorder="1" applyAlignment="1" applyProtection="1">
      <alignment horizontal="center" vertical="center"/>
      <protection hidden="1"/>
    </xf>
    <xf numFmtId="0" fontId="49" fillId="6" borderId="49" xfId="0" applyFont="1" applyFill="1" applyBorder="1" applyAlignment="1" applyProtection="1">
      <alignment vertical="center"/>
      <protection hidden="1"/>
    </xf>
    <xf numFmtId="169" fontId="60" fillId="4" borderId="26" xfId="1" applyNumberFormat="1" applyFont="1" applyFill="1" applyBorder="1" applyAlignment="1">
      <alignment horizontal="center" vertical="center"/>
    </xf>
    <xf numFmtId="0" fontId="118" fillId="9" borderId="27" xfId="0" applyFont="1" applyFill="1" applyBorder="1" applyAlignment="1">
      <alignment horizontal="center" vertical="center" wrapText="1"/>
    </xf>
    <xf numFmtId="0" fontId="135" fillId="9" borderId="27" xfId="0" applyFont="1" applyFill="1" applyBorder="1" applyAlignment="1">
      <alignment horizontal="center" vertical="center" wrapText="1"/>
    </xf>
    <xf numFmtId="0" fontId="24" fillId="9" borderId="27" xfId="0" applyFont="1" applyFill="1" applyBorder="1" applyAlignment="1" applyProtection="1">
      <alignment horizontal="center" vertical="center" wrapText="1"/>
      <protection hidden="1"/>
    </xf>
    <xf numFmtId="0" fontId="86" fillId="9" borderId="27" xfId="0" applyFont="1" applyFill="1" applyBorder="1" applyAlignment="1" applyProtection="1">
      <alignment horizontal="center" vertical="center" wrapText="1"/>
      <protection hidden="1"/>
    </xf>
    <xf numFmtId="0" fontId="86" fillId="9" borderId="28" xfId="0" applyFont="1" applyFill="1" applyBorder="1" applyAlignment="1" applyProtection="1">
      <alignment horizontal="center" vertical="center" wrapText="1"/>
      <protection hidden="1"/>
    </xf>
    <xf numFmtId="0" fontId="86" fillId="9" borderId="26" xfId="0" applyFont="1" applyFill="1" applyBorder="1" applyAlignment="1" applyProtection="1">
      <alignment horizontal="center" vertical="center" wrapText="1"/>
      <protection hidden="1"/>
    </xf>
    <xf numFmtId="0" fontId="82" fillId="9" borderId="27" xfId="0" quotePrefix="1" applyFont="1" applyFill="1" applyBorder="1" applyAlignment="1" applyProtection="1">
      <alignment horizontal="center" vertical="center" wrapText="1"/>
      <protection hidden="1"/>
    </xf>
    <xf numFmtId="0" fontId="82" fillId="9" borderId="27" xfId="0" applyFont="1" applyFill="1" applyBorder="1" applyAlignment="1" applyProtection="1">
      <alignment horizontal="center" vertical="center" wrapText="1"/>
      <protection hidden="1"/>
    </xf>
    <xf numFmtId="0" fontId="24" fillId="9" borderId="50" xfId="0" applyFont="1" applyFill="1" applyBorder="1" applyAlignment="1" applyProtection="1">
      <alignment horizontal="center" vertical="center" wrapText="1"/>
      <protection hidden="1"/>
    </xf>
    <xf numFmtId="0" fontId="24" fillId="9" borderId="20" xfId="0" applyFont="1" applyFill="1" applyBorder="1" applyAlignment="1" applyProtection="1">
      <alignment horizontal="center" vertical="center" wrapText="1"/>
      <protection hidden="1"/>
    </xf>
    <xf numFmtId="169" fontId="0" fillId="0" borderId="0" xfId="0" applyNumberFormat="1" applyAlignment="1">
      <alignment vertical="center"/>
    </xf>
    <xf numFmtId="169" fontId="0" fillId="4" borderId="29" xfId="0" applyNumberFormat="1" applyFill="1" applyBorder="1" applyAlignment="1">
      <alignment horizontal="center" vertical="center"/>
    </xf>
    <xf numFmtId="169" fontId="0" fillId="4" borderId="14" xfId="0" applyNumberFormat="1" applyFill="1" applyBorder="1" applyAlignment="1">
      <alignment horizontal="center" vertical="center"/>
    </xf>
    <xf numFmtId="169" fontId="4" fillId="4" borderId="14" xfId="0" applyNumberFormat="1" applyFont="1" applyFill="1" applyBorder="1" applyAlignment="1" applyProtection="1">
      <alignment horizontal="center" vertical="center" wrapText="1"/>
      <protection hidden="1"/>
    </xf>
    <xf numFmtId="169" fontId="166" fillId="4" borderId="14" xfId="0" applyNumberFormat="1" applyFont="1" applyFill="1" applyBorder="1" applyAlignment="1" applyProtection="1">
      <alignment horizontal="center" vertical="center"/>
      <protection hidden="1"/>
    </xf>
    <xf numFmtId="169" fontId="166" fillId="4" borderId="30" xfId="0" applyNumberFormat="1" applyFont="1" applyFill="1" applyBorder="1" applyAlignment="1" applyProtection="1">
      <alignment horizontal="center" vertical="center"/>
      <protection hidden="1"/>
    </xf>
    <xf numFmtId="169" fontId="132" fillId="60" borderId="15" xfId="0" applyNumberFormat="1" applyFont="1" applyFill="1" applyBorder="1" applyAlignment="1">
      <alignment horizontal="center" vertical="center"/>
    </xf>
    <xf numFmtId="169" fontId="132" fillId="60" borderId="25" xfId="0" applyNumberFormat="1" applyFont="1" applyFill="1" applyBorder="1" applyAlignment="1">
      <alignment horizontal="center" vertical="center"/>
    </xf>
    <xf numFmtId="169" fontId="132" fillId="60" borderId="3" xfId="0" applyNumberFormat="1" applyFont="1" applyFill="1" applyBorder="1" applyAlignment="1">
      <alignment horizontal="center" vertical="center"/>
    </xf>
    <xf numFmtId="169" fontId="132" fillId="60" borderId="45" xfId="0" applyNumberFormat="1" applyFont="1" applyFill="1" applyBorder="1" applyAlignment="1">
      <alignment horizontal="center" vertical="center"/>
    </xf>
    <xf numFmtId="0" fontId="2" fillId="9" borderId="162" xfId="0" applyFont="1" applyFill="1" applyBorder="1" applyAlignment="1">
      <alignment horizontal="center"/>
    </xf>
    <xf numFmtId="0" fontId="2" fillId="9" borderId="77" xfId="0" applyFont="1" applyFill="1" applyBorder="1" applyAlignment="1">
      <alignment horizontal="center"/>
    </xf>
    <xf numFmtId="0" fontId="2" fillId="9" borderId="78" xfId="0" applyFont="1" applyFill="1" applyBorder="1" applyAlignment="1">
      <alignment horizontal="center"/>
    </xf>
    <xf numFmtId="0" fontId="2" fillId="9" borderId="108" xfId="0" applyFont="1" applyFill="1" applyBorder="1" applyAlignment="1">
      <alignment horizontal="center"/>
    </xf>
    <xf numFmtId="169" fontId="2" fillId="9" borderId="45" xfId="0" applyNumberFormat="1" applyFont="1" applyFill="1" applyBorder="1" applyAlignment="1">
      <alignment horizontal="center"/>
    </xf>
    <xf numFmtId="0" fontId="2" fillId="9" borderId="27" xfId="0" applyFont="1" applyFill="1" applyBorder="1" applyAlignment="1">
      <alignment horizontal="center"/>
    </xf>
    <xf numFmtId="0" fontId="2" fillId="9" borderId="28" xfId="0" applyFont="1" applyFill="1" applyBorder="1" applyAlignment="1">
      <alignment horizontal="center"/>
    </xf>
    <xf numFmtId="0" fontId="2" fillId="9" borderId="207" xfId="0" applyFont="1" applyFill="1" applyBorder="1" applyAlignment="1">
      <alignment horizontal="center"/>
    </xf>
    <xf numFmtId="169" fontId="147" fillId="30" borderId="218" xfId="0" applyNumberFormat="1" applyFont="1" applyFill="1" applyBorder="1" applyAlignment="1">
      <alignment horizontal="center" vertical="center"/>
    </xf>
    <xf numFmtId="169" fontId="147" fillId="30" borderId="209" xfId="0" applyNumberFormat="1" applyFont="1" applyFill="1" applyBorder="1" applyAlignment="1">
      <alignment horizontal="center" vertical="center"/>
    </xf>
    <xf numFmtId="169" fontId="147" fillId="30" borderId="210" xfId="0" applyNumberFormat="1" applyFont="1" applyFill="1" applyBorder="1" applyAlignment="1">
      <alignment horizontal="center" vertical="center"/>
    </xf>
    <xf numFmtId="20" fontId="24" fillId="8" borderId="67" xfId="0" applyNumberFormat="1" applyFont="1" applyFill="1" applyBorder="1" applyAlignment="1">
      <alignment vertical="center" wrapText="1"/>
    </xf>
    <xf numFmtId="20" fontId="24" fillId="8" borderId="216" xfId="0" applyNumberFormat="1" applyFont="1" applyFill="1" applyBorder="1" applyAlignment="1">
      <alignment vertical="center" wrapText="1"/>
    </xf>
    <xf numFmtId="167" fontId="24" fillId="4" borderId="48" xfId="101" applyFont="1" applyFill="1" applyBorder="1" applyAlignment="1">
      <alignment vertical="center" wrapText="1"/>
    </xf>
    <xf numFmtId="167" fontId="24" fillId="4" borderId="49" xfId="101" applyFont="1" applyFill="1" applyBorder="1" applyAlignment="1">
      <alignment vertical="center" wrapText="1"/>
    </xf>
    <xf numFmtId="167" fontId="24" fillId="4" borderId="16" xfId="101" applyFont="1" applyFill="1" applyBorder="1" applyAlignment="1">
      <alignment vertical="center" wrapText="1"/>
    </xf>
    <xf numFmtId="167" fontId="24" fillId="4" borderId="15" xfId="101" applyFont="1" applyFill="1" applyBorder="1" applyAlignment="1">
      <alignment vertical="center" wrapText="1"/>
    </xf>
    <xf numFmtId="167" fontId="24" fillId="4" borderId="26" xfId="101" applyFont="1" applyFill="1" applyBorder="1" applyAlignment="1">
      <alignment vertical="center" wrapText="1"/>
    </xf>
    <xf numFmtId="167" fontId="24" fillId="4" borderId="28" xfId="101" applyFont="1" applyFill="1" applyBorder="1" applyAlignment="1">
      <alignment vertical="center" wrapText="1"/>
    </xf>
    <xf numFmtId="10" fontId="15" fillId="4" borderId="14" xfId="0" applyNumberFormat="1" applyFont="1" applyFill="1" applyBorder="1" applyAlignment="1">
      <alignment horizontal="center" vertical="center"/>
    </xf>
    <xf numFmtId="10" fontId="15" fillId="4" borderId="27" xfId="0" applyNumberFormat="1" applyFont="1" applyFill="1" applyBorder="1" applyAlignment="1">
      <alignment horizontal="center" vertical="center"/>
    </xf>
    <xf numFmtId="169" fontId="24" fillId="4" borderId="85" xfId="101" applyNumberFormat="1" applyFont="1" applyFill="1" applyBorder="1" applyAlignment="1">
      <alignment horizontal="center" vertical="center" wrapText="1"/>
    </xf>
    <xf numFmtId="169" fontId="24" fillId="4" borderId="138" xfId="101" applyNumberFormat="1" applyFont="1" applyFill="1" applyBorder="1" applyAlignment="1">
      <alignment horizontal="center" vertical="center" wrapText="1"/>
    </xf>
    <xf numFmtId="0" fontId="136" fillId="12" borderId="8" xfId="0" applyFont="1" applyFill="1" applyBorder="1" applyAlignment="1">
      <alignment horizontal="center" vertical="center" wrapText="1"/>
    </xf>
    <xf numFmtId="0" fontId="136" fillId="12" borderId="0" xfId="0" applyFont="1" applyFill="1" applyAlignment="1">
      <alignment horizontal="center" vertical="center" wrapText="1"/>
    </xf>
    <xf numFmtId="0" fontId="88" fillId="36" borderId="0" xfId="0" applyFont="1" applyFill="1" applyAlignment="1" applyProtection="1">
      <alignment horizontal="center" vertical="center" wrapText="1"/>
      <protection hidden="1"/>
    </xf>
    <xf numFmtId="169" fontId="2" fillId="3" borderId="26" xfId="0" applyNumberFormat="1" applyFont="1" applyFill="1" applyBorder="1" applyAlignment="1">
      <alignment horizontal="center" vertical="center"/>
    </xf>
    <xf numFmtId="169" fontId="2" fillId="3" borderId="27" xfId="0" applyNumberFormat="1" applyFont="1" applyFill="1" applyBorder="1" applyAlignment="1">
      <alignment horizontal="center" vertical="center"/>
    </xf>
    <xf numFmtId="169" fontId="2" fillId="3" borderId="28" xfId="0" applyNumberFormat="1" applyFont="1" applyFill="1" applyBorder="1" applyAlignment="1">
      <alignment horizontal="center" vertical="center"/>
    </xf>
    <xf numFmtId="0" fontId="14" fillId="4" borderId="46" xfId="0"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33" fillId="55" borderId="48" xfId="0" applyFont="1" applyFill="1" applyBorder="1" applyAlignment="1">
      <alignment horizontal="center" vertical="center" wrapText="1"/>
    </xf>
    <xf numFmtId="0" fontId="133" fillId="55" borderId="46" xfId="0" applyFont="1" applyFill="1" applyBorder="1" applyAlignment="1">
      <alignment horizontal="center" vertical="center" wrapText="1"/>
    </xf>
    <xf numFmtId="0" fontId="133" fillId="55" borderId="49" xfId="0" applyFont="1" applyFill="1" applyBorder="1" applyAlignment="1">
      <alignment horizontal="center" vertical="center" wrapText="1"/>
    </xf>
    <xf numFmtId="0" fontId="146" fillId="8" borderId="48" xfId="0" applyFont="1" applyFill="1" applyBorder="1" applyAlignment="1">
      <alignment horizontal="center" vertical="center" wrapText="1"/>
    </xf>
    <xf numFmtId="0" fontId="146" fillId="8" borderId="17" xfId="0" applyFont="1" applyFill="1" applyBorder="1" applyAlignment="1">
      <alignment horizontal="center" vertical="center" wrapText="1"/>
    </xf>
    <xf numFmtId="0" fontId="136" fillId="10" borderId="1" xfId="0" applyFont="1" applyFill="1" applyBorder="1" applyAlignment="1">
      <alignment horizontal="center" vertical="center" wrapText="1"/>
    </xf>
    <xf numFmtId="0" fontId="136" fillId="10" borderId="27" xfId="0" applyFont="1" applyFill="1" applyBorder="1" applyAlignment="1">
      <alignment horizontal="center" vertical="center" wrapText="1"/>
    </xf>
    <xf numFmtId="0" fontId="136" fillId="63" borderId="47" xfId="0" applyFont="1" applyFill="1" applyBorder="1" applyAlignment="1">
      <alignment horizontal="center" vertical="center" wrapText="1"/>
    </xf>
    <xf numFmtId="0" fontId="136" fillId="63" borderId="14" xfId="0" applyFont="1" applyFill="1" applyBorder="1" applyAlignment="1">
      <alignment horizontal="center" vertical="center" wrapText="1"/>
    </xf>
    <xf numFmtId="0" fontId="136" fillId="63" borderId="79" xfId="0" applyFont="1" applyFill="1" applyBorder="1" applyAlignment="1">
      <alignment horizontal="center" vertical="center" wrapText="1"/>
    </xf>
    <xf numFmtId="0" fontId="136" fillId="63" borderId="30" xfId="0" applyFont="1" applyFill="1" applyBorder="1" applyAlignment="1">
      <alignment horizontal="center" vertical="center" wrapText="1"/>
    </xf>
    <xf numFmtId="0" fontId="117" fillId="37" borderId="6" xfId="0" applyFont="1" applyFill="1" applyBorder="1" applyAlignment="1">
      <alignment horizontal="center" vertical="center" wrapText="1"/>
    </xf>
    <xf numFmtId="0" fontId="117" fillId="37" borderId="7" xfId="0" applyFont="1" applyFill="1" applyBorder="1" applyAlignment="1">
      <alignment horizontal="center" vertical="center" wrapText="1"/>
    </xf>
    <xf numFmtId="0" fontId="117" fillId="37" borderId="18" xfId="0" applyFont="1" applyFill="1" applyBorder="1" applyAlignment="1">
      <alignment horizontal="center" vertical="center" wrapText="1"/>
    </xf>
    <xf numFmtId="0" fontId="14" fillId="10" borderId="26" xfId="0" applyFont="1" applyFill="1" applyBorder="1" applyAlignment="1">
      <alignment horizontal="center" vertical="center" wrapText="1"/>
    </xf>
    <xf numFmtId="0" fontId="14" fillId="10" borderId="27" xfId="0" applyFont="1" applyFill="1" applyBorder="1" applyAlignment="1">
      <alignment horizontal="center" vertical="center" wrapText="1"/>
    </xf>
    <xf numFmtId="20" fontId="88" fillId="37" borderId="217" xfId="0" applyNumberFormat="1" applyFont="1" applyFill="1" applyBorder="1" applyAlignment="1">
      <alignment horizontal="center" vertical="center" wrapText="1"/>
    </xf>
    <xf numFmtId="20" fontId="88" fillId="37" borderId="46" xfId="0" applyNumberFormat="1" applyFont="1" applyFill="1" applyBorder="1" applyAlignment="1">
      <alignment horizontal="center" vertical="center" wrapText="1"/>
    </xf>
    <xf numFmtId="0" fontId="136" fillId="6" borderId="0" xfId="0" applyFont="1" applyFill="1" applyAlignment="1">
      <alignment horizontal="center" vertical="center" wrapText="1"/>
    </xf>
    <xf numFmtId="0" fontId="88" fillId="37" borderId="48" xfId="0" applyFont="1" applyFill="1" applyBorder="1" applyAlignment="1" applyProtection="1">
      <alignment horizontal="center" vertical="center" wrapText="1"/>
      <protection hidden="1"/>
    </xf>
    <xf numFmtId="0" fontId="88" fillId="37" borderId="46" xfId="0" applyFont="1" applyFill="1" applyBorder="1" applyAlignment="1" applyProtection="1">
      <alignment horizontal="center" vertical="center" wrapText="1"/>
      <protection hidden="1"/>
    </xf>
    <xf numFmtId="0" fontId="88" fillId="37" borderId="49" xfId="0" applyFont="1" applyFill="1" applyBorder="1" applyAlignment="1" applyProtection="1">
      <alignment horizontal="center" vertical="center" wrapText="1"/>
      <protection hidden="1"/>
    </xf>
    <xf numFmtId="0" fontId="162" fillId="6" borderId="0" xfId="0" applyFont="1" applyFill="1" applyAlignment="1">
      <alignment horizontal="center" vertical="center" wrapText="1"/>
    </xf>
    <xf numFmtId="0" fontId="14" fillId="4" borderId="1" xfId="0" applyFont="1" applyFill="1" applyBorder="1" applyAlignment="1">
      <alignment horizontal="left" vertical="center" wrapText="1"/>
    </xf>
    <xf numFmtId="0" fontId="88" fillId="37" borderId="8" xfId="0" applyFont="1" applyFill="1" applyBorder="1" applyAlignment="1" applyProtection="1">
      <alignment horizontal="center" vertical="center" wrapText="1"/>
      <protection hidden="1"/>
    </xf>
    <xf numFmtId="0" fontId="88" fillId="37" borderId="0" xfId="0" applyFont="1" applyFill="1" applyAlignment="1" applyProtection="1">
      <alignment horizontal="center" vertical="center" wrapText="1"/>
      <protection hidden="1"/>
    </xf>
    <xf numFmtId="20" fontId="88" fillId="37" borderId="66" xfId="0" applyNumberFormat="1" applyFont="1" applyFill="1" applyBorder="1" applyAlignment="1">
      <alignment horizontal="center" vertical="center" wrapText="1"/>
    </xf>
    <xf numFmtId="20" fontId="88" fillId="37" borderId="47" xfId="0" applyNumberFormat="1" applyFont="1" applyFill="1" applyBorder="1" applyAlignment="1">
      <alignment horizontal="center" vertical="center" wrapText="1"/>
    </xf>
    <xf numFmtId="20" fontId="88" fillId="37" borderId="79" xfId="0" applyNumberFormat="1" applyFont="1" applyFill="1" applyBorder="1" applyAlignment="1">
      <alignment horizontal="center" vertical="center" wrapText="1"/>
    </xf>
    <xf numFmtId="20" fontId="88" fillId="37" borderId="48" xfId="0" applyNumberFormat="1" applyFont="1" applyFill="1" applyBorder="1" applyAlignment="1">
      <alignment horizontal="center" vertical="center" wrapText="1"/>
    </xf>
    <xf numFmtId="20" fontId="88" fillId="37" borderId="49" xfId="0" applyNumberFormat="1" applyFont="1" applyFill="1" applyBorder="1" applyAlignment="1">
      <alignment horizontal="center" vertical="center" wrapText="1"/>
    </xf>
    <xf numFmtId="0" fontId="104" fillId="0" borderId="0" xfId="0" applyFont="1" applyAlignment="1">
      <alignment horizontal="center" vertical="center" wrapText="1"/>
    </xf>
    <xf numFmtId="165" fontId="88" fillId="36" borderId="1" xfId="0" applyNumberFormat="1" applyFont="1" applyFill="1" applyBorder="1" applyAlignment="1" applyProtection="1">
      <alignment horizontal="center" vertical="center" wrapText="1"/>
      <protection hidden="1"/>
    </xf>
    <xf numFmtId="165" fontId="88" fillId="36" borderId="6" xfId="0" applyNumberFormat="1" applyFont="1" applyFill="1" applyBorder="1" applyAlignment="1" applyProtection="1">
      <alignment horizontal="center" vertical="center" wrapText="1"/>
      <protection hidden="1"/>
    </xf>
    <xf numFmtId="165" fontId="88" fillId="36" borderId="7" xfId="0" applyNumberFormat="1" applyFont="1" applyFill="1" applyBorder="1" applyAlignment="1" applyProtection="1">
      <alignment horizontal="center" vertical="center" wrapText="1"/>
      <protection hidden="1"/>
    </xf>
    <xf numFmtId="165" fontId="88" fillId="36" borderId="18" xfId="0" applyNumberFormat="1" applyFont="1" applyFill="1" applyBorder="1" applyAlignment="1" applyProtection="1">
      <alignment horizontal="center" vertical="center" wrapText="1"/>
      <protection hidden="1"/>
    </xf>
    <xf numFmtId="0" fontId="14" fillId="52" borderId="1" xfId="0" applyFont="1" applyFill="1" applyBorder="1" applyAlignment="1">
      <alignment horizontal="center" vertical="center" wrapText="1"/>
    </xf>
    <xf numFmtId="20" fontId="88" fillId="37" borderId="20" xfId="0" applyNumberFormat="1" applyFont="1" applyFill="1" applyBorder="1" applyAlignment="1">
      <alignment horizontal="center" vertical="center" wrapText="1"/>
    </xf>
    <xf numFmtId="20" fontId="88" fillId="37" borderId="4" xfId="0" applyNumberFormat="1" applyFont="1" applyFill="1" applyBorder="1" applyAlignment="1">
      <alignment horizontal="center" vertical="center" wrapText="1"/>
    </xf>
    <xf numFmtId="20" fontId="88" fillId="37" borderId="21" xfId="0" applyNumberFormat="1" applyFont="1" applyFill="1" applyBorder="1" applyAlignment="1">
      <alignment horizontal="center" vertical="center" wrapText="1"/>
    </xf>
    <xf numFmtId="20" fontId="14" fillId="35" borderId="36" xfId="0" applyNumberFormat="1" applyFont="1" applyFill="1" applyBorder="1" applyAlignment="1">
      <alignment horizontal="center" vertical="center" wrapText="1"/>
    </xf>
    <xf numFmtId="20" fontId="14" fillId="35" borderId="37" xfId="0" applyNumberFormat="1" applyFont="1" applyFill="1" applyBorder="1" applyAlignment="1">
      <alignment horizontal="center" vertical="center" wrapText="1"/>
    </xf>
    <xf numFmtId="0" fontId="136" fillId="58" borderId="47" xfId="0" applyFont="1" applyFill="1" applyBorder="1" applyAlignment="1">
      <alignment horizontal="center" vertical="center" wrapText="1"/>
    </xf>
    <xf numFmtId="0" fontId="136" fillId="58" borderId="14" xfId="0" applyFont="1" applyFill="1" applyBorder="1" applyAlignment="1">
      <alignment horizontal="center" vertical="center" wrapText="1"/>
    </xf>
    <xf numFmtId="165" fontId="88" fillId="36" borderId="20" xfId="0" applyNumberFormat="1" applyFont="1" applyFill="1" applyBorder="1" applyAlignment="1" applyProtection="1">
      <alignment horizontal="center" vertical="center" wrapText="1"/>
      <protection hidden="1"/>
    </xf>
    <xf numFmtId="165" fontId="88" fillId="36" borderId="4" xfId="0" applyNumberFormat="1" applyFont="1" applyFill="1" applyBorder="1" applyAlignment="1" applyProtection="1">
      <alignment horizontal="center" vertical="center" wrapText="1"/>
      <protection hidden="1"/>
    </xf>
    <xf numFmtId="0" fontId="136" fillId="59" borderId="1" xfId="0" applyFont="1" applyFill="1" applyBorder="1" applyAlignment="1">
      <alignment horizontal="center" vertical="center" wrapText="1"/>
    </xf>
    <xf numFmtId="0" fontId="136" fillId="59" borderId="27" xfId="0" applyFont="1" applyFill="1" applyBorder="1" applyAlignment="1">
      <alignment horizontal="center" vertical="center" wrapText="1"/>
    </xf>
    <xf numFmtId="0" fontId="14" fillId="4" borderId="30"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protection locked="0"/>
    </xf>
    <xf numFmtId="49" fontId="64" fillId="8" borderId="161" xfId="0" applyNumberFormat="1" applyFont="1" applyFill="1" applyBorder="1" applyAlignment="1" applyProtection="1">
      <alignment horizontal="center" vertical="center" wrapText="1"/>
      <protection locked="0"/>
    </xf>
    <xf numFmtId="49" fontId="64" fillId="8" borderId="208" xfId="0" applyNumberFormat="1" applyFont="1" applyFill="1" applyBorder="1" applyAlignment="1" applyProtection="1">
      <alignment horizontal="center" vertical="center" wrapText="1"/>
      <protection locked="0"/>
    </xf>
    <xf numFmtId="9" fontId="15" fillId="4" borderId="14" xfId="1" applyFont="1" applyFill="1" applyBorder="1" applyAlignment="1">
      <alignment horizontal="center" vertical="center"/>
    </xf>
    <xf numFmtId="9" fontId="15" fillId="4" borderId="11" xfId="1" applyFont="1" applyFill="1" applyBorder="1" applyAlignment="1">
      <alignment horizontal="center" vertical="center"/>
    </xf>
    <xf numFmtId="169" fontId="136" fillId="10" borderId="16" xfId="0" applyNumberFormat="1" applyFont="1" applyFill="1" applyBorder="1" applyAlignment="1">
      <alignment horizontal="center" vertical="center" wrapText="1"/>
    </xf>
    <xf numFmtId="169" fontId="136" fillId="10" borderId="26" xfId="0" applyNumberFormat="1" applyFont="1" applyFill="1" applyBorder="1" applyAlignment="1">
      <alignment horizontal="center" vertical="center" wrapText="1"/>
    </xf>
    <xf numFmtId="169" fontId="136" fillId="10" borderId="1" xfId="0" applyNumberFormat="1" applyFont="1" applyFill="1" applyBorder="1" applyAlignment="1">
      <alignment horizontal="center" vertical="center" wrapText="1"/>
    </xf>
    <xf numFmtId="169" fontId="136" fillId="10" borderId="27" xfId="0" applyNumberFormat="1" applyFont="1" applyFill="1" applyBorder="1" applyAlignment="1">
      <alignment horizontal="center" vertical="center" wrapText="1"/>
    </xf>
    <xf numFmtId="0" fontId="70" fillId="0" borderId="20" xfId="0" applyFont="1" applyBorder="1" applyAlignment="1">
      <alignment horizontal="center" vertical="center"/>
    </xf>
    <xf numFmtId="0" fontId="70" fillId="0" borderId="4" xfId="0" applyFont="1" applyBorder="1" applyAlignment="1">
      <alignment horizontal="center" vertical="center"/>
    </xf>
    <xf numFmtId="0" fontId="54" fillId="7" borderId="4" xfId="0" applyFont="1" applyFill="1" applyBorder="1" applyAlignment="1">
      <alignment horizontal="center" vertical="center" wrapText="1"/>
    </xf>
    <xf numFmtId="0" fontId="54" fillId="7" borderId="21" xfId="0" applyFont="1" applyFill="1" applyBorder="1" applyAlignment="1">
      <alignment horizontal="center" vertical="center" wrapText="1"/>
    </xf>
    <xf numFmtId="0" fontId="22" fillId="0" borderId="0" xfId="0" applyFont="1" applyAlignment="1">
      <alignment horizontal="center" vertical="center"/>
    </xf>
    <xf numFmtId="0" fontId="22" fillId="0" borderId="19" xfId="0" applyFont="1" applyBorder="1" applyAlignment="1">
      <alignment horizontal="center" vertical="center"/>
    </xf>
    <xf numFmtId="0" fontId="71" fillId="33" borderId="7" xfId="0" applyFont="1" applyFill="1" applyBorder="1" applyAlignment="1">
      <alignment horizontal="left" vertical="center" wrapText="1"/>
    </xf>
    <xf numFmtId="0" fontId="48" fillId="8" borderId="20" xfId="0" applyFont="1" applyFill="1" applyBorder="1" applyAlignment="1">
      <alignment horizontal="center" vertical="center" wrapText="1"/>
    </xf>
    <xf numFmtId="0" fontId="48" fillId="8" borderId="21" xfId="0" applyFont="1" applyFill="1" applyBorder="1" applyAlignment="1">
      <alignment horizontal="center" vertical="center" wrapText="1"/>
    </xf>
    <xf numFmtId="0" fontId="48" fillId="8" borderId="1" xfId="0" applyFont="1" applyFill="1" applyBorder="1" applyAlignment="1">
      <alignment horizontal="center" vertical="center" wrapText="1"/>
    </xf>
    <xf numFmtId="0" fontId="71" fillId="33" borderId="4" xfId="0" applyFont="1" applyFill="1" applyBorder="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19" xfId="0" applyFont="1" applyBorder="1" applyAlignment="1">
      <alignment horizontal="center" vertical="center"/>
    </xf>
    <xf numFmtId="0" fontId="19" fillId="0" borderId="0" xfId="0" applyFont="1" applyAlignment="1">
      <alignment horizontal="center" vertical="center" wrapText="1"/>
    </xf>
    <xf numFmtId="0" fontId="70" fillId="0" borderId="6" xfId="0" applyFont="1" applyBorder="1" applyAlignment="1">
      <alignment horizontal="center" vertical="center"/>
    </xf>
    <xf numFmtId="0" fontId="70" fillId="0" borderId="7" xfId="0" applyFont="1" applyBorder="1" applyAlignment="1">
      <alignment horizontal="center" vertical="center"/>
    </xf>
    <xf numFmtId="0" fontId="54" fillId="7" borderId="7" xfId="0" applyFont="1" applyFill="1" applyBorder="1" applyAlignment="1">
      <alignment horizontal="center" vertical="center" wrapText="1"/>
    </xf>
    <xf numFmtId="0" fontId="54" fillId="7" borderId="18"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19" xfId="0" applyFont="1" applyBorder="1" applyAlignment="1">
      <alignment horizontal="center" vertical="center"/>
    </xf>
    <xf numFmtId="0" fontId="72" fillId="32" borderId="6" xfId="0" applyFont="1" applyFill="1" applyBorder="1" applyAlignment="1">
      <alignment horizontal="center" vertical="center" wrapText="1"/>
    </xf>
    <xf numFmtId="0" fontId="72" fillId="32" borderId="7" xfId="0" applyFont="1" applyFill="1" applyBorder="1" applyAlignment="1">
      <alignment horizontal="center" vertical="center" wrapText="1"/>
    </xf>
    <xf numFmtId="0" fontId="72" fillId="32" borderId="18" xfId="0" applyFont="1" applyFill="1" applyBorder="1" applyAlignment="1">
      <alignment horizontal="center" vertical="center" wrapText="1"/>
    </xf>
    <xf numFmtId="0" fontId="14" fillId="6" borderId="20"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1" xfId="0" applyFont="1" applyFill="1" applyBorder="1" applyAlignment="1">
      <alignment horizontal="left" vertical="top" wrapText="1"/>
    </xf>
    <xf numFmtId="0" fontId="72" fillId="35" borderId="6" xfId="0" applyFont="1" applyFill="1" applyBorder="1" applyAlignment="1">
      <alignment horizontal="center" vertical="center" wrapText="1"/>
    </xf>
    <xf numFmtId="0" fontId="72" fillId="35" borderId="7" xfId="0" applyFont="1" applyFill="1" applyBorder="1" applyAlignment="1">
      <alignment horizontal="center" vertical="center" wrapText="1"/>
    </xf>
    <xf numFmtId="0" fontId="72" fillId="35" borderId="18" xfId="0" applyFont="1" applyFill="1" applyBorder="1" applyAlignment="1">
      <alignment horizontal="center" vertical="center"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19" xfId="0" applyFont="1" applyFill="1" applyBorder="1" applyAlignment="1">
      <alignment horizontal="left" vertical="top"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19" xfId="0" applyFont="1" applyFill="1" applyBorder="1" applyAlignment="1">
      <alignment horizontal="left" vertical="top" wrapText="1"/>
    </xf>
    <xf numFmtId="0" fontId="22" fillId="6" borderId="20"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1" xfId="0" applyFont="1" applyFill="1" applyBorder="1" applyAlignment="1">
      <alignment horizontal="left" vertical="top" wrapText="1"/>
    </xf>
    <xf numFmtId="0" fontId="72" fillId="34" borderId="6" xfId="0" applyFont="1" applyFill="1" applyBorder="1" applyAlignment="1">
      <alignment horizontal="center" vertical="center" wrapText="1"/>
    </xf>
    <xf numFmtId="0" fontId="72" fillId="34" borderId="7" xfId="0" applyFont="1" applyFill="1" applyBorder="1" applyAlignment="1">
      <alignment horizontal="center" vertical="center" wrapText="1"/>
    </xf>
    <xf numFmtId="0" fontId="72" fillId="34" borderId="18" xfId="0" applyFont="1" applyFill="1" applyBorder="1" applyAlignment="1">
      <alignment horizontal="center" vertical="center" wrapText="1"/>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72" fillId="36" borderId="6" xfId="0" applyFont="1" applyFill="1" applyBorder="1" applyAlignment="1">
      <alignment horizontal="center" vertical="center" wrapText="1"/>
    </xf>
    <xf numFmtId="0" fontId="72" fillId="36" borderId="7" xfId="0" applyFont="1" applyFill="1" applyBorder="1" applyAlignment="1">
      <alignment horizontal="center" vertical="center" wrapText="1"/>
    </xf>
    <xf numFmtId="0" fontId="72" fillId="36" borderId="18" xfId="0" applyFont="1" applyFill="1" applyBorder="1" applyAlignment="1">
      <alignment horizontal="center" vertical="center" wrapText="1"/>
    </xf>
    <xf numFmtId="0" fontId="71" fillId="33" borderId="0" xfId="0" applyFont="1" applyFill="1" applyAlignment="1">
      <alignment horizontal="center" vertical="center" wrapText="1"/>
    </xf>
    <xf numFmtId="0" fontId="83" fillId="12" borderId="10" xfId="0" applyFont="1" applyFill="1" applyBorder="1" applyAlignment="1">
      <alignment horizontal="center" vertical="center" wrapText="1"/>
    </xf>
    <xf numFmtId="0" fontId="23" fillId="12" borderId="12" xfId="0" applyFont="1" applyFill="1" applyBorder="1" applyAlignment="1">
      <alignment horizontal="center" vertical="center" wrapText="1"/>
    </xf>
    <xf numFmtId="0" fontId="23" fillId="12" borderId="13" xfId="0" applyFont="1" applyFill="1" applyBorder="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1" xfId="0" applyFont="1" applyBorder="1" applyAlignment="1">
      <alignment horizontal="center" vertical="top" wrapText="1"/>
    </xf>
    <xf numFmtId="0" fontId="47" fillId="0" borderId="70" xfId="0" applyFont="1" applyBorder="1" applyAlignment="1">
      <alignment horizontal="center" vertical="top" wrapText="1"/>
    </xf>
    <xf numFmtId="165" fontId="88" fillId="36" borderId="10" xfId="0" applyNumberFormat="1" applyFont="1" applyFill="1" applyBorder="1" applyAlignment="1" applyProtection="1">
      <alignment horizontal="center" vertical="center" wrapText="1"/>
      <protection hidden="1"/>
    </xf>
    <xf numFmtId="165" fontId="88" fillId="36" borderId="12" xfId="0" applyNumberFormat="1" applyFont="1" applyFill="1" applyBorder="1" applyAlignment="1" applyProtection="1">
      <alignment horizontal="center" vertical="center" wrapText="1"/>
      <protection hidden="1"/>
    </xf>
    <xf numFmtId="165" fontId="88" fillId="36" borderId="13" xfId="0" applyNumberFormat="1" applyFont="1" applyFill="1" applyBorder="1" applyAlignment="1" applyProtection="1">
      <alignment horizontal="center" vertical="center" wrapText="1"/>
      <protection hidden="1"/>
    </xf>
    <xf numFmtId="0" fontId="47" fillId="10" borderId="66" xfId="0" applyFont="1" applyFill="1" applyBorder="1" applyAlignment="1">
      <alignment horizontal="center" vertical="center" wrapText="1"/>
    </xf>
    <xf numFmtId="0" fontId="47" fillId="10" borderId="31" xfId="0" applyFont="1" applyFill="1" applyBorder="1" applyAlignment="1">
      <alignment horizontal="center" vertical="center" wrapText="1"/>
    </xf>
    <xf numFmtId="0" fontId="47" fillId="10" borderId="70" xfId="0" applyFont="1" applyFill="1" applyBorder="1" applyAlignment="1">
      <alignment horizontal="center" vertical="center" wrapText="1"/>
    </xf>
    <xf numFmtId="0" fontId="2" fillId="2" borderId="75" xfId="0" applyFont="1" applyFill="1" applyBorder="1" applyAlignment="1">
      <alignment horizontal="right" vertical="center"/>
    </xf>
    <xf numFmtId="0" fontId="2" fillId="2" borderId="22" xfId="0" applyFont="1" applyFill="1" applyBorder="1" applyAlignment="1">
      <alignment horizontal="right" vertical="center"/>
    </xf>
    <xf numFmtId="0" fontId="2" fillId="2" borderId="25" xfId="0" applyFont="1" applyFill="1" applyBorder="1" applyAlignment="1">
      <alignment horizontal="right" vertical="center"/>
    </xf>
    <xf numFmtId="167" fontId="2" fillId="2" borderId="39" xfId="0" applyNumberFormat="1" applyFont="1" applyFill="1" applyBorder="1" applyAlignment="1">
      <alignment horizontal="center" vertical="center"/>
    </xf>
    <xf numFmtId="167" fontId="2" fillId="2" borderId="0" xfId="0" applyNumberFormat="1" applyFont="1" applyFill="1" applyAlignment="1">
      <alignment horizontal="center" vertical="center"/>
    </xf>
    <xf numFmtId="167" fontId="2" fillId="2" borderId="35" xfId="0" applyNumberFormat="1" applyFont="1" applyFill="1" applyBorder="1" applyAlignment="1">
      <alignment horizontal="center" vertical="center"/>
    </xf>
    <xf numFmtId="0" fontId="68" fillId="37" borderId="1" xfId="0" applyFont="1" applyFill="1" applyBorder="1" applyAlignment="1">
      <alignment horizontal="center" vertical="center" wrapText="1"/>
    </xf>
    <xf numFmtId="0" fontId="68" fillId="37" borderId="1" xfId="0" applyFont="1" applyFill="1" applyBorder="1" applyAlignment="1">
      <alignment horizontal="center" vertical="center"/>
    </xf>
    <xf numFmtId="0" fontId="66" fillId="12" borderId="36" xfId="0" applyFont="1" applyFill="1" applyBorder="1" applyAlignment="1">
      <alignment horizontal="center" vertical="center" wrapText="1"/>
    </xf>
    <xf numFmtId="0" fontId="66" fillId="12" borderId="37" xfId="0" applyFont="1" applyFill="1" applyBorder="1" applyAlignment="1">
      <alignment horizontal="center" vertical="center" wrapText="1"/>
    </xf>
    <xf numFmtId="0" fontId="10" fillId="12" borderId="37" xfId="0" applyFont="1" applyFill="1" applyBorder="1" applyAlignment="1">
      <alignment horizontal="center" vertical="center"/>
    </xf>
    <xf numFmtId="0" fontId="10" fillId="12" borderId="38" xfId="0" applyFont="1" applyFill="1" applyBorder="1" applyAlignment="1">
      <alignment horizontal="center" vertical="center"/>
    </xf>
    <xf numFmtId="0" fontId="10" fillId="26" borderId="12" xfId="0" applyFont="1" applyFill="1" applyBorder="1" applyAlignment="1">
      <alignment horizontal="center" vertical="center"/>
    </xf>
    <xf numFmtId="0" fontId="10" fillId="26" borderId="13" xfId="0" applyFont="1" applyFill="1" applyBorder="1" applyAlignment="1">
      <alignment horizontal="center" vertical="center"/>
    </xf>
    <xf numFmtId="0" fontId="47" fillId="38" borderId="1" xfId="0" applyFont="1" applyFill="1" applyBorder="1" applyAlignment="1">
      <alignment horizontal="center" vertical="center" wrapText="1"/>
    </xf>
    <xf numFmtId="0" fontId="68" fillId="36" borderId="1" xfId="0" applyFont="1" applyFill="1" applyBorder="1" applyAlignment="1">
      <alignment horizontal="center" vertical="center" wrapText="1"/>
    </xf>
    <xf numFmtId="0" fontId="73" fillId="37" borderId="1" xfId="0" applyFont="1" applyFill="1" applyBorder="1" applyAlignment="1">
      <alignment horizontal="center" vertical="center" wrapText="1"/>
    </xf>
    <xf numFmtId="0" fontId="67" fillId="39" borderId="1" xfId="0" applyFont="1" applyFill="1" applyBorder="1" applyAlignment="1">
      <alignment horizontal="center" vertical="center" wrapText="1"/>
    </xf>
    <xf numFmtId="0" fontId="68" fillId="35" borderId="1" xfId="0" applyFont="1" applyFill="1" applyBorder="1" applyAlignment="1">
      <alignment horizontal="center" vertical="center" wrapText="1"/>
    </xf>
    <xf numFmtId="0" fontId="67" fillId="32" borderId="1" xfId="0" applyFont="1" applyFill="1" applyBorder="1" applyAlignment="1">
      <alignment horizontal="center" vertical="center"/>
    </xf>
    <xf numFmtId="0" fontId="10" fillId="26" borderId="1" xfId="0" applyFont="1" applyFill="1" applyBorder="1" applyAlignment="1">
      <alignment horizontal="center" vertical="center" wrapText="1"/>
    </xf>
    <xf numFmtId="0" fontId="67" fillId="26" borderId="1" xfId="0" applyFont="1" applyFill="1" applyBorder="1" applyAlignment="1">
      <alignment horizontal="center" vertical="center" wrapText="1"/>
    </xf>
    <xf numFmtId="0" fontId="68" fillId="26" borderId="1" xfId="0" applyFont="1" applyFill="1" applyBorder="1" applyAlignment="1">
      <alignment horizontal="center" vertical="center" wrapText="1"/>
    </xf>
    <xf numFmtId="0" fontId="66" fillId="26" borderId="1" xfId="0" applyFont="1" applyFill="1" applyBorder="1" applyAlignment="1">
      <alignment horizontal="center" vertical="center" wrapText="1"/>
    </xf>
    <xf numFmtId="0" fontId="74" fillId="26" borderId="1" xfId="0" applyFont="1" applyFill="1" applyBorder="1" applyAlignment="1">
      <alignment horizontal="center" vertical="center" wrapText="1"/>
    </xf>
    <xf numFmtId="0" fontId="67" fillId="26" borderId="1" xfId="0" applyFont="1" applyFill="1" applyBorder="1" applyAlignment="1">
      <alignment horizontal="center" vertical="center"/>
    </xf>
    <xf numFmtId="0" fontId="68" fillId="36" borderId="54" xfId="0" applyFont="1" applyFill="1" applyBorder="1" applyAlignment="1">
      <alignment horizontal="center" vertical="center" wrapText="1"/>
    </xf>
    <xf numFmtId="0" fontId="68" fillId="36" borderId="52" xfId="0" applyFont="1" applyFill="1" applyBorder="1" applyAlignment="1">
      <alignment horizontal="center" vertical="center" wrapText="1"/>
    </xf>
    <xf numFmtId="0" fontId="68" fillId="36" borderId="34" xfId="0" applyFont="1" applyFill="1" applyBorder="1" applyAlignment="1">
      <alignment horizontal="center" vertical="center" wrapText="1"/>
    </xf>
    <xf numFmtId="0" fontId="68" fillId="36" borderId="5" xfId="0" applyFont="1" applyFill="1" applyBorder="1" applyAlignment="1">
      <alignment horizontal="center" vertical="center" wrapText="1"/>
    </xf>
    <xf numFmtId="0" fontId="68" fillId="36" borderId="22" xfId="0" applyFont="1" applyFill="1" applyBorder="1" applyAlignment="1">
      <alignment horizontal="center" vertical="center" wrapText="1"/>
    </xf>
    <xf numFmtId="0" fontId="68" fillId="36" borderId="25" xfId="0" applyFont="1" applyFill="1" applyBorder="1" applyAlignment="1">
      <alignment horizontal="center" vertical="center" wrapText="1"/>
    </xf>
    <xf numFmtId="0" fontId="66" fillId="12" borderId="1" xfId="0" applyFont="1" applyFill="1" applyBorder="1" applyAlignment="1">
      <alignment horizontal="center" vertical="center" wrapText="1"/>
    </xf>
    <xf numFmtId="0" fontId="66" fillId="12" borderId="1" xfId="0" applyFont="1" applyFill="1" applyBorder="1" applyAlignment="1">
      <alignment horizontal="center" vertical="center"/>
    </xf>
    <xf numFmtId="0" fontId="68" fillId="35" borderId="11" xfId="0" applyFont="1" applyFill="1" applyBorder="1" applyAlignment="1">
      <alignment horizontal="center" vertical="center" wrapText="1"/>
    </xf>
    <xf numFmtId="0" fontId="68" fillId="35" borderId="14" xfId="0" applyFont="1" applyFill="1" applyBorder="1" applyAlignment="1">
      <alignment horizontal="center" vertical="center" wrapText="1"/>
    </xf>
    <xf numFmtId="0" fontId="10" fillId="26" borderId="52" xfId="0" applyFont="1" applyFill="1" applyBorder="1" applyAlignment="1">
      <alignment horizontal="center" vertical="center" wrapText="1"/>
    </xf>
    <xf numFmtId="0" fontId="10" fillId="26" borderId="52" xfId="0" applyFont="1" applyFill="1" applyBorder="1" applyAlignment="1">
      <alignment horizontal="center" vertical="center"/>
    </xf>
    <xf numFmtId="0" fontId="10" fillId="26" borderId="34" xfId="0" applyFont="1" applyFill="1" applyBorder="1" applyAlignment="1">
      <alignment horizontal="center" vertical="center"/>
    </xf>
    <xf numFmtId="0" fontId="10" fillId="6" borderId="0" xfId="0" applyFont="1" applyFill="1" applyAlignment="1">
      <alignment horizontal="center" vertical="center" wrapText="1"/>
    </xf>
    <xf numFmtId="0" fontId="67" fillId="6" borderId="0" xfId="0" applyFont="1" applyFill="1" applyAlignment="1">
      <alignment horizontal="center" vertical="center"/>
    </xf>
    <xf numFmtId="0" fontId="48" fillId="6" borderId="0" xfId="0" applyFont="1" applyFill="1" applyAlignment="1">
      <alignment horizontal="center" vertical="center"/>
    </xf>
    <xf numFmtId="0" fontId="74" fillId="6" borderId="0" xfId="0" applyFont="1" applyFill="1" applyAlignment="1">
      <alignment horizontal="center" vertical="center" wrapText="1"/>
    </xf>
    <xf numFmtId="0" fontId="66" fillId="6" borderId="0" xfId="0" applyFont="1" applyFill="1" applyAlignment="1">
      <alignment horizontal="center" vertical="center" wrapText="1"/>
    </xf>
    <xf numFmtId="0" fontId="68" fillId="37" borderId="39" xfId="0" applyFont="1" applyFill="1" applyBorder="1" applyAlignment="1">
      <alignment horizontal="center" vertical="center" wrapText="1"/>
    </xf>
    <xf numFmtId="0" fontId="68" fillId="37" borderId="107" xfId="0" applyFont="1" applyFill="1" applyBorder="1" applyAlignment="1">
      <alignment horizontal="center" vertical="center" wrapText="1"/>
    </xf>
    <xf numFmtId="0" fontId="68" fillId="37" borderId="5" xfId="0" applyFont="1" applyFill="1" applyBorder="1" applyAlignment="1">
      <alignment horizontal="center" vertical="center" wrapText="1"/>
    </xf>
    <xf numFmtId="0" fontId="68" fillId="37" borderId="25" xfId="0" applyFont="1" applyFill="1" applyBorder="1" applyAlignment="1">
      <alignment horizontal="center" vertical="center" wrapText="1"/>
    </xf>
    <xf numFmtId="0" fontId="67" fillId="32" borderId="11" xfId="0" applyFont="1" applyFill="1" applyBorder="1" applyAlignment="1">
      <alignment horizontal="center" vertical="center" wrapText="1"/>
    </xf>
    <xf numFmtId="0" fontId="67" fillId="32" borderId="14" xfId="0" applyFont="1" applyFill="1" applyBorder="1" applyAlignment="1">
      <alignment horizontal="center" vertical="center" wrapText="1"/>
    </xf>
    <xf numFmtId="0" fontId="68" fillId="39" borderId="54" xfId="0" applyFont="1" applyFill="1" applyBorder="1" applyAlignment="1">
      <alignment horizontal="center" vertical="center" wrapText="1"/>
    </xf>
    <xf numFmtId="0" fontId="68" fillId="39" borderId="52" xfId="0" applyFont="1" applyFill="1" applyBorder="1" applyAlignment="1">
      <alignment horizontal="center" vertical="center" wrapText="1"/>
    </xf>
    <xf numFmtId="0" fontId="68" fillId="39" borderId="34" xfId="0" applyFont="1" applyFill="1" applyBorder="1" applyAlignment="1">
      <alignment horizontal="center" vertical="center" wrapText="1"/>
    </xf>
    <xf numFmtId="0" fontId="68" fillId="39" borderId="5" xfId="0" applyFont="1" applyFill="1" applyBorder="1" applyAlignment="1">
      <alignment horizontal="center" vertical="center" wrapText="1"/>
    </xf>
    <xf numFmtId="0" fontId="68" fillId="39" borderId="22" xfId="0" applyFont="1" applyFill="1" applyBorder="1" applyAlignment="1">
      <alignment horizontal="center" vertical="center" wrapText="1"/>
    </xf>
    <xf numFmtId="0" fontId="68" fillId="39" borderId="25" xfId="0" applyFont="1" applyFill="1" applyBorder="1" applyAlignment="1">
      <alignment horizontal="center" vertical="center" wrapText="1"/>
    </xf>
    <xf numFmtId="0" fontId="74" fillId="26" borderId="11" xfId="0" applyFont="1" applyFill="1" applyBorder="1" applyAlignment="1">
      <alignment horizontal="center" vertical="center" wrapText="1"/>
    </xf>
    <xf numFmtId="0" fontId="74" fillId="26" borderId="14" xfId="0" applyFont="1" applyFill="1" applyBorder="1" applyAlignment="1">
      <alignment horizontal="center" vertical="center" wrapText="1"/>
    </xf>
    <xf numFmtId="0" fontId="66" fillId="26" borderId="11" xfId="0" applyFont="1" applyFill="1" applyBorder="1" applyAlignment="1">
      <alignment horizontal="center" vertical="center" wrapText="1"/>
    </xf>
    <xf numFmtId="0" fontId="66" fillId="26" borderId="14" xfId="0" applyFont="1" applyFill="1" applyBorder="1" applyAlignment="1">
      <alignment horizontal="center" vertical="center" wrapText="1"/>
    </xf>
    <xf numFmtId="0" fontId="67" fillId="26" borderId="11" xfId="0" applyFont="1" applyFill="1" applyBorder="1" applyAlignment="1">
      <alignment horizontal="center" vertical="center" wrapText="1"/>
    </xf>
    <xf numFmtId="0" fontId="67" fillId="26" borderId="14" xfId="0" applyFont="1" applyFill="1" applyBorder="1" applyAlignment="1">
      <alignment horizontal="center" vertical="center" wrapText="1"/>
    </xf>
    <xf numFmtId="0" fontId="68" fillId="26" borderId="2" xfId="0" applyFont="1" applyFill="1" applyBorder="1" applyAlignment="1">
      <alignment horizontal="center" vertical="center" wrapText="1"/>
    </xf>
    <xf numFmtId="0" fontId="68" fillId="26" borderId="9" xfId="0" applyFont="1" applyFill="1" applyBorder="1" applyAlignment="1">
      <alignment horizontal="center" vertical="center" wrapText="1"/>
    </xf>
    <xf numFmtId="0" fontId="79" fillId="26" borderId="2" xfId="0" applyFont="1" applyFill="1" applyBorder="1" applyAlignment="1">
      <alignment horizontal="center" vertical="center" wrapText="1"/>
    </xf>
    <xf numFmtId="0" fontId="79" fillId="26" borderId="9" xfId="0" applyFont="1" applyFill="1" applyBorder="1" applyAlignment="1">
      <alignment horizontal="center" vertical="center" wrapText="1"/>
    </xf>
    <xf numFmtId="0" fontId="79" fillId="26" borderId="3"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7" fillId="38" borderId="29" xfId="0" applyFont="1" applyFill="1" applyBorder="1" applyAlignment="1">
      <alignment horizontal="center" vertical="center" wrapText="1"/>
    </xf>
    <xf numFmtId="0" fontId="67" fillId="32" borderId="51" xfId="0" applyFont="1" applyFill="1" applyBorder="1" applyAlignment="1">
      <alignment horizontal="center" vertical="center" wrapText="1"/>
    </xf>
    <xf numFmtId="0" fontId="68" fillId="35" borderId="27" xfId="0" applyFont="1" applyFill="1" applyBorder="1" applyAlignment="1">
      <alignment horizontal="center" vertical="center" wrapText="1"/>
    </xf>
    <xf numFmtId="0" fontId="66" fillId="26" borderId="27" xfId="0" applyFont="1" applyFill="1" applyBorder="1" applyAlignment="1">
      <alignment horizontal="center" vertical="center" wrapText="1"/>
    </xf>
    <xf numFmtId="0" fontId="10" fillId="26" borderId="27" xfId="0" applyFont="1" applyFill="1" applyBorder="1" applyAlignment="1">
      <alignment horizontal="center" vertical="center" wrapText="1"/>
    </xf>
    <xf numFmtId="0" fontId="68" fillId="37" borderId="54" xfId="0" applyFont="1" applyFill="1" applyBorder="1" applyAlignment="1">
      <alignment horizontal="center" vertical="center" wrapText="1"/>
    </xf>
    <xf numFmtId="0" fontId="68" fillId="37" borderId="52" xfId="0" applyFont="1" applyFill="1" applyBorder="1" applyAlignment="1">
      <alignment horizontal="center" vertical="center" wrapText="1"/>
    </xf>
    <xf numFmtId="0" fontId="68" fillId="37" borderId="76" xfId="0" applyFont="1" applyFill="1" applyBorder="1" applyAlignment="1">
      <alignment horizontal="center" vertical="center" wrapText="1"/>
    </xf>
    <xf numFmtId="0" fontId="68" fillId="37" borderId="4" xfId="0" applyFont="1" applyFill="1" applyBorder="1" applyAlignment="1">
      <alignment horizontal="center" vertical="center" wrapText="1"/>
    </xf>
    <xf numFmtId="0" fontId="68" fillId="36" borderId="76" xfId="0" applyFont="1" applyFill="1" applyBorder="1" applyAlignment="1">
      <alignment horizontal="center" vertical="center" wrapText="1"/>
    </xf>
    <xf numFmtId="0" fontId="68" fillId="36" borderId="4" xfId="0" applyFont="1" applyFill="1" applyBorder="1" applyAlignment="1">
      <alignment horizontal="center" vertical="center" wrapText="1"/>
    </xf>
    <xf numFmtId="0" fontId="68" fillId="36" borderId="173" xfId="0" applyFont="1" applyFill="1" applyBorder="1" applyAlignment="1">
      <alignment horizontal="center" vertical="center" wrapText="1"/>
    </xf>
    <xf numFmtId="0" fontId="67" fillId="26" borderId="54" xfId="0" applyFont="1" applyFill="1" applyBorder="1" applyAlignment="1">
      <alignment horizontal="center" vertical="center" wrapText="1"/>
    </xf>
    <xf numFmtId="0" fontId="67" fillId="26" borderId="52" xfId="0" applyFont="1" applyFill="1" applyBorder="1" applyAlignment="1">
      <alignment horizontal="center" vertical="center" wrapText="1"/>
    </xf>
    <xf numFmtId="0" fontId="67" fillId="26" borderId="76" xfId="0" applyFont="1" applyFill="1" applyBorder="1" applyAlignment="1">
      <alignment horizontal="center" vertical="center" wrapText="1"/>
    </xf>
    <xf numFmtId="0" fontId="67" fillId="26" borderId="4" xfId="0" applyFont="1" applyFill="1" applyBorder="1" applyAlignment="1">
      <alignment horizontal="center" vertical="center" wrapText="1"/>
    </xf>
    <xf numFmtId="0" fontId="67" fillId="26" borderId="27" xfId="0" applyFont="1" applyFill="1" applyBorder="1" applyAlignment="1">
      <alignment horizontal="center" vertical="center" wrapText="1"/>
    </xf>
    <xf numFmtId="0" fontId="68" fillId="37" borderId="34" xfId="0" applyFont="1" applyFill="1" applyBorder="1" applyAlignment="1">
      <alignment horizontal="center" vertical="center" wrapText="1"/>
    </xf>
    <xf numFmtId="0" fontId="68" fillId="37" borderId="22" xfId="0" applyFont="1" applyFill="1" applyBorder="1" applyAlignment="1">
      <alignment horizontal="center" vertical="center" wrapText="1"/>
    </xf>
    <xf numFmtId="0" fontId="2" fillId="2" borderId="32" xfId="0" applyFont="1" applyFill="1" applyBorder="1" applyAlignment="1">
      <alignment horizontal="right" vertical="center" wrapText="1"/>
    </xf>
    <xf numFmtId="0" fontId="2" fillId="2" borderId="33" xfId="0" applyFont="1" applyFill="1" applyBorder="1" applyAlignment="1">
      <alignment horizontal="right" vertical="center" wrapText="1"/>
    </xf>
    <xf numFmtId="167" fontId="2" fillId="2" borderId="50" xfId="0" applyNumberFormat="1" applyFont="1" applyFill="1" applyBorder="1" applyAlignment="1">
      <alignment horizontal="center" vertical="center" wrapText="1"/>
    </xf>
    <xf numFmtId="167" fontId="2" fillId="2" borderId="45" xfId="0" applyNumberFormat="1" applyFont="1" applyFill="1" applyBorder="1" applyAlignment="1">
      <alignment horizontal="center" vertical="center" wrapText="1"/>
    </xf>
    <xf numFmtId="0" fontId="66" fillId="12" borderId="66" xfId="0" applyFont="1" applyFill="1" applyBorder="1" applyAlignment="1">
      <alignment horizontal="center" vertical="center" wrapText="1"/>
    </xf>
    <xf numFmtId="0" fontId="66" fillId="12" borderId="191" xfId="0" applyFont="1" applyFill="1" applyBorder="1" applyAlignment="1">
      <alignment horizontal="center" vertical="center" wrapText="1"/>
    </xf>
    <xf numFmtId="0" fontId="66" fillId="12" borderId="47" xfId="0" applyFont="1" applyFill="1" applyBorder="1" applyAlignment="1">
      <alignment horizontal="center" vertical="center" wrapText="1"/>
    </xf>
    <xf numFmtId="0" fontId="66" fillId="12" borderId="79" xfId="0" applyFont="1" applyFill="1" applyBorder="1" applyAlignment="1">
      <alignment horizontal="center" vertical="center" wrapText="1"/>
    </xf>
    <xf numFmtId="0" fontId="10" fillId="26" borderId="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18" xfId="0" applyFont="1" applyFill="1" applyBorder="1" applyAlignment="1">
      <alignment horizontal="center" vertical="center" wrapText="1"/>
    </xf>
    <xf numFmtId="0" fontId="47" fillId="38" borderId="17" xfId="0" applyFont="1" applyFill="1" applyBorder="1" applyAlignment="1">
      <alignment horizontal="center" vertical="center" wrapText="1"/>
    </xf>
    <xf numFmtId="0" fontId="47" fillId="38" borderId="2" xfId="0" applyFont="1" applyFill="1" applyBorder="1" applyAlignment="1">
      <alignment horizontal="center" vertical="center" wrapText="1"/>
    </xf>
    <xf numFmtId="0" fontId="47" fillId="38" borderId="9" xfId="0" applyFont="1" applyFill="1" applyBorder="1" applyAlignment="1">
      <alignment horizontal="center" vertical="center" wrapText="1"/>
    </xf>
    <xf numFmtId="0" fontId="47" fillId="38" borderId="3"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10" fillId="26" borderId="39" xfId="0" applyFont="1" applyFill="1" applyBorder="1" applyAlignment="1">
      <alignment horizontal="center" vertical="center" wrapText="1"/>
    </xf>
    <xf numFmtId="0" fontId="68" fillId="36" borderId="39" xfId="0" applyFont="1" applyFill="1" applyBorder="1" applyAlignment="1">
      <alignment horizontal="center" vertical="center" wrapText="1"/>
    </xf>
    <xf numFmtId="0" fontId="68" fillId="36" borderId="0" xfId="0" applyFont="1" applyFill="1" applyAlignment="1">
      <alignment horizontal="center" vertical="center" wrapText="1"/>
    </xf>
    <xf numFmtId="0" fontId="68" fillId="36" borderId="107" xfId="0" applyFont="1" applyFill="1" applyBorder="1" applyAlignment="1">
      <alignment horizontal="center" vertical="center" wrapText="1"/>
    </xf>
    <xf numFmtId="0" fontId="67" fillId="32" borderId="23" xfId="0" applyFont="1" applyFill="1" applyBorder="1" applyAlignment="1">
      <alignment horizontal="center" vertical="center" wrapText="1"/>
    </xf>
    <xf numFmtId="0" fontId="68" fillId="35" borderId="54" xfId="0" applyFont="1" applyFill="1" applyBorder="1" applyAlignment="1">
      <alignment horizontal="center" vertical="center" wrapText="1"/>
    </xf>
    <xf numFmtId="0" fontId="68" fillId="35" borderId="5" xfId="0" applyFont="1" applyFill="1" applyBorder="1" applyAlignment="1">
      <alignment horizontal="center" vertical="center" wrapText="1"/>
    </xf>
    <xf numFmtId="0" fontId="10" fillId="12" borderId="39" xfId="0" applyFont="1" applyFill="1" applyBorder="1" applyAlignment="1">
      <alignment horizontal="center" vertical="center" wrapText="1"/>
    </xf>
    <xf numFmtId="0" fontId="10" fillId="12" borderId="0" xfId="0" applyFont="1" applyFill="1" applyAlignment="1">
      <alignment horizontal="center" vertical="center" wrapText="1"/>
    </xf>
    <xf numFmtId="0" fontId="10" fillId="12" borderId="19"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26" borderId="0" xfId="0" applyFont="1" applyFill="1" applyAlignment="1">
      <alignment horizontal="center" vertical="center" wrapText="1"/>
    </xf>
    <xf numFmtId="0" fontId="47" fillId="38" borderId="11" xfId="0" applyFont="1" applyFill="1" applyBorder="1" applyAlignment="1">
      <alignment horizontal="center" vertical="center" wrapText="1"/>
    </xf>
    <xf numFmtId="0" fontId="47" fillId="38" borderId="14" xfId="0" applyFont="1" applyFill="1" applyBorder="1" applyAlignment="1">
      <alignment horizontal="center" vertical="center" wrapText="1"/>
    </xf>
    <xf numFmtId="0" fontId="0" fillId="2" borderId="2" xfId="0" applyFill="1" applyBorder="1" applyAlignment="1">
      <alignment horizontal="center"/>
    </xf>
    <xf numFmtId="0" fontId="0" fillId="2" borderId="9" xfId="0" applyFill="1" applyBorder="1" applyAlignment="1">
      <alignment horizontal="center"/>
    </xf>
    <xf numFmtId="0" fontId="67" fillId="26" borderId="39" xfId="0" applyFont="1" applyFill="1" applyBorder="1" applyAlignment="1">
      <alignment horizontal="center" vertical="center" wrapText="1"/>
    </xf>
    <xf numFmtId="0" fontId="68" fillId="37" borderId="11" xfId="0" applyFont="1" applyFill="1" applyBorder="1" applyAlignment="1">
      <alignment horizontal="center" vertical="center" wrapText="1"/>
    </xf>
    <xf numFmtId="0" fontId="68" fillId="37" borderId="23" xfId="0" applyFont="1" applyFill="1" applyBorder="1" applyAlignment="1">
      <alignment horizontal="center" vertical="center" wrapText="1"/>
    </xf>
    <xf numFmtId="0" fontId="68" fillId="35" borderId="2" xfId="0" applyFont="1" applyFill="1" applyBorder="1" applyAlignment="1">
      <alignment horizontal="center" vertical="center" wrapText="1"/>
    </xf>
    <xf numFmtId="0" fontId="67" fillId="26" borderId="0" xfId="0" applyFont="1" applyFill="1" applyAlignment="1">
      <alignment horizontal="center" vertical="center" wrapText="1"/>
    </xf>
    <xf numFmtId="0" fontId="47" fillId="38" borderId="23" xfId="0" applyFont="1" applyFill="1" applyBorder="1" applyAlignment="1">
      <alignment horizontal="center" vertical="center" wrapText="1"/>
    </xf>
    <xf numFmtId="0" fontId="14" fillId="44" borderId="10" xfId="0" applyFont="1" applyFill="1" applyBorder="1" applyAlignment="1">
      <alignment horizontal="left" vertical="center" wrapText="1"/>
    </xf>
    <xf numFmtId="0" fontId="14" fillId="44" borderId="12" xfId="0" applyFont="1" applyFill="1" applyBorder="1" applyAlignment="1">
      <alignment horizontal="left" vertical="center" wrapText="1"/>
    </xf>
    <xf numFmtId="0" fontId="14" fillId="44" borderId="13" xfId="0" applyFont="1" applyFill="1" applyBorder="1" applyAlignment="1">
      <alignment horizontal="left" vertical="center" wrapText="1"/>
    </xf>
    <xf numFmtId="0" fontId="14" fillId="45" borderId="10" xfId="0" applyFont="1" applyFill="1" applyBorder="1" applyAlignment="1">
      <alignment horizontal="left" vertical="center" wrapText="1"/>
    </xf>
    <xf numFmtId="0" fontId="14" fillId="45" borderId="12" xfId="0" applyFont="1" applyFill="1" applyBorder="1" applyAlignment="1">
      <alignment horizontal="left" vertical="center" wrapText="1"/>
    </xf>
    <xf numFmtId="0" fontId="14" fillId="45" borderId="13" xfId="0" applyFont="1" applyFill="1" applyBorder="1" applyAlignment="1">
      <alignment horizontal="left" vertical="center" wrapText="1"/>
    </xf>
    <xf numFmtId="0" fontId="48" fillId="12" borderId="83" xfId="0" applyFont="1" applyFill="1" applyBorder="1" applyAlignment="1">
      <alignment horizontal="center" vertical="center" wrapText="1"/>
    </xf>
    <xf numFmtId="0" fontId="48" fillId="12" borderId="84" xfId="0" applyFont="1" applyFill="1" applyBorder="1" applyAlignment="1">
      <alignment horizontal="center" vertical="center" wrapText="1"/>
    </xf>
    <xf numFmtId="0" fontId="48" fillId="12" borderId="85" xfId="0" applyFont="1" applyFill="1" applyBorder="1" applyAlignment="1">
      <alignment horizontal="center" vertical="center" wrapText="1"/>
    </xf>
    <xf numFmtId="0" fontId="48" fillId="26" borderId="83" xfId="0" applyFont="1" applyFill="1" applyBorder="1" applyAlignment="1">
      <alignment horizontal="center" vertical="center" wrapText="1"/>
    </xf>
    <xf numFmtId="0" fontId="48" fillId="26" borderId="84" xfId="0" applyFont="1" applyFill="1" applyBorder="1" applyAlignment="1">
      <alignment horizontal="center" vertical="center" wrapText="1"/>
    </xf>
    <xf numFmtId="0" fontId="48" fillId="26" borderId="85" xfId="0" applyFont="1" applyFill="1" applyBorder="1" applyAlignment="1">
      <alignment horizontal="center" vertical="center" wrapText="1"/>
    </xf>
    <xf numFmtId="0" fontId="47" fillId="38" borderId="115" xfId="0" applyFont="1" applyFill="1" applyBorder="1" applyAlignment="1">
      <alignment horizontal="center" vertical="center" wrapText="1"/>
    </xf>
    <xf numFmtId="0" fontId="47" fillId="38" borderId="126" xfId="0" applyFont="1" applyFill="1" applyBorder="1" applyAlignment="1">
      <alignment horizontal="center" vertical="center" wrapText="1"/>
    </xf>
    <xf numFmtId="0" fontId="13" fillId="38" borderId="85" xfId="0" applyFont="1" applyFill="1" applyBorder="1" applyAlignment="1">
      <alignment horizontal="center" vertical="center" wrapText="1"/>
    </xf>
    <xf numFmtId="0" fontId="13" fillId="38" borderId="90" xfId="0" applyFont="1" applyFill="1" applyBorder="1" applyAlignment="1">
      <alignment horizontal="center" vertical="center" wrapText="1"/>
    </xf>
    <xf numFmtId="0" fontId="99" fillId="47" borderId="122" xfId="0" applyFont="1" applyFill="1" applyBorder="1" applyAlignment="1">
      <alignment horizontal="center" vertical="center" wrapText="1"/>
    </xf>
    <xf numFmtId="0" fontId="99" fillId="47" borderId="131" xfId="0" applyFont="1" applyFill="1" applyBorder="1" applyAlignment="1">
      <alignment horizontal="center" vertical="center" wrapText="1"/>
    </xf>
    <xf numFmtId="0" fontId="99" fillId="29" borderId="90" xfId="0" applyFont="1" applyFill="1" applyBorder="1" applyAlignment="1">
      <alignment horizontal="center" vertical="center" wrapText="1"/>
    </xf>
    <xf numFmtId="0" fontId="99" fillId="29" borderId="134" xfId="0" applyFont="1" applyFill="1" applyBorder="1" applyAlignment="1">
      <alignment horizontal="center" vertical="center" wrapText="1"/>
    </xf>
    <xf numFmtId="0" fontId="67" fillId="26" borderId="5" xfId="0" applyFont="1" applyFill="1" applyBorder="1" applyAlignment="1">
      <alignment horizontal="center" vertical="center" wrapText="1"/>
    </xf>
    <xf numFmtId="0" fontId="67" fillId="26" borderId="22" xfId="0" applyFont="1" applyFill="1" applyBorder="1" applyAlignment="1">
      <alignment horizontal="center" vertical="center" wrapText="1"/>
    </xf>
    <xf numFmtId="0" fontId="68" fillId="37" borderId="8" xfId="0" applyFont="1" applyFill="1" applyBorder="1" applyAlignment="1">
      <alignment horizontal="center" vertical="center" wrapText="1"/>
    </xf>
    <xf numFmtId="0" fontId="68" fillId="37" borderId="0" xfId="0" applyFont="1" applyFill="1" applyAlignment="1">
      <alignment horizontal="center" vertical="center" wrapText="1"/>
    </xf>
    <xf numFmtId="0" fontId="68" fillId="37" borderId="14" xfId="0" applyFont="1" applyFill="1" applyBorder="1" applyAlignment="1">
      <alignment horizontal="center" vertical="center" wrapText="1"/>
    </xf>
    <xf numFmtId="0" fontId="73" fillId="37" borderId="14" xfId="0" applyFont="1" applyFill="1" applyBorder="1" applyAlignment="1">
      <alignment horizontal="center" vertical="center" wrapText="1"/>
    </xf>
    <xf numFmtId="0" fontId="48" fillId="26" borderId="3" xfId="0" applyFont="1" applyFill="1" applyBorder="1" applyAlignment="1">
      <alignment horizontal="center" vertical="center" wrapText="1"/>
    </xf>
    <xf numFmtId="0" fontId="73" fillId="49" borderId="14" xfId="0" applyFont="1" applyFill="1" applyBorder="1" applyAlignment="1">
      <alignment horizontal="center" vertical="center" wrapText="1"/>
    </xf>
    <xf numFmtId="0" fontId="48" fillId="26" borderId="48" xfId="0" applyFont="1" applyFill="1" applyBorder="1" applyAlignment="1">
      <alignment horizontal="center" vertical="center" wrapText="1"/>
    </xf>
    <xf numFmtId="0" fontId="48" fillId="26" borderId="46" xfId="0" applyFont="1" applyFill="1" applyBorder="1" applyAlignment="1">
      <alignment horizontal="center" vertical="center" wrapText="1"/>
    </xf>
    <xf numFmtId="0" fontId="48" fillId="26" borderId="49" xfId="0" applyFont="1" applyFill="1" applyBorder="1" applyAlignment="1">
      <alignment horizontal="center" vertical="center" wrapText="1"/>
    </xf>
    <xf numFmtId="0" fontId="48" fillId="26" borderId="16" xfId="0" applyFont="1" applyFill="1" applyBorder="1" applyAlignment="1">
      <alignment horizontal="center" vertical="center" wrapText="1"/>
    </xf>
    <xf numFmtId="0" fontId="48" fillId="26" borderId="1" xfId="0" applyFont="1" applyFill="1" applyBorder="1" applyAlignment="1">
      <alignment horizontal="center" vertical="center" wrapText="1"/>
    </xf>
    <xf numFmtId="0" fontId="48" fillId="26" borderId="15" xfId="0" applyFont="1" applyFill="1" applyBorder="1" applyAlignment="1">
      <alignment horizontal="center" vertical="center" wrapText="1"/>
    </xf>
    <xf numFmtId="0" fontId="67" fillId="32" borderId="34" xfId="0" applyFont="1" applyFill="1" applyBorder="1" applyAlignment="1">
      <alignment horizontal="center" vertical="center" wrapText="1"/>
    </xf>
    <xf numFmtId="0" fontId="67" fillId="32" borderId="107" xfId="0" applyFont="1" applyFill="1" applyBorder="1" applyAlignment="1">
      <alignment horizontal="center" vertical="center" wrapText="1"/>
    </xf>
    <xf numFmtId="0" fontId="73" fillId="39" borderId="4" xfId="0" applyFont="1" applyFill="1" applyBorder="1" applyAlignment="1">
      <alignment horizontal="center" vertical="center" wrapText="1"/>
    </xf>
    <xf numFmtId="0" fontId="73" fillId="39" borderId="21" xfId="0" applyFont="1" applyFill="1" applyBorder="1" applyAlignment="1">
      <alignment horizontal="center" vertical="center" wrapText="1"/>
    </xf>
    <xf numFmtId="0" fontId="73" fillId="39" borderId="39" xfId="0" applyFont="1" applyFill="1" applyBorder="1" applyAlignment="1">
      <alignment horizontal="center" vertical="center" wrapText="1"/>
    </xf>
    <xf numFmtId="0" fontId="73" fillId="39" borderId="0" xfId="0" applyFont="1" applyFill="1" applyAlignment="1">
      <alignment horizontal="center" vertical="center" wrapText="1"/>
    </xf>
    <xf numFmtId="0" fontId="73" fillId="39" borderId="19" xfId="0" applyFont="1" applyFill="1" applyBorder="1" applyAlignment="1">
      <alignment horizontal="center" vertical="center" wrapText="1"/>
    </xf>
    <xf numFmtId="0" fontId="105" fillId="44" borderId="20" xfId="0" applyFont="1" applyFill="1" applyBorder="1" applyAlignment="1">
      <alignment horizontal="left" vertical="center" wrapText="1"/>
    </xf>
    <xf numFmtId="0" fontId="105" fillId="44" borderId="4" xfId="0" applyFont="1" applyFill="1" applyBorder="1" applyAlignment="1">
      <alignment horizontal="left" vertical="center" wrapText="1"/>
    </xf>
    <xf numFmtId="0" fontId="105" fillId="44" borderId="21" xfId="0" applyFont="1" applyFill="1" applyBorder="1" applyAlignment="1">
      <alignment horizontal="left" vertical="center" wrapText="1"/>
    </xf>
    <xf numFmtId="0" fontId="0" fillId="44" borderId="10" xfId="0" applyFill="1" applyBorder="1" applyAlignment="1">
      <alignment horizontal="left" vertical="center" wrapText="1"/>
    </xf>
    <xf numFmtId="0" fontId="0" fillId="44" borderId="12" xfId="0" applyFill="1" applyBorder="1" applyAlignment="1">
      <alignment horizontal="left" vertical="center" wrapText="1"/>
    </xf>
    <xf numFmtId="0" fontId="0" fillId="44" borderId="13" xfId="0" applyFill="1" applyBorder="1" applyAlignment="1">
      <alignment horizontal="left" vertical="center" wrapText="1"/>
    </xf>
    <xf numFmtId="0" fontId="47" fillId="47" borderId="1" xfId="0" applyFont="1" applyFill="1" applyBorder="1" applyAlignment="1">
      <alignment horizontal="center" vertical="center" wrapText="1"/>
    </xf>
    <xf numFmtId="0" fontId="68" fillId="36" borderId="2" xfId="0" applyFont="1" applyFill="1" applyBorder="1" applyAlignment="1">
      <alignment horizontal="center" vertical="center" wrapText="1"/>
    </xf>
    <xf numFmtId="0" fontId="67" fillId="32" borderId="1" xfId="0" applyFont="1" applyFill="1" applyBorder="1" applyAlignment="1">
      <alignment horizontal="center" vertical="center" wrapText="1"/>
    </xf>
    <xf numFmtId="0" fontId="67" fillId="32" borderId="3" xfId="0" applyFont="1" applyFill="1" applyBorder="1" applyAlignment="1">
      <alignment horizontal="center" vertical="center" wrapText="1"/>
    </xf>
    <xf numFmtId="0" fontId="73" fillId="37" borderId="48" xfId="0" applyFont="1" applyFill="1" applyBorder="1" applyAlignment="1">
      <alignment horizontal="center" vertical="center" wrapText="1"/>
    </xf>
    <xf numFmtId="0" fontId="73" fillId="37" borderId="46" xfId="0" applyFont="1" applyFill="1" applyBorder="1" applyAlignment="1">
      <alignment horizontal="center" vertical="center" wrapText="1"/>
    </xf>
    <xf numFmtId="0" fontId="73" fillId="37" borderId="49" xfId="0" applyFont="1" applyFill="1" applyBorder="1" applyAlignment="1">
      <alignment horizontal="center" vertical="center" wrapText="1"/>
    </xf>
    <xf numFmtId="0" fontId="66" fillId="26" borderId="39"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107" xfId="0" applyFont="1" applyFill="1" applyBorder="1" applyAlignment="1">
      <alignment horizontal="center" vertical="center" wrapText="1"/>
    </xf>
    <xf numFmtId="0" fontId="67" fillId="6" borderId="39" xfId="0" applyFont="1" applyFill="1" applyBorder="1" applyAlignment="1">
      <alignment horizontal="center" vertical="center" wrapText="1"/>
    </xf>
    <xf numFmtId="0" fontId="67" fillId="6" borderId="0" xfId="0" applyFont="1" applyFill="1" applyAlignment="1">
      <alignment horizontal="center" vertical="center" wrapText="1"/>
    </xf>
    <xf numFmtId="0" fontId="48" fillId="26" borderId="20" xfId="0" applyFont="1" applyFill="1" applyBorder="1" applyAlignment="1">
      <alignment horizontal="center" vertical="center" wrapText="1"/>
    </xf>
    <xf numFmtId="0" fontId="48" fillId="26" borderId="4" xfId="0" applyFont="1" applyFill="1" applyBorder="1" applyAlignment="1">
      <alignment horizontal="center" vertical="center" wrapText="1"/>
    </xf>
    <xf numFmtId="0" fontId="48" fillId="26" borderId="21" xfId="0" applyFont="1" applyFill="1" applyBorder="1" applyAlignment="1">
      <alignment horizontal="center" vertical="center" wrapText="1"/>
    </xf>
    <xf numFmtId="0" fontId="48" fillId="26" borderId="0" xfId="0" applyFont="1" applyFill="1" applyAlignment="1">
      <alignment horizontal="center" vertical="center" wrapText="1"/>
    </xf>
    <xf numFmtId="0" fontId="48" fillId="26" borderId="87" xfId="0" applyFont="1" applyFill="1" applyBorder="1" applyAlignment="1">
      <alignment horizontal="center" vertical="center" wrapText="1"/>
    </xf>
    <xf numFmtId="0" fontId="104" fillId="44" borderId="6" xfId="0" applyFont="1" applyFill="1" applyBorder="1" applyAlignment="1">
      <alignment horizontal="left" vertical="center"/>
    </xf>
    <xf numFmtId="0" fontId="104" fillId="44" borderId="7" xfId="0" applyFont="1" applyFill="1" applyBorder="1" applyAlignment="1">
      <alignment horizontal="left" vertical="center"/>
    </xf>
    <xf numFmtId="0" fontId="104" fillId="44" borderId="18" xfId="0" applyFont="1" applyFill="1" applyBorder="1" applyAlignment="1">
      <alignment horizontal="left" vertical="center"/>
    </xf>
    <xf numFmtId="0" fontId="66" fillId="26" borderId="3" xfId="0" applyFont="1" applyFill="1" applyBorder="1" applyAlignment="1">
      <alignment horizontal="center" vertical="center" wrapText="1"/>
    </xf>
    <xf numFmtId="0" fontId="68" fillId="39" borderId="1" xfId="0" applyFont="1" applyFill="1" applyBorder="1" applyAlignment="1">
      <alignment horizontal="center" vertical="center" wrapText="1"/>
    </xf>
    <xf numFmtId="0" fontId="67" fillId="26" borderId="2" xfId="0" applyFont="1" applyFill="1" applyBorder="1" applyAlignment="1">
      <alignment horizontal="center" vertical="center" wrapText="1"/>
    </xf>
    <xf numFmtId="0" fontId="79" fillId="26" borderId="48" xfId="0" applyFont="1" applyFill="1" applyBorder="1" applyAlignment="1">
      <alignment horizontal="center" vertical="center" wrapText="1"/>
    </xf>
    <xf numFmtId="0" fontId="79" fillId="26" borderId="46" xfId="0" applyFont="1" applyFill="1" applyBorder="1" applyAlignment="1">
      <alignment horizontal="center" vertical="center" wrapText="1"/>
    </xf>
    <xf numFmtId="0" fontId="79" fillId="26" borderId="49" xfId="0" applyFont="1" applyFill="1" applyBorder="1" applyAlignment="1">
      <alignment horizontal="center" vertical="center" wrapText="1"/>
    </xf>
    <xf numFmtId="0" fontId="133" fillId="65" borderId="48" xfId="0" applyFont="1" applyFill="1" applyBorder="1" applyAlignment="1">
      <alignment horizontal="center" vertical="center" wrapText="1"/>
    </xf>
    <xf numFmtId="0" fontId="133" fillId="65" borderId="46" xfId="0" applyFont="1" applyFill="1" applyBorder="1" applyAlignment="1">
      <alignment horizontal="center" vertical="center" wrapText="1"/>
    </xf>
    <xf numFmtId="0" fontId="133" fillId="65" borderId="49" xfId="0" applyFont="1" applyFill="1" applyBorder="1" applyAlignment="1">
      <alignment horizontal="center" vertical="center" wrapText="1"/>
    </xf>
    <xf numFmtId="0" fontId="146" fillId="8" borderId="36" xfId="0" applyFont="1" applyFill="1" applyBorder="1" applyAlignment="1">
      <alignment horizontal="center" vertical="center" wrapText="1"/>
    </xf>
    <xf numFmtId="0" fontId="146" fillId="8" borderId="216" xfId="0" applyFont="1" applyFill="1" applyBorder="1" applyAlignment="1">
      <alignment horizontal="center" vertical="center" wrapText="1"/>
    </xf>
    <xf numFmtId="0" fontId="85" fillId="6" borderId="0" xfId="0" applyFont="1" applyFill="1" applyAlignment="1" applyProtection="1">
      <alignment horizontal="center" vertical="center" wrapText="1"/>
      <protection hidden="1"/>
    </xf>
    <xf numFmtId="169" fontId="49" fillId="6" borderId="0" xfId="1" applyNumberFormat="1" applyFont="1" applyFill="1" applyBorder="1" applyAlignment="1" applyProtection="1">
      <alignment horizontal="center" vertical="center"/>
      <protection hidden="1"/>
    </xf>
    <xf numFmtId="0" fontId="127" fillId="6" borderId="0" xfId="0" applyFont="1" applyFill="1" applyAlignment="1" applyProtection="1">
      <alignment horizontal="center" vertical="center"/>
      <protection hidden="1"/>
    </xf>
    <xf numFmtId="0" fontId="117" fillId="26" borderId="6" xfId="0" applyFont="1" applyFill="1" applyBorder="1" applyAlignment="1">
      <alignment horizontal="center" vertical="center" wrapText="1"/>
    </xf>
    <xf numFmtId="0" fontId="117" fillId="26" borderId="7" xfId="0" applyFont="1" applyFill="1" applyBorder="1" applyAlignment="1">
      <alignment horizontal="center" vertical="center" wrapText="1"/>
    </xf>
    <xf numFmtId="0" fontId="117" fillId="26" borderId="18" xfId="0" applyFont="1" applyFill="1" applyBorder="1" applyAlignment="1">
      <alignment horizontal="center" vertical="center" wrapText="1"/>
    </xf>
    <xf numFmtId="20" fontId="24" fillId="6" borderId="0" xfId="0" applyNumberFormat="1" applyFont="1" applyFill="1" applyAlignment="1">
      <alignment horizontal="center" vertical="center" wrapText="1"/>
    </xf>
    <xf numFmtId="20" fontId="24" fillId="29" borderId="10" xfId="0" applyNumberFormat="1" applyFont="1" applyFill="1" applyBorder="1" applyAlignment="1">
      <alignment horizontal="center" vertical="center" wrapText="1"/>
    </xf>
    <xf numFmtId="20" fontId="24" fillId="29" borderId="12" xfId="0" applyNumberFormat="1" applyFont="1" applyFill="1" applyBorder="1" applyAlignment="1">
      <alignment horizontal="center" vertical="center" wrapText="1"/>
    </xf>
    <xf numFmtId="20" fontId="24" fillId="29" borderId="13" xfId="0" applyNumberFormat="1" applyFont="1" applyFill="1" applyBorder="1" applyAlignment="1">
      <alignment horizontal="center" vertical="center" wrapText="1"/>
    </xf>
    <xf numFmtId="0" fontId="85" fillId="9" borderId="69" xfId="0" applyFont="1" applyFill="1" applyBorder="1" applyAlignment="1">
      <alignment horizontal="center" vertical="center" wrapText="1"/>
    </xf>
    <xf numFmtId="0" fontId="85" fillId="9" borderId="2" xfId="0" applyFont="1" applyFill="1" applyBorder="1" applyAlignment="1">
      <alignment horizontal="center" vertical="center" wrapText="1"/>
    </xf>
    <xf numFmtId="169" fontId="85" fillId="9" borderId="48" xfId="0" applyNumberFormat="1" applyFont="1" applyFill="1" applyBorder="1" applyAlignment="1">
      <alignment horizontal="center" vertical="center" wrapText="1"/>
    </xf>
    <xf numFmtId="169" fontId="85" fillId="9" borderId="26" xfId="0" applyNumberFormat="1" applyFont="1" applyFill="1" applyBorder="1" applyAlignment="1">
      <alignment horizontal="center" vertical="center" wrapText="1"/>
    </xf>
    <xf numFmtId="9" fontId="24" fillId="9" borderId="46" xfId="1" applyFont="1" applyFill="1" applyBorder="1" applyAlignment="1" applyProtection="1">
      <alignment horizontal="center" vertical="center" wrapText="1"/>
      <protection hidden="1"/>
    </xf>
    <xf numFmtId="9" fontId="24" fillId="9" borderId="27" xfId="1" applyFont="1" applyFill="1" applyBorder="1" applyAlignment="1" applyProtection="1">
      <alignment horizontal="center" vertical="center" wrapText="1"/>
      <protection hidden="1"/>
    </xf>
    <xf numFmtId="169" fontId="71" fillId="6" borderId="0" xfId="0" applyNumberFormat="1" applyFont="1" applyFill="1" applyAlignment="1">
      <alignment horizontal="center" vertical="center" wrapText="1"/>
    </xf>
    <xf numFmtId="0" fontId="81" fillId="6" borderId="0" xfId="0" applyFont="1" applyFill="1" applyAlignment="1">
      <alignment horizontal="center" vertical="center" wrapText="1"/>
    </xf>
    <xf numFmtId="0" fontId="24" fillId="9" borderId="47" xfId="0" applyFont="1" applyFill="1" applyBorder="1" applyAlignment="1" applyProtection="1">
      <alignment horizontal="center" vertical="center" wrapText="1"/>
      <protection hidden="1"/>
    </xf>
    <xf numFmtId="0" fontId="24" fillId="9" borderId="51" xfId="0" applyFont="1" applyFill="1" applyBorder="1" applyAlignment="1" applyProtection="1">
      <alignment horizontal="center" vertical="center" wrapText="1"/>
      <protection hidden="1"/>
    </xf>
    <xf numFmtId="0" fontId="24" fillId="9" borderId="79" xfId="0" applyFont="1" applyFill="1" applyBorder="1" applyAlignment="1" applyProtection="1">
      <alignment horizontal="center" vertical="center" wrapText="1"/>
      <protection hidden="1"/>
    </xf>
    <xf numFmtId="0" fontId="24" fillId="9" borderId="68" xfId="0" applyFont="1" applyFill="1" applyBorder="1" applyAlignment="1" applyProtection="1">
      <alignment horizontal="center" vertical="center" wrapText="1"/>
      <protection hidden="1"/>
    </xf>
    <xf numFmtId="0" fontId="136" fillId="64" borderId="47" xfId="0" applyFont="1" applyFill="1" applyBorder="1" applyAlignment="1">
      <alignment horizontal="center" vertical="center" wrapText="1"/>
    </xf>
    <xf numFmtId="0" fontId="136" fillId="64" borderId="14" xfId="0" applyFont="1" applyFill="1" applyBorder="1" applyAlignment="1">
      <alignment horizontal="center" vertical="center" wrapText="1"/>
    </xf>
    <xf numFmtId="0" fontId="136" fillId="64" borderId="79" xfId="0" applyFont="1" applyFill="1" applyBorder="1" applyAlignment="1">
      <alignment horizontal="center" vertical="center" wrapText="1"/>
    </xf>
    <xf numFmtId="0" fontId="136" fillId="64" borderId="30" xfId="0" applyFont="1" applyFill="1" applyBorder="1" applyAlignment="1">
      <alignment horizontal="center" vertical="center" wrapText="1"/>
    </xf>
    <xf numFmtId="0" fontId="88" fillId="54" borderId="6" xfId="0" applyFont="1" applyFill="1" applyBorder="1" applyAlignment="1">
      <alignment horizontal="center" vertical="center" wrapText="1"/>
    </xf>
    <xf numFmtId="0" fontId="88" fillId="54" borderId="7" xfId="0" applyFont="1" applyFill="1" applyBorder="1" applyAlignment="1">
      <alignment horizontal="center" vertical="center" wrapText="1"/>
    </xf>
    <xf numFmtId="0" fontId="88" fillId="54" borderId="18" xfId="0" applyFont="1" applyFill="1" applyBorder="1" applyAlignment="1">
      <alignment horizontal="center" vertical="center" wrapText="1"/>
    </xf>
    <xf numFmtId="20" fontId="112" fillId="40" borderId="10" xfId="0" applyNumberFormat="1" applyFont="1" applyFill="1" applyBorder="1" applyAlignment="1">
      <alignment horizontal="center" vertical="center" wrapText="1"/>
    </xf>
    <xf numFmtId="20" fontId="112" fillId="40" borderId="12" xfId="0" applyNumberFormat="1" applyFont="1" applyFill="1" applyBorder="1" applyAlignment="1">
      <alignment horizontal="center" vertical="center" wrapText="1"/>
    </xf>
    <xf numFmtId="20" fontId="112" fillId="40" borderId="13" xfId="0" applyNumberFormat="1" applyFont="1" applyFill="1" applyBorder="1" applyAlignment="1">
      <alignment horizontal="center" vertical="center" wrapText="1"/>
    </xf>
    <xf numFmtId="0" fontId="76" fillId="40" borderId="10" xfId="0" applyFont="1" applyFill="1" applyBorder="1" applyAlignment="1">
      <alignment horizontal="center" vertical="center" wrapText="1"/>
    </xf>
    <xf numFmtId="0" fontId="76" fillId="40" borderId="12" xfId="0" applyFont="1" applyFill="1" applyBorder="1" applyAlignment="1">
      <alignment horizontal="center" vertical="center" wrapText="1"/>
    </xf>
    <xf numFmtId="169" fontId="71" fillId="40" borderId="1" xfId="0" applyNumberFormat="1" applyFont="1" applyFill="1" applyBorder="1" applyAlignment="1">
      <alignment horizontal="center" vertical="center" wrapText="1"/>
    </xf>
    <xf numFmtId="0" fontId="96" fillId="0" borderId="0" xfId="0" applyFont="1" applyAlignment="1">
      <alignment horizontal="center" vertical="center"/>
    </xf>
    <xf numFmtId="0" fontId="24" fillId="6" borderId="8" xfId="0" applyFont="1" applyFill="1" applyBorder="1" applyAlignment="1">
      <alignment horizontal="center" vertical="center" wrapText="1"/>
    </xf>
    <xf numFmtId="0" fontId="24" fillId="6" borderId="0" xfId="0" applyFont="1" applyFill="1" applyAlignment="1">
      <alignment horizontal="center" vertical="center" wrapText="1"/>
    </xf>
    <xf numFmtId="20" fontId="23" fillId="48" borderId="1" xfId="0" applyNumberFormat="1" applyFont="1" applyFill="1" applyBorder="1" applyAlignment="1">
      <alignment horizontal="center" vertical="center" wrapText="1"/>
    </xf>
    <xf numFmtId="0" fontId="48" fillId="0" borderId="0" xfId="0" applyFont="1" applyAlignment="1">
      <alignment horizontal="center" vertical="center" wrapText="1"/>
    </xf>
    <xf numFmtId="169" fontId="71" fillId="40" borderId="6" xfId="0" applyNumberFormat="1" applyFont="1" applyFill="1" applyBorder="1" applyAlignment="1">
      <alignment horizontal="center" vertical="center" wrapText="1"/>
    </xf>
    <xf numFmtId="169" fontId="71" fillId="40" borderId="7" xfId="0" applyNumberFormat="1" applyFont="1" applyFill="1" applyBorder="1" applyAlignment="1">
      <alignment horizontal="center" vertical="center" wrapText="1"/>
    </xf>
    <xf numFmtId="169" fontId="71" fillId="40" borderId="18" xfId="0" applyNumberFormat="1" applyFont="1" applyFill="1" applyBorder="1" applyAlignment="1">
      <alignment horizontal="center" vertical="center" wrapText="1"/>
    </xf>
    <xf numFmtId="169" fontId="71" fillId="40" borderId="48" xfId="0" applyNumberFormat="1" applyFont="1" applyFill="1" applyBorder="1" applyAlignment="1">
      <alignment horizontal="center" vertical="center" wrapText="1"/>
    </xf>
    <xf numFmtId="169" fontId="71" fillId="40" borderId="46" xfId="0" applyNumberFormat="1" applyFont="1" applyFill="1" applyBorder="1" applyAlignment="1">
      <alignment horizontal="center" vertical="center" wrapText="1"/>
    </xf>
    <xf numFmtId="169" fontId="71" fillId="40" borderId="49" xfId="0" applyNumberFormat="1" applyFont="1" applyFill="1" applyBorder="1" applyAlignment="1">
      <alignment horizontal="center" vertical="center" wrapText="1"/>
    </xf>
    <xf numFmtId="0" fontId="24" fillId="9" borderId="1" xfId="0" applyFont="1" applyFill="1" applyBorder="1" applyAlignment="1">
      <alignment horizontal="center" vertical="center"/>
    </xf>
    <xf numFmtId="169" fontId="111" fillId="40" borderId="10" xfId="0" applyNumberFormat="1" applyFont="1" applyFill="1" applyBorder="1" applyAlignment="1">
      <alignment horizontal="center" vertical="center" wrapText="1"/>
    </xf>
    <xf numFmtId="169" fontId="111" fillId="40" borderId="12" xfId="0" applyNumberFormat="1" applyFont="1" applyFill="1" applyBorder="1" applyAlignment="1">
      <alignment horizontal="center" vertical="center" wrapText="1"/>
    </xf>
    <xf numFmtId="169" fontId="111" fillId="40" borderId="13" xfId="0" applyNumberFormat="1" applyFont="1" applyFill="1" applyBorder="1" applyAlignment="1">
      <alignment horizontal="center" vertical="center" wrapText="1"/>
    </xf>
    <xf numFmtId="49" fontId="78" fillId="4" borderId="54" xfId="0" applyNumberFormat="1" applyFont="1" applyFill="1" applyBorder="1" applyAlignment="1" applyProtection="1">
      <alignment horizontal="center" vertical="center" wrapText="1"/>
      <protection locked="0"/>
    </xf>
    <xf numFmtId="49" fontId="78" fillId="4" borderId="76" xfId="0" applyNumberFormat="1" applyFont="1" applyFill="1" applyBorder="1" applyAlignment="1" applyProtection="1">
      <alignment horizontal="center" vertical="center" wrapText="1"/>
      <protection locked="0"/>
    </xf>
    <xf numFmtId="9" fontId="49" fillId="4" borderId="46" xfId="1" applyFont="1" applyFill="1" applyBorder="1" applyAlignment="1" applyProtection="1">
      <alignment horizontal="center" vertical="center"/>
      <protection hidden="1"/>
    </xf>
    <xf numFmtId="9" fontId="49" fillId="4" borderId="27" xfId="1" applyFont="1" applyFill="1" applyBorder="1" applyAlignment="1" applyProtection="1">
      <alignment horizontal="center" vertical="center"/>
      <protection hidden="1"/>
    </xf>
    <xf numFmtId="0" fontId="14" fillId="4" borderId="49" xfId="0" applyFont="1" applyFill="1" applyBorder="1" applyAlignment="1" applyProtection="1">
      <alignment horizontal="center" vertical="center"/>
      <protection locked="0"/>
    </xf>
    <xf numFmtId="20" fontId="115" fillId="40" borderId="6" xfId="0" applyNumberFormat="1" applyFont="1" applyFill="1" applyBorder="1" applyAlignment="1">
      <alignment horizontal="center" vertical="center" wrapText="1"/>
    </xf>
    <xf numFmtId="20" fontId="115" fillId="40" borderId="7" xfId="0" applyNumberFormat="1" applyFont="1" applyFill="1" applyBorder="1" applyAlignment="1">
      <alignment horizontal="center" vertical="center" wrapText="1"/>
    </xf>
    <xf numFmtId="20" fontId="115" fillId="40" borderId="18" xfId="0" applyNumberFormat="1" applyFont="1" applyFill="1" applyBorder="1" applyAlignment="1">
      <alignment horizontal="center" vertical="center" wrapText="1"/>
    </xf>
    <xf numFmtId="0" fontId="117" fillId="54" borderId="6" xfId="0" applyFont="1" applyFill="1" applyBorder="1" applyAlignment="1">
      <alignment horizontal="center" vertical="center" wrapText="1"/>
    </xf>
    <xf numFmtId="0" fontId="117" fillId="54" borderId="7" xfId="0" applyFont="1" applyFill="1" applyBorder="1" applyAlignment="1">
      <alignment horizontal="center" vertical="center" wrapText="1"/>
    </xf>
    <xf numFmtId="0" fontId="117" fillId="54" borderId="18" xfId="0" applyFont="1" applyFill="1" applyBorder="1" applyAlignment="1">
      <alignment horizontal="center" vertical="center" wrapText="1"/>
    </xf>
    <xf numFmtId="0" fontId="85" fillId="9" borderId="48" xfId="0" applyFont="1" applyFill="1" applyBorder="1" applyAlignment="1">
      <alignment horizontal="center" vertical="center" wrapText="1"/>
    </xf>
    <xf numFmtId="0" fontId="85" fillId="9" borderId="16" xfId="0" applyFont="1" applyFill="1" applyBorder="1" applyAlignment="1">
      <alignment horizontal="center" vertical="center" wrapText="1"/>
    </xf>
    <xf numFmtId="0" fontId="133" fillId="9" borderId="47" xfId="0" applyFont="1" applyFill="1" applyBorder="1" applyAlignment="1">
      <alignment horizontal="center" vertical="center" wrapText="1"/>
    </xf>
    <xf numFmtId="0" fontId="133" fillId="9" borderId="51" xfId="0" applyFont="1" applyFill="1" applyBorder="1" applyAlignment="1">
      <alignment horizontal="center" vertical="center" wrapText="1"/>
    </xf>
    <xf numFmtId="0" fontId="2" fillId="9" borderId="46" xfId="0" applyFont="1" applyFill="1" applyBorder="1" applyAlignment="1">
      <alignment horizontal="center" vertical="center"/>
    </xf>
    <xf numFmtId="0" fontId="2" fillId="9" borderId="49" xfId="0" applyFont="1" applyFill="1" applyBorder="1" applyAlignment="1">
      <alignment horizontal="center" vertical="center"/>
    </xf>
    <xf numFmtId="169" fontId="2" fillId="9" borderId="217" xfId="0" applyNumberFormat="1" applyFont="1" applyFill="1" applyBorder="1" applyAlignment="1">
      <alignment horizontal="center"/>
    </xf>
    <xf numFmtId="169" fontId="2" fillId="9" borderId="46" xfId="0" applyNumberFormat="1" applyFont="1" applyFill="1" applyBorder="1" applyAlignment="1">
      <alignment horizontal="center"/>
    </xf>
    <xf numFmtId="0" fontId="2" fillId="9" borderId="46" xfId="0" applyFont="1" applyFill="1" applyBorder="1" applyAlignment="1">
      <alignment horizontal="center"/>
    </xf>
    <xf numFmtId="20" fontId="23" fillId="9" borderId="10" xfId="0" applyNumberFormat="1" applyFont="1" applyFill="1" applyBorder="1" applyAlignment="1">
      <alignment horizontal="center" vertical="center" wrapText="1"/>
    </xf>
    <xf numFmtId="20" fontId="23" fillId="9" borderId="12" xfId="0" applyNumberFormat="1" applyFont="1" applyFill="1" applyBorder="1" applyAlignment="1">
      <alignment horizontal="center" vertical="center" wrapText="1"/>
    </xf>
    <xf numFmtId="20" fontId="23" fillId="9" borderId="13" xfId="0" applyNumberFormat="1" applyFont="1" applyFill="1" applyBorder="1" applyAlignment="1">
      <alignment horizontal="center" vertical="center" wrapText="1"/>
    </xf>
    <xf numFmtId="20" fontId="23" fillId="9" borderId="198" xfId="0" applyNumberFormat="1" applyFont="1" applyFill="1" applyBorder="1" applyAlignment="1">
      <alignment horizontal="center" vertical="center" wrapText="1"/>
    </xf>
    <xf numFmtId="20" fontId="23" fillId="9" borderId="84" xfId="0" applyNumberFormat="1" applyFont="1" applyFill="1" applyBorder="1" applyAlignment="1">
      <alignment horizontal="center" vertical="center" wrapText="1"/>
    </xf>
    <xf numFmtId="20" fontId="23" fillId="9" borderId="219" xfId="0" applyNumberFormat="1" applyFont="1" applyFill="1" applyBorder="1" applyAlignment="1">
      <alignment horizontal="center" vertical="center" wrapText="1"/>
    </xf>
    <xf numFmtId="20" fontId="23" fillId="29" borderId="198" xfId="0" applyNumberFormat="1" applyFont="1" applyFill="1" applyBorder="1" applyAlignment="1">
      <alignment horizontal="center" vertical="center" wrapText="1"/>
    </xf>
    <xf numFmtId="20" fontId="23" fillId="29" borderId="81" xfId="0" applyNumberFormat="1" applyFont="1" applyFill="1" applyBorder="1" applyAlignment="1">
      <alignment horizontal="center" vertical="center" wrapText="1"/>
    </xf>
    <xf numFmtId="20" fontId="18" fillId="26" borderId="195" xfId="0" applyNumberFormat="1" applyFont="1" applyFill="1" applyBorder="1" applyAlignment="1">
      <alignment horizontal="center" vertical="center" wrapText="1"/>
    </xf>
    <xf numFmtId="20" fontId="18" fillId="26" borderId="196" xfId="0" applyNumberFormat="1" applyFont="1" applyFill="1" applyBorder="1" applyAlignment="1">
      <alignment horizontal="center" vertical="center" wrapText="1"/>
    </xf>
    <xf numFmtId="20" fontId="18" fillId="26" borderId="197" xfId="0" applyNumberFormat="1" applyFont="1" applyFill="1" applyBorder="1" applyAlignment="1">
      <alignment horizontal="center" vertical="center" wrapText="1"/>
    </xf>
    <xf numFmtId="0" fontId="18" fillId="26" borderId="110" xfId="0" applyFont="1" applyFill="1" applyBorder="1" applyAlignment="1">
      <alignment horizontal="center" vertical="center" wrapText="1"/>
    </xf>
    <xf numFmtId="0" fontId="18" fillId="26" borderId="111" xfId="0" applyFont="1" applyFill="1" applyBorder="1" applyAlignment="1">
      <alignment horizontal="center" vertical="center" wrapText="1"/>
    </xf>
    <xf numFmtId="0" fontId="25" fillId="28" borderId="1" xfId="0" applyFont="1" applyFill="1" applyBorder="1" applyAlignment="1" applyProtection="1">
      <alignment horizontal="center" vertical="center" wrapText="1"/>
      <protection locked="0"/>
    </xf>
    <xf numFmtId="0" fontId="25" fillId="0" borderId="39" xfId="0" applyFont="1" applyBorder="1" applyAlignment="1">
      <alignment horizontal="center" vertical="center" wrapText="1"/>
    </xf>
    <xf numFmtId="0" fontId="25" fillId="0" borderId="0" xfId="0" applyFont="1" applyAlignment="1">
      <alignment horizontal="center" vertical="center" wrapText="1"/>
    </xf>
    <xf numFmtId="0" fontId="25" fillId="0" borderId="107"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5" xfId="0" applyFont="1" applyBorder="1" applyAlignment="1">
      <alignment horizontal="center" vertical="center" wrapText="1"/>
    </xf>
    <xf numFmtId="0" fontId="56" fillId="0" borderId="0" xfId="0" applyFont="1" applyAlignment="1">
      <alignment horizontal="center" vertical="center" wrapText="1"/>
    </xf>
    <xf numFmtId="0" fontId="119" fillId="33" borderId="1"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48" fillId="6" borderId="0" xfId="0" applyFont="1" applyFill="1" applyAlignment="1">
      <alignment horizontal="center" vertical="center" wrapText="1"/>
    </xf>
    <xf numFmtId="0" fontId="14" fillId="12" borderId="0" xfId="0" applyFont="1" applyFill="1" applyAlignment="1">
      <alignment horizontal="left" vertical="center" wrapText="1"/>
    </xf>
    <xf numFmtId="0" fontId="57" fillId="0" borderId="0" xfId="0" applyFont="1" applyAlignment="1">
      <alignment horizontal="left" vertical="center" wrapText="1"/>
    </xf>
    <xf numFmtId="0" fontId="21" fillId="0" borderId="1" xfId="0" applyFont="1" applyBorder="1" applyAlignment="1">
      <alignment horizontal="center" vertical="center" wrapText="1"/>
    </xf>
    <xf numFmtId="0" fontId="60" fillId="8" borderId="1" xfId="0" applyFont="1" applyFill="1" applyBorder="1" applyAlignment="1">
      <alignment horizontal="center" vertical="center" wrapText="1"/>
    </xf>
    <xf numFmtId="0" fontId="23" fillId="9" borderId="102" xfId="0" applyFont="1" applyFill="1" applyBorder="1" applyAlignment="1">
      <alignment horizontal="center" vertical="center" wrapText="1"/>
    </xf>
    <xf numFmtId="0" fontId="23" fillId="9" borderId="52" xfId="0" applyFont="1" applyFill="1" applyBorder="1" applyAlignment="1">
      <alignment horizontal="center" vertical="center" wrapText="1"/>
    </xf>
    <xf numFmtId="0" fontId="23" fillId="9" borderId="0" xfId="0" applyFont="1" applyFill="1" applyAlignment="1">
      <alignment horizontal="center" vertical="center" wrapText="1"/>
    </xf>
    <xf numFmtId="0" fontId="23" fillId="9" borderId="90" xfId="0" applyFont="1" applyFill="1" applyBorder="1" applyAlignment="1">
      <alignment horizontal="center" vertical="center" wrapText="1"/>
    </xf>
    <xf numFmtId="0" fontId="23" fillId="9" borderId="101" xfId="0" applyFont="1" applyFill="1" applyBorder="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18" fillId="6" borderId="0" xfId="0" applyFont="1" applyFill="1" applyAlignment="1">
      <alignment horizontal="center" vertical="center" wrapText="1"/>
    </xf>
    <xf numFmtId="0" fontId="18" fillId="26" borderId="80" xfId="0" applyFont="1" applyFill="1" applyBorder="1" applyAlignment="1">
      <alignment horizontal="center" vertical="center" wrapText="1"/>
    </xf>
    <xf numFmtId="0" fontId="18" fillId="26" borderId="81" xfId="0" applyFont="1" applyFill="1" applyBorder="1" applyAlignment="1">
      <alignment horizontal="center" vertical="center" wrapText="1"/>
    </xf>
    <xf numFmtId="0" fontId="18" fillId="26" borderId="82" xfId="0" applyFont="1" applyFill="1" applyBorder="1" applyAlignment="1">
      <alignment horizontal="center" vertical="center" wrapText="1"/>
    </xf>
    <xf numFmtId="0" fontId="23" fillId="9" borderId="89" xfId="0" applyFont="1" applyFill="1" applyBorder="1" applyAlignment="1">
      <alignment horizontal="center" vertical="center" wrapText="1"/>
    </xf>
    <xf numFmtId="0" fontId="60" fillId="8" borderId="11" xfId="0" applyFont="1" applyFill="1" applyBorder="1" applyAlignment="1">
      <alignment horizontal="center" vertical="center" wrapText="1"/>
    </xf>
    <xf numFmtId="0" fontId="60" fillId="8" borderId="23" xfId="0" applyFont="1" applyFill="1" applyBorder="1" applyAlignment="1">
      <alignment horizontal="center" vertical="center" wrapText="1"/>
    </xf>
    <xf numFmtId="0" fontId="60" fillId="8" borderId="14" xfId="0" applyFont="1" applyFill="1" applyBorder="1" applyAlignment="1">
      <alignment horizontal="center" vertical="center" wrapText="1"/>
    </xf>
    <xf numFmtId="9" fontId="60" fillId="8" borderId="54" xfId="1" applyFont="1" applyFill="1" applyBorder="1" applyAlignment="1">
      <alignment horizontal="center" vertical="center" wrapText="1"/>
    </xf>
    <xf numFmtId="9" fontId="60" fillId="8" borderId="34" xfId="1" applyFont="1" applyFill="1" applyBorder="1" applyAlignment="1">
      <alignment horizontal="center" vertical="center" wrapText="1"/>
    </xf>
    <xf numFmtId="9" fontId="60" fillId="8" borderId="39" xfId="1" applyFont="1" applyFill="1" applyBorder="1" applyAlignment="1">
      <alignment horizontal="center" vertical="center" wrapText="1"/>
    </xf>
    <xf numFmtId="9" fontId="60" fillId="8" borderId="107" xfId="1" applyFont="1" applyFill="1" applyBorder="1" applyAlignment="1">
      <alignment horizontal="center" vertical="center" wrapText="1"/>
    </xf>
    <xf numFmtId="9" fontId="60" fillId="8" borderId="5" xfId="1" applyFont="1" applyFill="1" applyBorder="1" applyAlignment="1">
      <alignment horizontal="center" vertical="center" wrapText="1"/>
    </xf>
    <xf numFmtId="9" fontId="60" fillId="8" borderId="25" xfId="1" applyFont="1" applyFill="1" applyBorder="1" applyAlignment="1">
      <alignment horizontal="center" vertical="center" wrapText="1"/>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19" xfId="0" applyFont="1" applyFill="1" applyBorder="1" applyAlignment="1">
      <alignment horizontal="center" vertical="center"/>
    </xf>
  </cellXfs>
  <cellStyles count="104">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uro 2" xfId="103" xr:uid="{C3A73BC1-E0AD-4FC1-91B8-B0CA6D17A908}"/>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53">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C0000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FF0000"/>
        </patternFill>
      </fill>
    </dxf>
    <dxf>
      <font>
        <b/>
        <i val="0"/>
        <color auto="1"/>
      </font>
      <fill>
        <patternFill>
          <bgColor rgb="FF00B050"/>
        </patternFill>
      </fill>
    </dxf>
    <dxf>
      <fill>
        <patternFill>
          <bgColor rgb="FF92D050"/>
        </patternFill>
      </fill>
    </dxf>
    <dxf>
      <font>
        <b/>
        <i val="0"/>
        <color auto="1"/>
      </font>
      <fill>
        <patternFill>
          <fgColor auto="1"/>
          <bgColor rgb="FF00B050"/>
        </patternFill>
      </fill>
    </dxf>
    <dxf>
      <font>
        <b/>
        <i val="0"/>
        <color theme="0"/>
      </font>
      <fill>
        <patternFill>
          <bgColor rgb="FFFF0000"/>
        </patternFill>
      </fill>
    </dxf>
    <dxf>
      <fill>
        <patternFill>
          <bgColor rgb="FFFF0000"/>
        </patternFill>
      </fill>
    </dxf>
    <dxf>
      <font>
        <color rgb="FFFF0000"/>
      </font>
      <fill>
        <patternFill>
          <bgColor rgb="FFFFFF00"/>
        </patternFill>
      </fill>
    </dxf>
    <dxf>
      <font>
        <color rgb="FFFF0000"/>
      </font>
      <fill>
        <patternFill>
          <bgColor rgb="FFFFFF00"/>
        </patternFill>
      </fill>
    </dxf>
    <dxf>
      <font>
        <b/>
        <i val="0"/>
        <color auto="1"/>
      </font>
      <fill>
        <patternFill>
          <bgColor rgb="FF00B050"/>
        </patternFill>
      </fill>
    </dxf>
    <dxf>
      <font>
        <b/>
        <i val="0"/>
        <color theme="0"/>
      </font>
      <fill>
        <patternFill>
          <bgColor rgb="FFFF0000"/>
        </patternFill>
      </fill>
    </dxf>
    <dxf>
      <font>
        <color theme="1"/>
      </font>
      <fill>
        <patternFill>
          <fgColor auto="1"/>
          <bgColor rgb="FF92D05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1"/>
      </font>
      <fill>
        <patternFill>
          <bgColor rgb="FFFF0000"/>
        </patternFill>
      </fill>
    </dxf>
    <dxf>
      <font>
        <color rgb="FFFF0000"/>
      </font>
      <fill>
        <patternFill>
          <bgColor rgb="FFFFFF00"/>
        </patternFill>
      </fill>
    </dxf>
    <dxf>
      <font>
        <color rgb="FFFF0000"/>
      </font>
      <fill>
        <patternFill>
          <bgColor rgb="FFFFFF00"/>
        </patternFill>
      </fill>
    </dxf>
    <dxf>
      <font>
        <color theme="4" tint="0.79998168889431442"/>
      </font>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dxf>
    <dxf>
      <font>
        <b/>
        <i val="0"/>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color rgb="FF9C0006"/>
      </font>
      <fill>
        <patternFill>
          <bgColor rgb="FFFFC7CE"/>
        </patternFill>
      </fill>
    </dxf>
    <dxf>
      <font>
        <b/>
        <i val="0"/>
        <color theme="0"/>
      </font>
      <fill>
        <patternFill>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FDE9D9"/>
      <color rgb="FFE2EFDA"/>
      <color rgb="FFFFFF00"/>
      <color rgb="FF92E133"/>
      <color rgb="FFF5903D"/>
      <color rgb="FF227A56"/>
      <color rgb="FF5FAF7A"/>
      <color rgb="FFEBF1DE"/>
      <color rgb="FF99FF66"/>
      <color rgb="FFE6B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86497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431800</xdr:colOff>
      <xdr:row>28</xdr:row>
      <xdr:rowOff>1419225</xdr:rowOff>
    </xdr:from>
    <xdr:to>
      <xdr:col>11</xdr:col>
      <xdr:colOff>196850</xdr:colOff>
      <xdr:row>29</xdr:row>
      <xdr:rowOff>47625</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982200" y="11528425"/>
          <a:ext cx="914400" cy="914400"/>
        </a:xfrm>
        <a:prstGeom prst="rect">
          <a:avLst/>
        </a:prstGeom>
      </xdr:spPr>
    </xdr:pic>
    <xdr:clientData/>
  </xdr:twoCellAnchor>
  <xdr:twoCellAnchor editAs="oneCell">
    <xdr:from>
      <xdr:col>10</xdr:col>
      <xdr:colOff>990600</xdr:colOff>
      <xdr:row>31</xdr:row>
      <xdr:rowOff>1200150</xdr:rowOff>
    </xdr:from>
    <xdr:to>
      <xdr:col>11</xdr:col>
      <xdr:colOff>762000</xdr:colOff>
      <xdr:row>33</xdr:row>
      <xdr:rowOff>654050</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33</xdr:row>
      <xdr:rowOff>1266825</xdr:rowOff>
    </xdr:from>
    <xdr:to>
      <xdr:col>11</xdr:col>
      <xdr:colOff>952500</xdr:colOff>
      <xdr:row>34</xdr:row>
      <xdr:rowOff>311150</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26</xdr:row>
      <xdr:rowOff>452400</xdr:rowOff>
    </xdr:from>
    <xdr:to>
      <xdr:col>2</xdr:col>
      <xdr:colOff>533400</xdr:colOff>
      <xdr:row>27</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26</xdr:row>
      <xdr:rowOff>434975</xdr:rowOff>
    </xdr:from>
    <xdr:to>
      <xdr:col>12</xdr:col>
      <xdr:colOff>92075</xdr:colOff>
      <xdr:row>27</xdr:row>
      <xdr:rowOff>676275</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0</xdr:colOff>
      <xdr:row>2</xdr:row>
      <xdr:rowOff>25268</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11</xdr:col>
      <xdr:colOff>854445</xdr:colOff>
      <xdr:row>4</xdr:row>
      <xdr:rowOff>834162</xdr:rowOff>
    </xdr:from>
    <xdr:to>
      <xdr:col>11</xdr:col>
      <xdr:colOff>1805839</xdr:colOff>
      <xdr:row>5</xdr:row>
      <xdr:rowOff>670264</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904945" y="4241995"/>
          <a:ext cx="940599" cy="903537"/>
        </a:xfrm>
        <a:prstGeom prst="rect">
          <a:avLst/>
        </a:prstGeom>
      </xdr:spPr>
    </xdr:pic>
    <xdr:clientData/>
  </xdr:twoCellAnchor>
  <xdr:twoCellAnchor editAs="oneCell">
    <xdr:from>
      <xdr:col>19</xdr:col>
      <xdr:colOff>2611834</xdr:colOff>
      <xdr:row>5</xdr:row>
      <xdr:rowOff>1232145</xdr:rowOff>
    </xdr:from>
    <xdr:to>
      <xdr:col>20</xdr:col>
      <xdr:colOff>4688</xdr:colOff>
      <xdr:row>6</xdr:row>
      <xdr:rowOff>327585</xdr:rowOff>
    </xdr:to>
    <xdr:pic>
      <xdr:nvPicPr>
        <xdr:cNvPr id="8" name="Graphique 2" descr="Flèches de chevron avec un remplissage uni">
          <a:extLst>
            <a:ext uri="{FF2B5EF4-FFF2-40B4-BE49-F238E27FC236}">
              <a16:creationId xmlns:a16="http://schemas.microsoft.com/office/drawing/2014/main" id="{0F4040C0-0A52-41E4-97F8-360F8ABAEC6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66676278" y="5667066"/>
          <a:ext cx="955204" cy="8895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235857</xdr:colOff>
      <xdr:row>1</xdr:row>
      <xdr:rowOff>0</xdr:rowOff>
    </xdr:from>
    <xdr:to>
      <xdr:col>0</xdr:col>
      <xdr:colOff>1305651</xdr:colOff>
      <xdr:row>3</xdr:row>
      <xdr:rowOff>25648</xdr:rowOff>
    </xdr:to>
    <xdr:pic>
      <xdr:nvPicPr>
        <xdr:cNvPr id="2"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5857" y="0"/>
          <a:ext cx="1070429" cy="831735"/>
        </a:xfrm>
        <a:prstGeom prst="rect">
          <a:avLst/>
        </a:prstGeom>
      </xdr:spPr>
    </xdr:pic>
    <xdr:clientData/>
  </xdr:twoCellAnchor>
  <xdr:twoCellAnchor editAs="oneCell">
    <xdr:from>
      <xdr:col>4</xdr:col>
      <xdr:colOff>1149865</xdr:colOff>
      <xdr:row>4</xdr:row>
      <xdr:rowOff>205946</xdr:rowOff>
    </xdr:from>
    <xdr:to>
      <xdr:col>4</xdr:col>
      <xdr:colOff>2084749</xdr:colOff>
      <xdr:row>5</xdr:row>
      <xdr:rowOff>847818</xdr:rowOff>
    </xdr:to>
    <xdr:pic>
      <xdr:nvPicPr>
        <xdr:cNvPr id="6" name="Graphique 2" descr="Flèches de chevron avec un remplissage uni">
          <a:extLst>
            <a:ext uri="{FF2B5EF4-FFF2-40B4-BE49-F238E27FC236}">
              <a16:creationId xmlns:a16="http://schemas.microsoft.com/office/drawing/2014/main" id="{20F8B00F-4A3D-49A5-B083-DCE05C4BCD3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576487" y="3604054"/>
          <a:ext cx="940599" cy="908300"/>
        </a:xfrm>
        <a:prstGeom prst="rect">
          <a:avLst/>
        </a:prstGeom>
      </xdr:spPr>
    </xdr:pic>
    <xdr:clientData/>
  </xdr:twoCellAnchor>
  <xdr:twoCellAnchor editAs="oneCell">
    <xdr:from>
      <xdr:col>9</xdr:col>
      <xdr:colOff>1061873</xdr:colOff>
      <xdr:row>5</xdr:row>
      <xdr:rowOff>573363</xdr:rowOff>
    </xdr:from>
    <xdr:to>
      <xdr:col>9</xdr:col>
      <xdr:colOff>2003742</xdr:colOff>
      <xdr:row>5</xdr:row>
      <xdr:rowOff>1468213</xdr:rowOff>
    </xdr:to>
    <xdr:pic>
      <xdr:nvPicPr>
        <xdr:cNvPr id="9" name="Graphique 3" descr="Flèches de chevron avec un remplissage uni">
          <a:extLst>
            <a:ext uri="{FF2B5EF4-FFF2-40B4-BE49-F238E27FC236}">
              <a16:creationId xmlns:a16="http://schemas.microsoft.com/office/drawing/2014/main" id="{4E9A7659-C143-4AD2-BB12-998D0BE06F0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8049373" y="2589488"/>
          <a:ext cx="940599" cy="896755"/>
        </a:xfrm>
        <a:prstGeom prst="rect">
          <a:avLst/>
        </a:prstGeom>
      </xdr:spPr>
    </xdr:pic>
    <xdr:clientData/>
  </xdr:twoCellAnchor>
  <xdr:twoCellAnchor editAs="oneCell">
    <xdr:from>
      <xdr:col>5</xdr:col>
      <xdr:colOff>1705841</xdr:colOff>
      <xdr:row>8</xdr:row>
      <xdr:rowOff>2057977</xdr:rowOff>
    </xdr:from>
    <xdr:to>
      <xdr:col>5</xdr:col>
      <xdr:colOff>2611986</xdr:colOff>
      <xdr:row>9</xdr:row>
      <xdr:rowOff>58997</xdr:rowOff>
    </xdr:to>
    <xdr:pic>
      <xdr:nvPicPr>
        <xdr:cNvPr id="3" name="Graphique 6" descr="Flèches de chevron avec un remplissage uni">
          <a:extLst>
            <a:ext uri="{FF2B5EF4-FFF2-40B4-BE49-F238E27FC236}">
              <a16:creationId xmlns:a16="http://schemas.microsoft.com/office/drawing/2014/main" id="{A07AF5BB-069B-44E4-BD81-3F30547469F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4532841" y="9011227"/>
          <a:ext cx="914400" cy="9144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598826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1</xdr:col>
      <xdr:colOff>325119</xdr:colOff>
      <xdr:row>3</xdr:row>
      <xdr:rowOff>11152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32001"/>
          <a:ext cx="1195069" cy="904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34637</xdr:colOff>
      <xdr:row>0</xdr:row>
      <xdr:rowOff>519547</xdr:rowOff>
    </xdr:from>
    <xdr:to>
      <xdr:col>1</xdr:col>
      <xdr:colOff>700984</xdr:colOff>
      <xdr:row>2</xdr:row>
      <xdr:rowOff>142670</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258330</xdr:colOff>
      <xdr:row>2</xdr:row>
      <xdr:rowOff>18047</xdr:rowOff>
    </xdr:to>
    <xdr:pic>
      <xdr:nvPicPr>
        <xdr:cNvPr id="2" name="Image 1">
          <a:extLst>
            <a:ext uri="{FF2B5EF4-FFF2-40B4-BE49-F238E27FC236}">
              <a16:creationId xmlns:a16="http://schemas.microsoft.com/office/drawing/2014/main" id="{E351B7C4-BADB-40A1-A930-FCBFAAEA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6273"/>
          <a:ext cx="1031875" cy="7569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15875</xdr:rowOff>
    </xdr:from>
    <xdr:to>
      <xdr:col>1</xdr:col>
      <xdr:colOff>442595</xdr:colOff>
      <xdr:row>1</xdr:row>
      <xdr:rowOff>902184</xdr:rowOff>
    </xdr:to>
    <xdr:pic>
      <xdr:nvPicPr>
        <xdr:cNvPr id="2" name="Image 1">
          <a:extLst>
            <a:ext uri="{FF2B5EF4-FFF2-40B4-BE49-F238E27FC236}">
              <a16:creationId xmlns:a16="http://schemas.microsoft.com/office/drawing/2014/main" id="{0A88A476-733E-4F35-9C93-042D9EA5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172845" cy="8824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42809</xdr:rowOff>
    </xdr:from>
    <xdr:to>
      <xdr:col>1</xdr:col>
      <xdr:colOff>18172</xdr:colOff>
      <xdr:row>1</xdr:row>
      <xdr:rowOff>713470</xdr:rowOff>
    </xdr:to>
    <xdr:pic>
      <xdr:nvPicPr>
        <xdr:cNvPr id="2" name="Image 1">
          <a:extLst>
            <a:ext uri="{FF2B5EF4-FFF2-40B4-BE49-F238E27FC236}">
              <a16:creationId xmlns:a16="http://schemas.microsoft.com/office/drawing/2014/main" id="{9B748A10-CCAC-40A1-904A-1DA57B5E73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28315"/>
          <a:ext cx="817273" cy="6674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431017</xdr:colOff>
      <xdr:row>0</xdr:row>
      <xdr:rowOff>100509</xdr:rowOff>
    </xdr:from>
    <xdr:to>
      <xdr:col>1</xdr:col>
      <xdr:colOff>559960</xdr:colOff>
      <xdr:row>0</xdr:row>
      <xdr:rowOff>827644</xdr:rowOff>
    </xdr:to>
    <xdr:pic>
      <xdr:nvPicPr>
        <xdr:cNvPr id="2" name="Image 1">
          <a:extLst>
            <a:ext uri="{FF2B5EF4-FFF2-40B4-BE49-F238E27FC236}">
              <a16:creationId xmlns:a16="http://schemas.microsoft.com/office/drawing/2014/main" id="{BFAB81FB-BCD7-4BC0-8CA1-4049336ECA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017" y="291879"/>
          <a:ext cx="932392" cy="730310"/>
        </a:xfrm>
        <a:prstGeom prst="rect">
          <a:avLst/>
        </a:prstGeom>
      </xdr:spPr>
    </xdr:pic>
    <xdr:clientData/>
  </xdr:twoCellAnchor>
  <xdr:twoCellAnchor editAs="oneCell">
    <xdr:from>
      <xdr:col>1</xdr:col>
      <xdr:colOff>403678</xdr:colOff>
      <xdr:row>2</xdr:row>
      <xdr:rowOff>95250</xdr:rowOff>
    </xdr:from>
    <xdr:to>
      <xdr:col>1</xdr:col>
      <xdr:colOff>1153432</xdr:colOff>
      <xdr:row>2</xdr:row>
      <xdr:rowOff>839561</xdr:rowOff>
    </xdr:to>
    <xdr:pic>
      <xdr:nvPicPr>
        <xdr:cNvPr id="4" name="Graphique 3" descr="Avertissement avec un remplissage uni">
          <a:extLst>
            <a:ext uri="{FF2B5EF4-FFF2-40B4-BE49-F238E27FC236}">
              <a16:creationId xmlns:a16="http://schemas.microsoft.com/office/drawing/2014/main" id="{B6B0E0E1-286A-1605-F3AB-85DAE600E37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197428" y="1841500"/>
          <a:ext cx="746579" cy="74431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350997</xdr:colOff>
      <xdr:row>1</xdr:row>
      <xdr:rowOff>20157</xdr:rowOff>
    </xdr:to>
    <xdr:pic>
      <xdr:nvPicPr>
        <xdr:cNvPr id="2" name="Image 1">
          <a:extLst>
            <a:ext uri="{FF2B5EF4-FFF2-40B4-BE49-F238E27FC236}">
              <a16:creationId xmlns:a16="http://schemas.microsoft.com/office/drawing/2014/main" id="{1AA382A1-7D4B-4722-BEAD-C248B03EAF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50442" cy="89706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7"/>
  <sheetViews>
    <sheetView showGridLines="0" zoomScale="50" zoomScaleNormal="40" workbookViewId="0">
      <selection activeCell="AE15" sqref="AE15"/>
    </sheetView>
  </sheetViews>
  <sheetFormatPr defaultColWidth="11.42578125" defaultRowHeight="15"/>
  <cols>
    <col min="1" max="2" width="11.42578125" style="25"/>
    <col min="3" max="3" width="20.85546875" style="25" customWidth="1"/>
    <col min="4" max="4" width="21.85546875" style="25" customWidth="1"/>
    <col min="5" max="5" width="11.42578125" style="25"/>
    <col min="6" max="6" width="27" style="25" customWidth="1"/>
    <col min="7" max="7" width="11.42578125" style="25"/>
    <col min="8" max="8" width="28.7109375" style="25" customWidth="1"/>
    <col min="9" max="9" width="11.42578125" style="25"/>
    <col min="10" max="10" width="32.42578125" style="25" customWidth="1"/>
    <col min="11" max="11" width="16.42578125" style="25" customWidth="1"/>
    <col min="12" max="12" width="31" style="25" customWidth="1"/>
    <col min="13" max="13" width="11.42578125" style="25"/>
    <col min="14" max="14" width="26.42578125" style="25" customWidth="1"/>
    <col min="15" max="15" width="11.42578125" style="25"/>
    <col min="16" max="16" width="26.28515625" style="25" customWidth="1"/>
    <col min="17" max="17" width="11.42578125" style="25"/>
    <col min="18" max="18" width="22.140625" style="25" customWidth="1"/>
    <col min="19" max="19" width="11.42578125" style="25"/>
    <col min="20" max="20" width="23.140625" style="25" customWidth="1"/>
    <col min="21" max="21" width="29.42578125" style="25" customWidth="1"/>
    <col min="22" max="22" width="24.42578125" style="25" customWidth="1"/>
    <col min="23" max="23" width="11.42578125" style="25"/>
    <col min="24" max="24" width="26.140625" style="25" customWidth="1"/>
    <col min="25" max="16384" width="11.42578125" style="25"/>
  </cols>
  <sheetData>
    <row r="1" spans="2:25">
      <c r="B1" s="23"/>
      <c r="C1" s="23"/>
      <c r="D1" s="23"/>
      <c r="E1" s="23"/>
      <c r="F1" s="23"/>
      <c r="G1" s="23"/>
      <c r="H1" s="23"/>
      <c r="I1" s="23"/>
      <c r="J1" s="23"/>
      <c r="K1" s="23"/>
      <c r="L1" s="23"/>
      <c r="M1" s="23"/>
      <c r="N1" s="23"/>
      <c r="O1" s="23"/>
      <c r="P1" s="23"/>
      <c r="Q1" s="23"/>
      <c r="R1" s="23"/>
      <c r="S1" s="23"/>
      <c r="T1" s="23"/>
      <c r="U1" s="23"/>
      <c r="V1" s="23"/>
      <c r="W1" s="23"/>
      <c r="X1" s="23"/>
      <c r="Y1" s="24"/>
    </row>
    <row r="2" spans="2:25">
      <c r="Y2" s="26"/>
    </row>
    <row r="3" spans="2:25">
      <c r="Y3" s="26"/>
    </row>
    <row r="4" spans="2:25">
      <c r="Y4" s="26"/>
    </row>
    <row r="5" spans="2:25">
      <c r="Y5" s="26"/>
    </row>
    <row r="6" spans="2:25">
      <c r="Y6" s="26"/>
    </row>
    <row r="7" spans="2:25" ht="21.75" customHeight="1">
      <c r="B7" s="27"/>
      <c r="C7" s="28"/>
      <c r="D7" s="28"/>
      <c r="E7" s="28"/>
      <c r="F7" s="28"/>
      <c r="G7" s="28"/>
      <c r="H7" s="28"/>
      <c r="I7" s="28"/>
      <c r="J7" s="28"/>
      <c r="K7" s="29"/>
      <c r="L7" s="29"/>
      <c r="M7" s="29"/>
      <c r="N7" s="29"/>
      <c r="O7" s="29"/>
      <c r="P7" s="28"/>
      <c r="Q7" s="28"/>
      <c r="R7" s="28"/>
      <c r="S7" s="28"/>
      <c r="T7" s="28"/>
      <c r="U7" s="28"/>
      <c r="V7" s="28"/>
      <c r="W7" s="28"/>
      <c r="X7" s="28"/>
      <c r="Y7" s="30"/>
    </row>
    <row r="8" spans="2:25" ht="29.1">
      <c r="B8" s="1317" t="s">
        <v>0</v>
      </c>
      <c r="C8" s="1318"/>
      <c r="D8" s="1318"/>
      <c r="E8" s="1318"/>
      <c r="F8" s="1318"/>
      <c r="G8" s="1318"/>
      <c r="H8" s="1318"/>
      <c r="I8" s="1318"/>
      <c r="J8" s="1318"/>
      <c r="K8" s="1318"/>
      <c r="L8" s="1318"/>
      <c r="M8" s="1318"/>
      <c r="N8" s="1318"/>
      <c r="O8" s="1318"/>
      <c r="P8" s="1318"/>
      <c r="Q8" s="1318"/>
      <c r="R8" s="1318"/>
      <c r="S8" s="1318"/>
      <c r="T8" s="1318"/>
      <c r="U8" s="1318"/>
      <c r="V8" s="1318"/>
      <c r="W8" s="1318"/>
      <c r="X8" s="1318"/>
      <c r="Y8" s="1319"/>
    </row>
    <row r="9" spans="2:25" ht="21">
      <c r="B9" s="1325" t="s">
        <v>1</v>
      </c>
      <c r="C9" s="1326"/>
      <c r="D9" s="1326"/>
      <c r="E9" s="1326"/>
      <c r="F9" s="1326"/>
      <c r="G9" s="1326"/>
      <c r="H9" s="1326"/>
      <c r="I9" s="1326"/>
      <c r="J9" s="1326"/>
      <c r="K9" s="1326"/>
      <c r="L9" s="1326"/>
      <c r="M9" s="1326"/>
      <c r="N9" s="1326"/>
      <c r="O9" s="1326"/>
      <c r="P9" s="1326"/>
      <c r="Q9" s="1326"/>
      <c r="R9" s="1326"/>
      <c r="S9" s="1326"/>
      <c r="T9" s="1326"/>
      <c r="U9" s="1326"/>
      <c r="V9" s="1326"/>
      <c r="W9" s="1326"/>
      <c r="X9" s="1326"/>
      <c r="Y9" s="1327"/>
    </row>
    <row r="10" spans="2:25" ht="28.5" customHeight="1">
      <c r="B10" s="1310" t="s">
        <v>2</v>
      </c>
      <c r="C10" s="1310"/>
      <c r="D10" s="1310"/>
      <c r="E10" s="1310"/>
      <c r="F10" s="1310"/>
      <c r="G10" s="1310"/>
      <c r="H10" s="1310"/>
      <c r="I10" s="1310"/>
      <c r="J10" s="1310"/>
      <c r="K10" s="1310"/>
      <c r="L10" s="1310"/>
      <c r="M10" s="1310"/>
      <c r="N10" s="1310"/>
      <c r="O10" s="1310"/>
      <c r="P10" s="1310"/>
      <c r="Q10" s="1310"/>
      <c r="R10" s="1310"/>
      <c r="S10" s="1310"/>
      <c r="T10" s="1310"/>
      <c r="U10" s="1310"/>
      <c r="V10" s="1310"/>
      <c r="W10" s="1310"/>
      <c r="X10" s="1310"/>
      <c r="Y10" s="1311"/>
    </row>
    <row r="11" spans="2:25" ht="48" customHeight="1">
      <c r="B11" s="1693" t="s">
        <v>3</v>
      </c>
      <c r="C11" s="1694"/>
      <c r="D11" s="1694"/>
      <c r="E11" s="1694"/>
      <c r="F11" s="1694"/>
      <c r="G11" s="1694"/>
      <c r="H11" s="1694"/>
      <c r="I11" s="1694"/>
      <c r="J11" s="1694"/>
      <c r="K11" s="1694"/>
      <c r="L11" s="1694"/>
      <c r="M11" s="1694"/>
      <c r="N11" s="1694"/>
      <c r="O11" s="1694"/>
      <c r="P11" s="1694"/>
      <c r="Q11" s="1694"/>
      <c r="R11" s="1694"/>
      <c r="S11" s="1694"/>
      <c r="T11" s="1694"/>
      <c r="U11" s="1694"/>
      <c r="V11" s="1694"/>
      <c r="W11" s="1694"/>
      <c r="X11" s="1694"/>
      <c r="Y11" s="1695"/>
    </row>
    <row r="12" spans="2:25" ht="35.25" customHeight="1">
      <c r="C12" s="1320" t="s">
        <v>4</v>
      </c>
      <c r="D12" s="1320"/>
      <c r="E12" s="1320"/>
      <c r="F12" s="1320"/>
      <c r="G12" s="1320"/>
      <c r="H12" s="1320"/>
      <c r="I12" s="1320"/>
      <c r="J12" s="1320"/>
      <c r="K12" s="1320"/>
      <c r="L12" s="1320"/>
      <c r="M12" s="1320"/>
      <c r="N12" s="1320"/>
      <c r="O12" s="1320"/>
      <c r="P12" s="1320"/>
      <c r="Q12" s="1320"/>
      <c r="R12" s="1320"/>
      <c r="S12" s="1320"/>
      <c r="T12" s="1320"/>
      <c r="U12" s="1320"/>
      <c r="V12" s="1320"/>
      <c r="W12" s="1320"/>
      <c r="X12" s="1320"/>
      <c r="Y12" s="26"/>
    </row>
    <row r="13" spans="2:25" ht="35.25" customHeight="1">
      <c r="C13" s="119"/>
      <c r="D13" s="119"/>
      <c r="E13" s="119"/>
      <c r="F13" s="119"/>
      <c r="G13" s="119"/>
      <c r="H13" s="119"/>
      <c r="I13" s="119"/>
      <c r="J13" s="119"/>
      <c r="K13" s="119"/>
      <c r="L13" s="119"/>
      <c r="M13" s="119"/>
      <c r="N13" s="119"/>
      <c r="O13" s="119"/>
      <c r="P13" s="119"/>
      <c r="Q13" s="119"/>
      <c r="R13" s="119"/>
      <c r="S13" s="119"/>
      <c r="T13" s="119"/>
      <c r="U13" s="119"/>
      <c r="V13" s="119"/>
      <c r="W13" s="119"/>
      <c r="X13" s="119"/>
      <c r="Y13" s="26"/>
    </row>
    <row r="14" spans="2:25" ht="35.25" customHeight="1" thickBot="1">
      <c r="C14" s="1316" t="s">
        <v>5</v>
      </c>
      <c r="D14" s="1316"/>
      <c r="E14" s="119"/>
      <c r="F14" s="119"/>
      <c r="G14" s="119"/>
      <c r="H14" s="119"/>
      <c r="I14" s="119"/>
      <c r="J14" s="119"/>
      <c r="K14" s="119"/>
      <c r="L14" s="119"/>
      <c r="M14" s="119"/>
      <c r="N14" s="119"/>
      <c r="O14" s="119"/>
      <c r="P14" s="119"/>
      <c r="Q14" s="119"/>
      <c r="R14" s="119"/>
      <c r="S14" s="119"/>
      <c r="T14" s="119"/>
      <c r="U14" s="119"/>
      <c r="V14" s="119"/>
      <c r="W14" s="119"/>
      <c r="X14" s="119"/>
      <c r="Y14" s="26"/>
    </row>
    <row r="15" spans="2:25" ht="35.25" customHeight="1">
      <c r="C15" s="1321" t="s">
        <v>6</v>
      </c>
      <c r="D15" s="1322"/>
      <c r="E15" s="1322"/>
      <c r="F15" s="122"/>
      <c r="G15" s="1323" t="s">
        <v>7</v>
      </c>
      <c r="H15" s="1323"/>
      <c r="I15" s="1323"/>
      <c r="J15" s="1323"/>
      <c r="K15" s="1323"/>
      <c r="L15" s="1323"/>
      <c r="M15" s="1323"/>
      <c r="N15" s="1323"/>
      <c r="O15" s="1323"/>
      <c r="P15" s="1323"/>
      <c r="Q15" s="1323"/>
      <c r="R15" s="1323"/>
      <c r="S15" s="1323"/>
      <c r="T15" s="1323"/>
      <c r="U15" s="1323"/>
      <c r="V15" s="1323"/>
      <c r="W15" s="1323"/>
      <c r="X15" s="1324"/>
      <c r="Y15" s="26"/>
    </row>
    <row r="16" spans="2:25" ht="35.25" customHeight="1" thickBot="1">
      <c r="C16" s="1306" t="s">
        <v>8</v>
      </c>
      <c r="D16" s="1307"/>
      <c r="E16" s="1307"/>
      <c r="F16" s="123"/>
      <c r="G16" s="1308" t="s">
        <v>7</v>
      </c>
      <c r="H16" s="1308"/>
      <c r="I16" s="1308"/>
      <c r="J16" s="1308"/>
      <c r="K16" s="1308"/>
      <c r="L16" s="1308"/>
      <c r="M16" s="1308"/>
      <c r="N16" s="1308"/>
      <c r="O16" s="1308"/>
      <c r="P16" s="1308"/>
      <c r="Q16" s="1308"/>
      <c r="R16" s="1308"/>
      <c r="S16" s="1308"/>
      <c r="T16" s="1308"/>
      <c r="U16" s="1308"/>
      <c r="V16" s="1308"/>
      <c r="W16" s="1308"/>
      <c r="X16" s="1309"/>
      <c r="Y16" s="26"/>
    </row>
    <row r="17" spans="3:25" s="124" customFormat="1" ht="35.25" customHeight="1" thickBot="1">
      <c r="C17" s="125"/>
      <c r="D17" s="125"/>
      <c r="E17" s="125"/>
      <c r="F17" s="126"/>
      <c r="H17" s="127"/>
      <c r="I17" s="127"/>
      <c r="J17" s="127"/>
      <c r="K17" s="127"/>
      <c r="L17" s="127"/>
      <c r="M17" s="127"/>
      <c r="N17" s="127"/>
      <c r="O17" s="127"/>
      <c r="P17" s="127"/>
      <c r="Q17" s="127"/>
      <c r="R17" s="127"/>
      <c r="S17" s="127"/>
      <c r="T17" s="127"/>
      <c r="U17" s="127"/>
      <c r="V17" s="127"/>
      <c r="W17" s="127"/>
      <c r="X17" s="127"/>
      <c r="Y17" s="128"/>
    </row>
    <row r="18" spans="3:25" s="124" customFormat="1" ht="35.25" customHeight="1">
      <c r="C18" s="1312" t="s">
        <v>9</v>
      </c>
      <c r="D18" s="1312"/>
      <c r="E18" s="1312"/>
      <c r="F18" s="1312"/>
      <c r="G18" s="1312"/>
      <c r="H18" s="1312"/>
      <c r="I18" s="1312"/>
      <c r="J18" s="1312"/>
      <c r="K18" s="127"/>
      <c r="L18" s="127"/>
      <c r="M18" s="127"/>
      <c r="N18" s="127"/>
      <c r="O18" s="127"/>
      <c r="P18" s="127"/>
      <c r="Q18" s="127"/>
      <c r="R18" s="127"/>
      <c r="S18" s="127"/>
      <c r="T18" s="127"/>
      <c r="U18" s="127"/>
      <c r="V18" s="127"/>
      <c r="W18" s="127"/>
      <c r="X18" s="127"/>
      <c r="Y18" s="128"/>
    </row>
    <row r="19" spans="3:25" s="124" customFormat="1" ht="35.25" customHeight="1">
      <c r="C19" s="1315" t="s">
        <v>10</v>
      </c>
      <c r="D19" s="1315"/>
      <c r="E19" s="1315"/>
      <c r="F19" s="1315"/>
      <c r="G19" s="1315"/>
      <c r="H19" s="1315"/>
      <c r="I19" s="1315"/>
      <c r="J19" s="1315"/>
      <c r="K19" s="1315"/>
      <c r="L19" s="1315"/>
      <c r="M19" s="1315"/>
      <c r="N19" s="1315"/>
      <c r="O19" s="1315"/>
      <c r="P19" s="1315"/>
      <c r="Q19" s="1315"/>
      <c r="R19" s="1315"/>
      <c r="S19" s="1315"/>
      <c r="T19" s="1315"/>
      <c r="U19" s="1315"/>
      <c r="V19" s="1315"/>
      <c r="W19" s="1315"/>
      <c r="X19" s="1315"/>
      <c r="Y19" s="128"/>
    </row>
    <row r="20" spans="3:25" s="124" customFormat="1" ht="35.25" customHeight="1" thickBot="1">
      <c r="C20" s="1313" t="s">
        <v>11</v>
      </c>
      <c r="D20" s="1314"/>
      <c r="E20" s="1313" t="s">
        <v>12</v>
      </c>
      <c r="F20" s="1314"/>
      <c r="G20" s="1313" t="s">
        <v>13</v>
      </c>
      <c r="H20" s="1314"/>
      <c r="I20" s="1313" t="s">
        <v>14</v>
      </c>
      <c r="J20" s="1314"/>
      <c r="K20" s="1313" t="s">
        <v>15</v>
      </c>
      <c r="L20" s="1314"/>
      <c r="M20" s="1313" t="s">
        <v>16</v>
      </c>
      <c r="N20" s="1314"/>
      <c r="O20" s="1313" t="s">
        <v>17</v>
      </c>
      <c r="P20" s="1314"/>
      <c r="Q20" s="1313" t="s">
        <v>18</v>
      </c>
      <c r="R20" s="1314"/>
      <c r="S20" s="1313" t="s">
        <v>19</v>
      </c>
      <c r="T20" s="1314"/>
      <c r="U20" s="1313" t="s">
        <v>20</v>
      </c>
      <c r="V20" s="1314"/>
      <c r="W20" s="1313" t="s">
        <v>21</v>
      </c>
      <c r="X20" s="1314"/>
      <c r="Y20" s="128"/>
    </row>
    <row r="21" spans="3:25" s="124" customFormat="1" ht="87" customHeight="1" thickBot="1">
      <c r="C21" s="775" t="s">
        <v>22</v>
      </c>
      <c r="D21" s="776"/>
      <c r="E21" s="775" t="s">
        <v>22</v>
      </c>
      <c r="F21" s="776"/>
      <c r="G21" s="775" t="s">
        <v>22</v>
      </c>
      <c r="H21" s="776"/>
      <c r="I21" s="775" t="s">
        <v>22</v>
      </c>
      <c r="J21" s="776"/>
      <c r="K21" s="775" t="s">
        <v>22</v>
      </c>
      <c r="L21" s="776"/>
      <c r="M21" s="775" t="s">
        <v>22</v>
      </c>
      <c r="N21" s="776"/>
      <c r="O21" s="775" t="s">
        <v>22</v>
      </c>
      <c r="P21" s="776"/>
      <c r="Q21" s="775" t="s">
        <v>22</v>
      </c>
      <c r="R21" s="776"/>
      <c r="S21" s="775" t="s">
        <v>22</v>
      </c>
      <c r="T21" s="776"/>
      <c r="U21" s="775" t="s">
        <v>22</v>
      </c>
      <c r="V21" s="776"/>
      <c r="W21" s="775" t="s">
        <v>22</v>
      </c>
      <c r="X21" s="776"/>
      <c r="Y21" s="128"/>
    </row>
    <row r="22" spans="3:25" s="124" customFormat="1" ht="35.25" customHeight="1">
      <c r="C22" s="125"/>
      <c r="D22" s="125"/>
      <c r="E22" s="125"/>
      <c r="F22" s="126"/>
      <c r="H22" s="127"/>
      <c r="I22" s="127"/>
      <c r="J22" s="127"/>
      <c r="K22" s="127"/>
      <c r="L22" s="127"/>
      <c r="M22" s="127"/>
      <c r="N22" s="127"/>
      <c r="O22" s="127"/>
      <c r="P22" s="127"/>
      <c r="Q22" s="127"/>
      <c r="R22" s="127"/>
      <c r="S22" s="127"/>
      <c r="T22" s="127"/>
      <c r="U22" s="127"/>
      <c r="V22" s="127"/>
      <c r="W22" s="127"/>
      <c r="X22" s="127"/>
      <c r="Y22" s="128"/>
    </row>
    <row r="23" spans="3:25" s="124" customFormat="1" ht="35.25" customHeight="1">
      <c r="C23" s="125"/>
      <c r="D23" s="125"/>
      <c r="E23" s="125"/>
      <c r="F23" s="126"/>
      <c r="H23" s="127"/>
      <c r="I23" s="127"/>
      <c r="J23" s="127"/>
      <c r="K23" s="127"/>
      <c r="L23" s="127"/>
      <c r="M23" s="127"/>
      <c r="N23" s="127"/>
      <c r="O23" s="127"/>
      <c r="P23" s="127"/>
      <c r="Q23" s="127"/>
      <c r="R23" s="127"/>
      <c r="S23" s="127"/>
      <c r="T23" s="127"/>
      <c r="U23" s="127"/>
      <c r="V23" s="127"/>
      <c r="W23" s="127"/>
      <c r="X23" s="127"/>
      <c r="Y23" s="128"/>
    </row>
    <row r="24" spans="3:25" ht="29.25" customHeight="1">
      <c r="C24" s="1355" t="s">
        <v>23</v>
      </c>
      <c r="D24" s="1355"/>
      <c r="E24" s="1355"/>
      <c r="F24" s="1355"/>
      <c r="Y24" s="26"/>
    </row>
    <row r="25" spans="3:25" ht="15.95" customHeight="1">
      <c r="Y25" s="26"/>
    </row>
    <row r="26" spans="3:25" ht="62.25" customHeight="1">
      <c r="C26" s="1349" t="s">
        <v>24</v>
      </c>
      <c r="D26" s="1350"/>
      <c r="E26" s="1350"/>
      <c r="F26" s="1350"/>
      <c r="G26" s="1350"/>
      <c r="H26" s="1350"/>
      <c r="I26" s="1350"/>
      <c r="J26" s="1350"/>
      <c r="K26" s="1350"/>
      <c r="L26" s="1350"/>
      <c r="M26" s="1350"/>
      <c r="N26" s="1350"/>
      <c r="O26" s="1350"/>
      <c r="P26" s="1350"/>
      <c r="Q26" s="1350"/>
      <c r="R26" s="1350"/>
      <c r="S26" s="1350"/>
      <c r="T26" s="1350"/>
      <c r="U26" s="1350"/>
      <c r="V26" s="1350"/>
      <c r="W26" s="1350"/>
      <c r="X26" s="1351"/>
      <c r="Y26" s="26"/>
    </row>
    <row r="27" spans="3:25" s="124" customFormat="1" ht="84.75" customHeight="1" thickBot="1">
      <c r="C27" s="129"/>
      <c r="D27" s="130"/>
      <c r="E27" s="130"/>
      <c r="F27" s="130"/>
      <c r="G27" s="130"/>
      <c r="H27" s="130"/>
      <c r="I27" s="130"/>
      <c r="J27" s="130"/>
      <c r="K27" s="130"/>
      <c r="L27" s="130"/>
      <c r="M27" s="130"/>
      <c r="N27" s="130"/>
      <c r="O27" s="130"/>
      <c r="P27" s="130"/>
      <c r="Q27" s="130"/>
      <c r="R27" s="130"/>
      <c r="S27" s="130"/>
      <c r="T27" s="130"/>
      <c r="U27" s="130"/>
      <c r="V27" s="130"/>
      <c r="W27" s="130"/>
      <c r="X27" s="130"/>
      <c r="Y27" s="128"/>
    </row>
    <row r="28" spans="3:25" s="124" customFormat="1" ht="84.75" customHeight="1">
      <c r="C28" s="1346" t="s">
        <v>25</v>
      </c>
      <c r="D28" s="1347"/>
      <c r="E28" s="1347"/>
      <c r="F28" s="1347"/>
      <c r="G28" s="1347"/>
      <c r="H28" s="1347"/>
      <c r="I28" s="1347"/>
      <c r="J28" s="1348"/>
      <c r="K28" s="130"/>
      <c r="L28" s="130"/>
      <c r="M28" s="1352" t="s">
        <v>26</v>
      </c>
      <c r="N28" s="1353"/>
      <c r="O28" s="1353"/>
      <c r="P28" s="1353"/>
      <c r="Q28" s="1353"/>
      <c r="R28" s="1353"/>
      <c r="S28" s="1353"/>
      <c r="T28" s="1353"/>
      <c r="U28" s="1353"/>
      <c r="V28" s="1353"/>
      <c r="W28" s="1354"/>
      <c r="Y28" s="128"/>
    </row>
    <row r="29" spans="3:25" s="124" customFormat="1" ht="180.75" customHeight="1">
      <c r="C29" s="1337" t="s">
        <v>27</v>
      </c>
      <c r="D29" s="1338"/>
      <c r="E29" s="1338"/>
      <c r="F29" s="1338"/>
      <c r="G29" s="1338"/>
      <c r="H29" s="1338"/>
      <c r="I29" s="1338"/>
      <c r="J29" s="1339"/>
      <c r="K29" s="130"/>
      <c r="L29" s="130"/>
      <c r="M29" s="1337" t="s">
        <v>28</v>
      </c>
      <c r="N29" s="1338"/>
      <c r="O29" s="1338"/>
      <c r="P29" s="1338"/>
      <c r="Q29" s="1338"/>
      <c r="R29" s="1338"/>
      <c r="S29" s="1338"/>
      <c r="T29" s="1338"/>
      <c r="U29" s="1338"/>
      <c r="V29" s="1338"/>
      <c r="W29" s="1339"/>
      <c r="Y29" s="128"/>
    </row>
    <row r="30" spans="3:25" s="124" customFormat="1" ht="51.95" customHeight="1">
      <c r="C30" s="1340" t="s">
        <v>29</v>
      </c>
      <c r="D30" s="1341"/>
      <c r="E30" s="1341"/>
      <c r="F30" s="1341"/>
      <c r="G30" s="1341"/>
      <c r="H30" s="1341"/>
      <c r="I30" s="1341"/>
      <c r="J30" s="1342"/>
      <c r="K30" s="130"/>
      <c r="L30" s="130"/>
      <c r="M30" s="1337" t="s">
        <v>30</v>
      </c>
      <c r="N30" s="1338"/>
      <c r="O30" s="1338"/>
      <c r="P30" s="1338"/>
      <c r="Q30" s="1338"/>
      <c r="R30" s="1338"/>
      <c r="S30" s="1338"/>
      <c r="T30" s="1338"/>
      <c r="U30" s="1338"/>
      <c r="V30" s="1338"/>
      <c r="W30" s="1339"/>
      <c r="Y30" s="128"/>
    </row>
    <row r="31" spans="3:25" s="124" customFormat="1" ht="81.95" customHeight="1">
      <c r="C31" s="1340" t="s">
        <v>31</v>
      </c>
      <c r="D31" s="1341"/>
      <c r="E31" s="1341"/>
      <c r="F31" s="1341"/>
      <c r="G31" s="1341"/>
      <c r="H31" s="1341"/>
      <c r="I31" s="1341"/>
      <c r="J31" s="1342"/>
      <c r="K31" s="130"/>
      <c r="L31" s="130"/>
      <c r="M31" s="1337"/>
      <c r="N31" s="1338"/>
      <c r="O31" s="1338"/>
      <c r="P31" s="1338"/>
      <c r="Q31" s="1338"/>
      <c r="R31" s="1338"/>
      <c r="S31" s="1338"/>
      <c r="T31" s="1338"/>
      <c r="U31" s="1338"/>
      <c r="V31" s="1338"/>
      <c r="W31" s="1339"/>
      <c r="Y31" s="128"/>
    </row>
    <row r="32" spans="3:25" s="124" customFormat="1" ht="102.75" customHeight="1" thickBot="1">
      <c r="C32" s="1343"/>
      <c r="D32" s="1344"/>
      <c r="E32" s="1344"/>
      <c r="F32" s="1344"/>
      <c r="G32" s="1344"/>
      <c r="H32" s="1344"/>
      <c r="I32" s="1344"/>
      <c r="J32" s="1345"/>
      <c r="K32" s="130"/>
      <c r="L32" s="130"/>
      <c r="M32" s="1337"/>
      <c r="N32" s="1338"/>
      <c r="O32" s="1338"/>
      <c r="P32" s="1338"/>
      <c r="Q32" s="1338"/>
      <c r="R32" s="1338"/>
      <c r="S32" s="1338"/>
      <c r="T32" s="1338"/>
      <c r="U32" s="1338"/>
      <c r="V32" s="1338"/>
      <c r="W32" s="1339"/>
      <c r="Y32" s="128"/>
    </row>
    <row r="33" spans="3:25" s="124" customFormat="1" ht="12.95" customHeight="1" thickBot="1">
      <c r="C33" s="129"/>
      <c r="D33" s="130"/>
      <c r="E33" s="130"/>
      <c r="F33" s="130"/>
      <c r="G33" s="130"/>
      <c r="H33" s="130"/>
      <c r="I33" s="130"/>
      <c r="J33" s="130"/>
      <c r="K33" s="130"/>
      <c r="L33" s="130"/>
      <c r="M33" s="1331"/>
      <c r="N33" s="1332"/>
      <c r="O33" s="1332"/>
      <c r="P33" s="1332"/>
      <c r="Q33" s="1332"/>
      <c r="R33" s="1332"/>
      <c r="S33" s="1332"/>
      <c r="T33" s="1332"/>
      <c r="U33" s="1332"/>
      <c r="V33" s="1332"/>
      <c r="W33" s="1333"/>
      <c r="Y33" s="128"/>
    </row>
    <row r="34" spans="3:25" s="124" customFormat="1" ht="168.95" customHeight="1" thickBot="1">
      <c r="N34" s="131"/>
      <c r="O34" s="131"/>
      <c r="P34" s="131"/>
      <c r="Q34" s="131"/>
      <c r="R34" s="131"/>
      <c r="S34" s="131"/>
      <c r="T34" s="131"/>
      <c r="U34" s="131"/>
      <c r="V34" s="131"/>
      <c r="W34" s="131"/>
      <c r="X34" s="131"/>
      <c r="Y34" s="128"/>
    </row>
    <row r="35" spans="3:25" s="124" customFormat="1" ht="83.45" customHeight="1">
      <c r="C35" s="1334" t="s">
        <v>32</v>
      </c>
      <c r="D35" s="1335"/>
      <c r="E35" s="1335"/>
      <c r="F35" s="1335"/>
      <c r="G35" s="1335"/>
      <c r="H35" s="1335"/>
      <c r="I35" s="1335"/>
      <c r="J35" s="1335"/>
      <c r="K35" s="1335"/>
      <c r="L35" s="1335"/>
      <c r="M35" s="1335"/>
      <c r="N35" s="1335"/>
      <c r="O35" s="1335"/>
      <c r="P35" s="1335"/>
      <c r="Q35" s="1335"/>
      <c r="R35" s="1335"/>
      <c r="S35" s="1335"/>
      <c r="T35" s="1335"/>
      <c r="U35" s="1335"/>
      <c r="V35" s="1335"/>
      <c r="W35" s="1336"/>
      <c r="X35" s="131"/>
      <c r="Y35" s="128"/>
    </row>
    <row r="36" spans="3:25" s="124" customFormat="1" ht="144.94999999999999" customHeight="1" thickBot="1">
      <c r="C36" s="1331" t="s">
        <v>33</v>
      </c>
      <c r="D36" s="1332"/>
      <c r="E36" s="1332"/>
      <c r="F36" s="1332"/>
      <c r="G36" s="1332"/>
      <c r="H36" s="1332"/>
      <c r="I36" s="1332"/>
      <c r="J36" s="1332"/>
      <c r="K36" s="1332"/>
      <c r="L36" s="1332"/>
      <c r="M36" s="1332"/>
      <c r="N36" s="1332"/>
      <c r="O36" s="1332"/>
      <c r="P36" s="1332"/>
      <c r="Q36" s="1332"/>
      <c r="R36" s="1332"/>
      <c r="S36" s="1332"/>
      <c r="T36" s="1332"/>
      <c r="U36" s="1332"/>
      <c r="V36" s="1332"/>
      <c r="W36" s="1333"/>
      <c r="X36" s="131"/>
      <c r="Y36" s="128"/>
    </row>
    <row r="37" spans="3:25" s="124" customFormat="1" ht="54.95" customHeight="1">
      <c r="N37" s="131"/>
      <c r="O37" s="131"/>
      <c r="P37" s="131"/>
      <c r="Q37" s="131"/>
      <c r="R37" s="131"/>
      <c r="S37" s="131"/>
      <c r="T37" s="131"/>
      <c r="U37" s="131"/>
      <c r="V37" s="131"/>
      <c r="W37" s="131"/>
      <c r="X37" s="131"/>
      <c r="Y37" s="128"/>
    </row>
    <row r="38" spans="3:25" s="124" customFormat="1" ht="93" customHeight="1">
      <c r="N38" s="131"/>
      <c r="O38" s="131"/>
      <c r="P38" s="131"/>
      <c r="Q38" s="131"/>
      <c r="R38" s="131"/>
      <c r="S38" s="131"/>
      <c r="T38" s="131"/>
      <c r="U38" s="131"/>
      <c r="V38" s="131"/>
      <c r="W38" s="131"/>
      <c r="X38" s="131"/>
      <c r="Y38" s="128"/>
    </row>
    <row r="39" spans="3:25" s="124" customFormat="1" ht="87" customHeight="1">
      <c r="N39" s="131"/>
      <c r="O39" s="131"/>
      <c r="P39" s="131"/>
      <c r="Q39" s="131"/>
      <c r="R39" s="131"/>
      <c r="S39" s="131"/>
      <c r="T39" s="131"/>
      <c r="U39" s="131"/>
      <c r="V39" s="131"/>
      <c r="W39" s="131"/>
      <c r="X39" s="131"/>
      <c r="Y39" s="128"/>
    </row>
    <row r="40" spans="3:25" s="124" customFormat="1" ht="58.5" customHeight="1" thickBot="1">
      <c r="Y40" s="128"/>
    </row>
    <row r="41" spans="3:25" s="124" customFormat="1" ht="180.75" customHeight="1">
      <c r="C41" s="1328" t="s">
        <v>34</v>
      </c>
      <c r="D41" s="1329"/>
      <c r="E41" s="1329"/>
      <c r="F41" s="1329"/>
      <c r="G41" s="1329"/>
      <c r="H41" s="1329"/>
      <c r="I41" s="1329"/>
      <c r="J41" s="1329"/>
      <c r="K41" s="1329"/>
      <c r="L41" s="1329"/>
      <c r="M41" s="1330"/>
      <c r="Y41" s="128"/>
    </row>
    <row r="42" spans="3:25" s="124" customFormat="1" ht="78.75" customHeight="1" thickBot="1">
      <c r="C42" s="1331" t="s">
        <v>35</v>
      </c>
      <c r="D42" s="1332"/>
      <c r="E42" s="1332"/>
      <c r="F42" s="1332"/>
      <c r="G42" s="1332"/>
      <c r="H42" s="1332"/>
      <c r="I42" s="1332"/>
      <c r="J42" s="1332"/>
      <c r="K42" s="1332"/>
      <c r="L42" s="1332"/>
      <c r="M42" s="1333"/>
      <c r="N42" s="25"/>
      <c r="O42" s="25"/>
      <c r="P42" s="25"/>
      <c r="Q42" s="25"/>
      <c r="R42" s="25"/>
      <c r="S42" s="25"/>
      <c r="T42" s="25"/>
      <c r="U42" s="25"/>
      <c r="V42" s="25"/>
      <c r="W42" s="25"/>
      <c r="X42" s="25"/>
    </row>
    <row r="43" spans="3:25" s="124" customFormat="1" ht="85.5" customHeight="1">
      <c r="N43" s="25"/>
      <c r="O43" s="25"/>
      <c r="P43" s="25"/>
      <c r="Q43" s="25"/>
      <c r="R43" s="25"/>
      <c r="S43" s="25"/>
      <c r="T43" s="25"/>
      <c r="U43" s="25"/>
      <c r="V43" s="25"/>
      <c r="W43" s="25"/>
      <c r="X43" s="25"/>
    </row>
    <row r="44" spans="3:25" s="124" customFormat="1" ht="84.75" customHeight="1">
      <c r="M44" s="130"/>
      <c r="N44" s="130"/>
      <c r="O44" s="130"/>
      <c r="P44" s="130"/>
      <c r="Q44" s="130"/>
      <c r="R44" s="130"/>
      <c r="S44" s="130"/>
      <c r="T44" s="130"/>
      <c r="U44" s="130"/>
      <c r="V44" s="130"/>
      <c r="W44" s="130"/>
      <c r="X44" s="130"/>
    </row>
    <row r="47" spans="3:25" ht="117" customHeight="1"/>
  </sheetData>
  <sheetProtection formatCells="0" formatColumns="0" formatRows="0" insertColumns="0" insertRows="0" insertHyperlinks="0" deleteColumns="0" deleteRows="0" sort="0" autoFilter="0" pivotTables="0"/>
  <mergeCells count="36">
    <mergeCell ref="C26:X26"/>
    <mergeCell ref="U20:V20"/>
    <mergeCell ref="W20:X20"/>
    <mergeCell ref="G20:H20"/>
    <mergeCell ref="M28:W28"/>
    <mergeCell ref="C24:F24"/>
    <mergeCell ref="M29:W29"/>
    <mergeCell ref="C31:J32"/>
    <mergeCell ref="C28:J28"/>
    <mergeCell ref="C29:J29"/>
    <mergeCell ref="C30:J30"/>
    <mergeCell ref="C41:M41"/>
    <mergeCell ref="C42:M42"/>
    <mergeCell ref="C35:W35"/>
    <mergeCell ref="C36:W36"/>
    <mergeCell ref="M30:W33"/>
    <mergeCell ref="B8:Y8"/>
    <mergeCell ref="B11:Y11"/>
    <mergeCell ref="C12:X12"/>
    <mergeCell ref="C15:E15"/>
    <mergeCell ref="G15:X15"/>
    <mergeCell ref="B9:Y9"/>
    <mergeCell ref="C16:E16"/>
    <mergeCell ref="G16:X16"/>
    <mergeCell ref="B10:Y10"/>
    <mergeCell ref="C18:J18"/>
    <mergeCell ref="C20:D20"/>
    <mergeCell ref="E20:F20"/>
    <mergeCell ref="Q20:R20"/>
    <mergeCell ref="S20:T20"/>
    <mergeCell ref="C19:X19"/>
    <mergeCell ref="I20:J20"/>
    <mergeCell ref="K20:L20"/>
    <mergeCell ref="M20:N20"/>
    <mergeCell ref="O20:P20"/>
    <mergeCell ref="C14:D14"/>
  </mergeCells>
  <pageMargins left="6.6666666666666671E-3" right="0.7" top="3.3333333333333335E-3" bottom="0.75" header="0.3" footer="0.3"/>
  <pageSetup paperSize="9" scale="24"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92D050"/>
    <pageSetUpPr fitToPage="1"/>
  </sheetPr>
  <dimension ref="A2:AF118"/>
  <sheetViews>
    <sheetView showGridLines="0" tabSelected="1" zoomScale="34" zoomScaleNormal="44" zoomScalePageLayoutView="50" workbookViewId="0">
      <selection activeCell="J12" sqref="J12"/>
    </sheetView>
  </sheetViews>
  <sheetFormatPr defaultColWidth="11.42578125" defaultRowHeight="18.95"/>
  <cols>
    <col min="1" max="1" width="26.140625" style="65" customWidth="1"/>
    <col min="2" max="2" width="27.85546875" style="667" customWidth="1"/>
    <col min="3" max="3" width="26.85546875" style="65" customWidth="1"/>
    <col min="4" max="4" width="51.42578125" style="65" customWidth="1"/>
    <col min="5" max="5" width="47.42578125" style="65" customWidth="1"/>
    <col min="6" max="6" width="49.42578125" style="65" customWidth="1"/>
    <col min="7" max="8" width="32.42578125" style="65" customWidth="1"/>
    <col min="9" max="10" width="45.140625" style="65" customWidth="1"/>
    <col min="11" max="11" width="73.140625" style="65" customWidth="1"/>
    <col min="12" max="12" width="37.42578125" style="65" customWidth="1"/>
    <col min="13" max="13" width="65.42578125" style="65" customWidth="1"/>
    <col min="14" max="14" width="59.42578125" style="47" customWidth="1"/>
    <col min="15" max="15" width="43.42578125" style="47" customWidth="1"/>
    <col min="16" max="16" width="46.85546875" style="47" customWidth="1"/>
    <col min="17" max="17" width="55.85546875" style="47" customWidth="1"/>
    <col min="18" max="18" width="27.140625" style="47" customWidth="1"/>
    <col min="19" max="19" width="46.42578125" style="47" customWidth="1"/>
    <col min="20" max="20" width="53.42578125" style="47" customWidth="1"/>
    <col min="21" max="21" width="49.42578125" style="47" customWidth="1"/>
    <col min="22" max="22" width="41" style="65" customWidth="1"/>
    <col min="23" max="23" width="25" style="65" bestFit="1" customWidth="1"/>
    <col min="24" max="24" width="24.85546875" style="65" customWidth="1"/>
    <col min="25" max="25" width="50.42578125" style="65" customWidth="1"/>
    <col min="26" max="26" width="30.42578125" style="65" customWidth="1"/>
    <col min="27" max="27" width="19.42578125" style="65" customWidth="1"/>
    <col min="28" max="28" width="34.42578125" style="65" customWidth="1"/>
    <col min="29" max="29" width="32.42578125" style="65" customWidth="1"/>
    <col min="30" max="30" width="34" style="65" customWidth="1"/>
    <col min="31" max="16384" width="11.42578125" style="65"/>
  </cols>
  <sheetData>
    <row r="2" spans="1:32" ht="107.45" customHeight="1">
      <c r="A2" s="1240" t="s">
        <v>463</v>
      </c>
      <c r="B2" s="1241"/>
      <c r="C2" s="1241"/>
      <c r="D2" s="1241"/>
      <c r="E2" s="1241"/>
      <c r="F2" s="1241"/>
      <c r="G2" s="1241"/>
      <c r="H2" s="1241"/>
      <c r="I2" s="1241"/>
      <c r="J2" s="1241"/>
      <c r="K2" s="1241"/>
      <c r="L2" s="1241"/>
      <c r="M2" s="1241"/>
      <c r="N2" s="1241"/>
      <c r="O2" s="1241"/>
      <c r="P2" s="1241"/>
      <c r="Q2" s="1241"/>
      <c r="R2" s="1241"/>
      <c r="S2" s="1241"/>
      <c r="T2" s="1241"/>
      <c r="U2" s="1241"/>
      <c r="V2" s="1241"/>
      <c r="W2" s="1241"/>
      <c r="X2" s="1241"/>
      <c r="Y2" s="1241"/>
      <c r="Z2" s="1241"/>
    </row>
    <row r="3" spans="1:32" ht="42" customHeight="1" thickBot="1">
      <c r="B3" s="970"/>
      <c r="C3" s="971"/>
      <c r="D3" s="230"/>
      <c r="E3" s="1279"/>
      <c r="F3" s="1279"/>
      <c r="G3" s="1279"/>
      <c r="H3" s="1279"/>
      <c r="I3" s="1279"/>
      <c r="J3" s="1279"/>
      <c r="K3" s="1279"/>
      <c r="L3" s="972"/>
      <c r="M3" s="972"/>
      <c r="N3" s="973"/>
      <c r="Q3" s="974"/>
      <c r="R3" s="974"/>
      <c r="S3" s="974"/>
      <c r="T3" s="974"/>
    </row>
    <row r="4" spans="1:32" ht="102.75" customHeight="1" thickBot="1">
      <c r="A4" s="1281" t="s">
        <v>464</v>
      </c>
      <c r="B4" s="1282"/>
      <c r="C4" s="1282"/>
      <c r="D4" s="1282"/>
      <c r="E4" s="1282"/>
      <c r="F4" s="1282"/>
      <c r="G4" s="1282"/>
      <c r="H4" s="1282"/>
      <c r="I4" s="1282"/>
      <c r="J4" s="1282"/>
      <c r="K4" s="1283"/>
      <c r="L4" s="972"/>
      <c r="M4" s="1292" t="s">
        <v>465</v>
      </c>
      <c r="N4" s="1293"/>
      <c r="O4" s="1293"/>
      <c r="P4" s="1293"/>
      <c r="Q4" s="1293"/>
      <c r="R4" s="1293"/>
      <c r="S4" s="668"/>
      <c r="T4" s="668"/>
      <c r="U4" s="668"/>
      <c r="V4" s="668"/>
      <c r="W4" s="1280" t="s">
        <v>466</v>
      </c>
      <c r="X4" s="1280"/>
      <c r="Y4" s="1280"/>
      <c r="Z4" s="1280"/>
    </row>
    <row r="5" spans="1:32" ht="84" customHeight="1" thickBot="1">
      <c r="A5" s="1285" t="s">
        <v>467</v>
      </c>
      <c r="B5" s="1286"/>
      <c r="C5" s="1286"/>
      <c r="D5" s="1286"/>
      <c r="E5" s="1286"/>
      <c r="F5" s="1286"/>
      <c r="G5" s="1286"/>
      <c r="H5" s="1286"/>
      <c r="I5" s="1286"/>
      <c r="J5" s="1286"/>
      <c r="K5" s="1287"/>
      <c r="L5" s="972"/>
      <c r="M5" s="938" t="s">
        <v>468</v>
      </c>
      <c r="N5" s="1290" t="s">
        <v>469</v>
      </c>
      <c r="O5" s="1257" t="s">
        <v>470</v>
      </c>
      <c r="P5" s="968" t="s">
        <v>471</v>
      </c>
      <c r="Q5" s="1255" t="s">
        <v>472</v>
      </c>
      <c r="R5" s="1257" t="s">
        <v>473</v>
      </c>
      <c r="S5" s="967"/>
      <c r="T5" s="967"/>
      <c r="U5" s="967"/>
      <c r="V5" s="967"/>
      <c r="W5" s="975" t="s">
        <v>474</v>
      </c>
      <c r="X5" s="976">
        <f>C28</f>
        <v>17845.385000000002</v>
      </c>
      <c r="Y5" s="977" t="s">
        <v>475</v>
      </c>
      <c r="Z5" s="978">
        <f>L28</f>
        <v>10445.379999999999</v>
      </c>
    </row>
    <row r="6" spans="1:32" ht="141" customHeight="1">
      <c r="A6" s="1288" t="s">
        <v>476</v>
      </c>
      <c r="B6" s="1289"/>
      <c r="C6" s="1289"/>
      <c r="D6" s="1288" t="s">
        <v>477</v>
      </c>
      <c r="E6" s="1289"/>
      <c r="F6" s="1289"/>
      <c r="G6" s="1289"/>
      <c r="H6" s="1289"/>
      <c r="I6" s="1289"/>
      <c r="J6" s="1289"/>
      <c r="K6" s="979" t="s">
        <v>478</v>
      </c>
      <c r="M6" s="939" t="s">
        <v>479</v>
      </c>
      <c r="N6" s="1291"/>
      <c r="O6" s="1258"/>
      <c r="P6" s="969" t="s">
        <v>480</v>
      </c>
      <c r="Q6" s="1256"/>
      <c r="R6" s="1258"/>
      <c r="S6" s="967"/>
      <c r="T6" s="967"/>
      <c r="U6" s="967"/>
      <c r="V6" s="967"/>
      <c r="W6" s="975" t="s">
        <v>481</v>
      </c>
      <c r="X6" s="976">
        <f>M10+P10</f>
        <v>3000</v>
      </c>
      <c r="Y6" s="977" t="s">
        <v>482</v>
      </c>
      <c r="Z6" s="980">
        <f>T28</f>
        <v>0</v>
      </c>
    </row>
    <row r="7" spans="1:32" ht="75.95" customHeight="1" thickBot="1">
      <c r="A7" s="981" t="s">
        <v>483</v>
      </c>
      <c r="B7" s="982" t="s">
        <v>484</v>
      </c>
      <c r="C7" s="983" t="s">
        <v>485</v>
      </c>
      <c r="D7" s="984" t="s">
        <v>486</v>
      </c>
      <c r="E7" s="984" t="s">
        <v>487</v>
      </c>
      <c r="F7" s="984" t="s">
        <v>488</v>
      </c>
      <c r="G7" s="984" t="s">
        <v>316</v>
      </c>
      <c r="H7" s="984" t="s">
        <v>489</v>
      </c>
      <c r="I7" s="984" t="s">
        <v>490</v>
      </c>
      <c r="J7" s="985" t="s">
        <v>491</v>
      </c>
      <c r="K7" s="986" t="s">
        <v>43</v>
      </c>
      <c r="M7" s="987">
        <v>2000</v>
      </c>
      <c r="N7" s="988" t="s">
        <v>492</v>
      </c>
      <c r="O7" s="989" t="s">
        <v>152</v>
      </c>
      <c r="P7" s="990">
        <v>1000</v>
      </c>
      <c r="Q7" s="991"/>
      <c r="R7" s="992"/>
      <c r="S7" s="993"/>
      <c r="T7" s="993"/>
      <c r="U7" s="993"/>
      <c r="V7" s="993"/>
      <c r="W7" s="1284" t="s">
        <v>493</v>
      </c>
      <c r="X7" s="1284"/>
      <c r="Y7" s="994" t="s">
        <v>494</v>
      </c>
      <c r="Z7" s="995">
        <f>P28</f>
        <v>1866.81</v>
      </c>
    </row>
    <row r="8" spans="1:32" ht="84.95" customHeight="1" thickBot="1">
      <c r="A8" s="996">
        <f>'1.1-Investissements'!W110+'1.2-Amortissements'!P110+'2-Contributions en nature'!J110+'3-Frais de personnel'!O110+'4-TF coûts indirects'!H21+'5-Déplacements &amp; hébergements'!AG50+'6-Coûts participation agri'!M53</f>
        <v>17645.385000000002</v>
      </c>
      <c r="B8" s="997">
        <f>'1.1-Investissements'!X110</f>
        <v>200</v>
      </c>
      <c r="C8" s="998">
        <f>A8+B8</f>
        <v>17845.385000000002</v>
      </c>
      <c r="D8" s="997">
        <f>'1.1-Investissements'!Y110</f>
        <v>3200</v>
      </c>
      <c r="E8" s="999">
        <f>'1.2-Amortissements'!P110</f>
        <v>3000</v>
      </c>
      <c r="F8" s="997">
        <f>'2-Contributions en nature'!J110</f>
        <v>4400</v>
      </c>
      <c r="G8" s="997">
        <f>'3-Frais de personnel'!O110</f>
        <v>2514.9</v>
      </c>
      <c r="H8" s="997">
        <f>'4-TF coûts indirects'!H21</f>
        <v>377.23500000000001</v>
      </c>
      <c r="I8" s="1000">
        <f>'5-Déplacements &amp; hébergements'!AG50</f>
        <v>3205.25</v>
      </c>
      <c r="J8" s="1001">
        <f>'6-Coûts participation agri'!M53</f>
        <v>1148</v>
      </c>
      <c r="K8" s="1002">
        <f>C8</f>
        <v>17845.385000000002</v>
      </c>
      <c r="M8" s="987"/>
      <c r="N8" s="991"/>
      <c r="O8" s="989"/>
      <c r="P8" s="990"/>
      <c r="Q8" s="991"/>
      <c r="R8" s="992"/>
      <c r="S8" s="993"/>
      <c r="T8" s="993"/>
      <c r="U8" s="993"/>
      <c r="V8" s="993"/>
      <c r="W8" s="1003" t="s">
        <v>495</v>
      </c>
      <c r="X8" s="978">
        <f>Q28</f>
        <v>0</v>
      </c>
      <c r="Y8" s="47"/>
      <c r="Z8" s="47"/>
    </row>
    <row r="9" spans="1:32" ht="119.25" customHeight="1" thickBot="1">
      <c r="A9" s="668"/>
      <c r="B9" s="668"/>
      <c r="C9" s="668"/>
      <c r="D9" s="668"/>
      <c r="E9" s="668"/>
      <c r="F9" s="668"/>
      <c r="G9" s="668"/>
      <c r="H9" s="668"/>
      <c r="I9" s="668"/>
      <c r="J9" s="668"/>
      <c r="K9" s="668"/>
      <c r="M9" s="1004"/>
      <c r="N9" s="1005"/>
      <c r="O9" s="1006"/>
      <c r="P9" s="1007"/>
      <c r="Q9" s="1005"/>
      <c r="R9" s="1008"/>
      <c r="S9" s="993"/>
      <c r="T9" s="993"/>
      <c r="U9" s="993"/>
      <c r="V9" s="993"/>
      <c r="W9" s="977" t="s">
        <v>496</v>
      </c>
      <c r="X9" s="978">
        <f>M7</f>
        <v>2000</v>
      </c>
      <c r="Y9" s="47"/>
      <c r="Z9" s="47"/>
      <c r="AA9" s="971"/>
    </row>
    <row r="10" spans="1:32" ht="143.44999999999999" customHeight="1" thickBot="1">
      <c r="A10" s="668"/>
      <c r="B10" s="668"/>
      <c r="C10" s="668"/>
      <c r="D10" s="771"/>
      <c r="E10" s="668"/>
      <c r="F10" s="668"/>
      <c r="G10" s="668"/>
      <c r="H10" s="668"/>
      <c r="I10" s="668"/>
      <c r="J10" s="668"/>
      <c r="K10" s="772"/>
      <c r="L10" s="672"/>
      <c r="M10" s="1009">
        <f>SUM(M7:M9)</f>
        <v>2000</v>
      </c>
      <c r="N10" s="1010"/>
      <c r="O10" s="1010"/>
      <c r="P10" s="1009">
        <f>SUM(P7:P9)</f>
        <v>1000</v>
      </c>
      <c r="Q10" s="1011"/>
      <c r="V10" s="47"/>
      <c r="W10" s="977" t="s">
        <v>497</v>
      </c>
      <c r="X10" s="978">
        <f>IF(N7&lt;&gt;"Département",M7,0)</f>
        <v>0</v>
      </c>
      <c r="Y10" s="47"/>
      <c r="Z10" s="47"/>
      <c r="AA10" s="971"/>
    </row>
    <row r="11" spans="1:32" ht="83.45" customHeight="1">
      <c r="B11" s="65"/>
      <c r="D11" s="667"/>
      <c r="K11" s="230"/>
      <c r="M11" s="668"/>
      <c r="N11" s="668"/>
      <c r="O11" s="668"/>
      <c r="P11" s="668"/>
      <c r="Q11" s="668"/>
      <c r="R11" s="1012"/>
      <c r="S11" s="1013"/>
      <c r="T11" s="1013"/>
      <c r="U11" s="971"/>
      <c r="V11" s="971"/>
      <c r="W11" s="971"/>
    </row>
    <row r="12" spans="1:32" ht="83.45" customHeight="1">
      <c r="B12" s="65"/>
      <c r="D12" s="667"/>
      <c r="M12" s="1266"/>
      <c r="N12" s="1266"/>
      <c r="O12" s="1266"/>
      <c r="P12" s="1266"/>
      <c r="Q12" s="1266"/>
      <c r="R12" s="1012"/>
      <c r="S12" s="65"/>
      <c r="T12" s="1015"/>
      <c r="U12" s="1015"/>
      <c r="V12" s="1015"/>
      <c r="W12" s="1015"/>
      <c r="X12" s="668"/>
    </row>
    <row r="13" spans="1:32" ht="156" customHeight="1">
      <c r="B13" s="65"/>
      <c r="D13" s="667"/>
      <c r="M13" s="1270"/>
      <c r="N13" s="1270"/>
      <c r="O13" s="1266"/>
      <c r="P13" s="1266"/>
      <c r="Q13" s="1014"/>
      <c r="R13" s="1012"/>
      <c r="S13" s="65"/>
      <c r="T13" s="1016"/>
      <c r="U13" s="65"/>
    </row>
    <row r="14" spans="1:32" ht="83.45" customHeight="1">
      <c r="B14" s="65"/>
      <c r="D14" s="667"/>
      <c r="M14" s="668"/>
      <c r="N14" s="668"/>
      <c r="O14" s="668"/>
      <c r="P14" s="668"/>
      <c r="Q14" s="668"/>
      <c r="R14" s="1012"/>
      <c r="S14" s="65"/>
      <c r="T14" s="1016"/>
      <c r="U14" s="65"/>
    </row>
    <row r="15" spans="1:32" ht="83.45" customHeight="1">
      <c r="B15" s="65"/>
      <c r="K15" s="230"/>
      <c r="L15" s="230"/>
      <c r="N15" s="65"/>
      <c r="O15" s="65"/>
      <c r="P15" s="65"/>
      <c r="Q15" s="65"/>
      <c r="S15" s="65"/>
      <c r="T15" s="1016"/>
      <c r="U15" s="668"/>
      <c r="V15" s="668"/>
      <c r="W15" s="668"/>
      <c r="X15" s="668"/>
      <c r="Y15" s="668"/>
      <c r="Z15" s="668"/>
      <c r="AA15" s="668"/>
      <c r="AB15" s="668"/>
      <c r="AC15" s="668"/>
      <c r="AD15" s="668"/>
      <c r="AE15" s="668"/>
      <c r="AF15" s="668"/>
    </row>
    <row r="16" spans="1:32" ht="117.95" customHeight="1">
      <c r="A16" s="1242" t="s">
        <v>498</v>
      </c>
      <c r="B16" s="1242"/>
      <c r="C16" s="1242"/>
      <c r="D16" s="1242"/>
      <c r="E16" s="1242"/>
      <c r="F16" s="1242"/>
      <c r="G16" s="1242"/>
      <c r="H16" s="1242"/>
      <c r="I16" s="1242"/>
      <c r="J16" s="1242"/>
      <c r="K16" s="1242"/>
      <c r="L16" s="1242"/>
      <c r="M16" s="1242"/>
      <c r="N16" s="1242"/>
      <c r="O16" s="1242"/>
      <c r="P16" s="1242"/>
      <c r="Q16" s="1242"/>
      <c r="R16" s="1242"/>
      <c r="S16" s="1242"/>
      <c r="T16" s="1242"/>
      <c r="U16" s="1242"/>
    </row>
    <row r="17" spans="1:32" ht="42.95" customHeight="1" thickBot="1">
      <c r="N17" s="65"/>
      <c r="O17" s="65"/>
      <c r="P17" s="65"/>
      <c r="Q17" s="65"/>
      <c r="R17" s="65"/>
      <c r="S17" s="65"/>
      <c r="T17" s="1016"/>
      <c r="U17" s="672"/>
      <c r="V17" s="672"/>
      <c r="W17" s="672"/>
      <c r="X17" s="672"/>
      <c r="Y17" s="672"/>
      <c r="Z17" s="672"/>
      <c r="AA17" s="672"/>
      <c r="AB17" s="672"/>
      <c r="AC17" s="672"/>
      <c r="AD17" s="672"/>
      <c r="AE17" s="672"/>
      <c r="AF17" s="672"/>
    </row>
    <row r="18" spans="1:32" ht="108" customHeight="1">
      <c r="C18" s="1267" t="s">
        <v>499</v>
      </c>
      <c r="D18" s="1268"/>
      <c r="E18" s="1269"/>
      <c r="G18" s="1272" t="s">
        <v>500</v>
      </c>
      <c r="H18" s="1273"/>
      <c r="I18" s="1273"/>
      <c r="J18" s="1273"/>
      <c r="K18" s="1273"/>
      <c r="L18" s="1017"/>
      <c r="O18" s="1018"/>
      <c r="R18" s="65"/>
      <c r="S18" s="65"/>
      <c r="T18" s="1016"/>
      <c r="U18" s="65"/>
    </row>
    <row r="19" spans="1:32" ht="281.25" customHeight="1" thickBot="1">
      <c r="C19" s="1262" t="s">
        <v>501</v>
      </c>
      <c r="D19" s="1263"/>
      <c r="E19" s="1019" t="str">
        <f>IF(A8=0," ",IF(A8&gt;500000,"Montant maximum dépassé, les dépenses ne sont pas éligibles","Montant maximum respecté"))</f>
        <v>Montant maximum respecté</v>
      </c>
      <c r="G19" s="1271" t="s">
        <v>502</v>
      </c>
      <c r="H19" s="1271"/>
      <c r="I19" s="942" t="str">
        <f>IF(A8=0,"",IF(D28&lt;G28+F8+P10,"Non, l'aide publique doit diminuer","Oui"))</f>
        <v>Non, l'aide publique doit diminuer</v>
      </c>
      <c r="J19" s="944" t="s">
        <v>503</v>
      </c>
      <c r="K19" s="943">
        <f>IF(A8=0,"",D28-G28)</f>
        <v>0</v>
      </c>
      <c r="O19" s="1013"/>
      <c r="P19" s="1013"/>
      <c r="Q19" s="1013"/>
      <c r="R19" s="668"/>
      <c r="S19" s="668"/>
      <c r="T19" s="1016"/>
      <c r="U19" s="65"/>
    </row>
    <row r="20" spans="1:32" s="668" customFormat="1" ht="138.75" customHeight="1">
      <c r="B20" s="771"/>
      <c r="I20" s="1020"/>
      <c r="J20" s="1020"/>
      <c r="K20" s="1020"/>
      <c r="L20" s="1021"/>
      <c r="M20" s="1020"/>
      <c r="N20" s="1013"/>
      <c r="O20" s="1013"/>
      <c r="P20" s="1013"/>
      <c r="Q20" s="1013"/>
      <c r="T20" s="1016"/>
    </row>
    <row r="21" spans="1:32" ht="77.25" customHeight="1" thickBot="1">
      <c r="J21" s="668"/>
      <c r="K21" s="668"/>
      <c r="P21" s="1013"/>
      <c r="Q21" s="1013"/>
      <c r="R21" s="668"/>
      <c r="S21" s="668"/>
      <c r="T21" s="1016"/>
      <c r="U21" s="65"/>
    </row>
    <row r="22" spans="1:32" s="672" customFormat="1" ht="107.25" customHeight="1" thickBot="1">
      <c r="B22" s="1274" t="s">
        <v>504</v>
      </c>
      <c r="C22" s="1275"/>
      <c r="D22" s="1275"/>
      <c r="E22" s="1275"/>
      <c r="F22" s="1275"/>
      <c r="G22" s="1275"/>
      <c r="H22" s="1275"/>
      <c r="I22" s="1275"/>
      <c r="J22" s="1275"/>
      <c r="K22" s="1275"/>
      <c r="L22" s="1275"/>
      <c r="M22" s="1275"/>
      <c r="N22" s="1275"/>
      <c r="O22" s="1275"/>
      <c r="P22" s="1275"/>
      <c r="Q22" s="1275"/>
      <c r="R22" s="1275"/>
      <c r="S22" s="1275"/>
      <c r="T22" s="1275"/>
      <c r="U22" s="1276"/>
    </row>
    <row r="23" spans="1:32" s="672" customFormat="1" ht="49.5" customHeight="1">
      <c r="B23" s="1277" t="s">
        <v>505</v>
      </c>
      <c r="C23" s="1265"/>
      <c r="D23" s="1265"/>
      <c r="E23" s="1265"/>
      <c r="F23" s="1265"/>
      <c r="G23" s="1265"/>
      <c r="H23" s="1265"/>
      <c r="I23" s="1265"/>
      <c r="J23" s="1265"/>
      <c r="K23" s="1278"/>
      <c r="L23" s="1264" t="s">
        <v>506</v>
      </c>
      <c r="M23" s="1265"/>
      <c r="N23" s="1265" t="s">
        <v>507</v>
      </c>
      <c r="O23" s="1265"/>
      <c r="P23" s="1265"/>
      <c r="Q23" s="1265"/>
      <c r="R23" s="1265"/>
      <c r="S23" s="1265" t="s">
        <v>508</v>
      </c>
      <c r="T23" s="1265"/>
      <c r="U23" s="1278"/>
      <c r="AD23" s="65"/>
      <c r="AE23" s="65"/>
    </row>
    <row r="24" spans="1:32" ht="117.95" customHeight="1">
      <c r="B24" s="1302" t="s">
        <v>38</v>
      </c>
      <c r="C24" s="1304" t="s">
        <v>509</v>
      </c>
      <c r="D24" s="1022" t="s">
        <v>510</v>
      </c>
      <c r="E24" s="1253" t="s">
        <v>511</v>
      </c>
      <c r="F24" s="1067" t="s">
        <v>512</v>
      </c>
      <c r="G24" s="1067" t="s">
        <v>513</v>
      </c>
      <c r="H24" s="1294" t="s">
        <v>514</v>
      </c>
      <c r="I24" s="1068" t="s">
        <v>515</v>
      </c>
      <c r="J24" s="1068" t="s">
        <v>516</v>
      </c>
      <c r="K24" s="1148" t="s">
        <v>517</v>
      </c>
      <c r="L24" s="1144" t="s">
        <v>518</v>
      </c>
      <c r="M24" s="1022" t="s">
        <v>519</v>
      </c>
      <c r="N24" s="1022" t="s">
        <v>520</v>
      </c>
      <c r="O24" s="1022" t="s">
        <v>521</v>
      </c>
      <c r="P24" s="1022" t="s">
        <v>522</v>
      </c>
      <c r="Q24" s="1022" t="s">
        <v>523</v>
      </c>
      <c r="R24" s="1253" t="s">
        <v>524</v>
      </c>
      <c r="S24" s="1068" t="s">
        <v>525</v>
      </c>
      <c r="T24" s="1068" t="s">
        <v>526</v>
      </c>
      <c r="U24" s="1069" t="s">
        <v>527</v>
      </c>
    </row>
    <row r="25" spans="1:32" ht="236.25" customHeight="1" thickBot="1">
      <c r="B25" s="1303"/>
      <c r="C25" s="1305"/>
      <c r="D25" s="1070" t="s">
        <v>528</v>
      </c>
      <c r="E25" s="1254"/>
      <c r="F25" s="1056" t="s">
        <v>393</v>
      </c>
      <c r="G25" s="1057" t="s">
        <v>529</v>
      </c>
      <c r="H25" s="1295"/>
      <c r="I25" s="946" t="s">
        <v>530</v>
      </c>
      <c r="J25" s="946" t="s">
        <v>531</v>
      </c>
      <c r="K25" s="1149" t="s">
        <v>532</v>
      </c>
      <c r="L25" s="1145" t="s">
        <v>533</v>
      </c>
      <c r="M25" s="1058" t="s">
        <v>534</v>
      </c>
      <c r="N25" s="1059" t="s">
        <v>535</v>
      </c>
      <c r="O25" s="1059" t="s">
        <v>536</v>
      </c>
      <c r="P25" s="1059" t="s">
        <v>537</v>
      </c>
      <c r="Q25" s="1059" t="s">
        <v>538</v>
      </c>
      <c r="R25" s="1254"/>
      <c r="S25" s="946"/>
      <c r="T25" s="946" t="s">
        <v>539</v>
      </c>
      <c r="U25" s="947"/>
    </row>
    <row r="26" spans="1:32" ht="90.95" customHeight="1">
      <c r="A26" s="1142" t="s">
        <v>540</v>
      </c>
      <c r="B26" s="1298" t="s">
        <v>43</v>
      </c>
      <c r="C26" s="1060">
        <f>SUMIFS('1.1-Investissements'!$Y$10:$Y$109,'1.1-Investissements'!$H$10:$H$109,B26,'1.1-Investissements'!$E$10:$E$109,"Oui")+SUMIFS('1.2-Amortissements'!$P$10:$P$109,'1.2-Amortissements'!$C$10:$C$109,B26,'1.2-Amortissements'!$D$10:$D$109,"Oui")</f>
        <v>0</v>
      </c>
      <c r="D26" s="1061">
        <f>IF(A8=0,0,IF($E$19="Montant maximum respecté",C26,0))</f>
        <v>0</v>
      </c>
      <c r="E26" s="1062">
        <f>IF(C26=0,0,D26/$D$28)</f>
        <v>0</v>
      </c>
      <c r="F26" s="1236">
        <f>IF(C26=0,0,(F37+F43+F49+F55+F61+F67+F73+F79+F85+F91+F97)/(C37+C43+C49+C55+C61+C67+C73+C79+C85+C91+C97))</f>
        <v>0</v>
      </c>
      <c r="G26" s="1063">
        <f>D26*F26</f>
        <v>0</v>
      </c>
      <c r="H26" s="1064">
        <f>IF($G$28=0,0,G26/$G$28)</f>
        <v>0</v>
      </c>
      <c r="I26" s="1065">
        <f>IF(D26=0,0,IF($P$10+$F$8&gt;$K$19,G26-($P$10+$F$8-$K$19)*H26,G26))</f>
        <v>0</v>
      </c>
      <c r="J26" s="1062">
        <f>IF(H26=0,0,I26/D26)</f>
        <v>0</v>
      </c>
      <c r="K26" s="1296" t="str">
        <f>_xlfn.IFS($M$10="","Non concerné",$M$10&lt;(0.15*$I$28),"Non",$M$10=(0.15*$I$28),"Oui",$M$10&gt;(0.15*$I$28),"Oui")</f>
        <v>Oui</v>
      </c>
      <c r="L26" s="1146">
        <f>IF(E26=0,0,IF(K26="Oui",I26-($M$10*E26),I26*0.85))</f>
        <v>0</v>
      </c>
      <c r="M26" s="1300">
        <f>IFERROR($L$28/$I$28,"")</f>
        <v>0.83929745845548354</v>
      </c>
      <c r="N26" s="1300">
        <f>IFERROR($O$28/$I$28,"")</f>
        <v>0.15000018078990723</v>
      </c>
      <c r="O26" s="1023">
        <f>IF(L26="","",IF($K$26="Oui",0.15*I26,I26-L26))</f>
        <v>0</v>
      </c>
      <c r="P26" s="1066">
        <f>IF(H26=0,0,IF($K$26="Oui",O26,$M$10*H26))</f>
        <v>0</v>
      </c>
      <c r="Q26" s="1023">
        <f>IF(O26="","",O26-P26)</f>
        <v>0</v>
      </c>
      <c r="R26" s="1023">
        <f>IF($M$10="",0,E26*$M$10-P26)</f>
        <v>0</v>
      </c>
      <c r="S26" s="1119" t="s">
        <v>214</v>
      </c>
      <c r="T26" s="1023">
        <f>IF(D26="","",D26-L26-O26-R26)</f>
        <v>0</v>
      </c>
      <c r="U26" s="1024" t="str">
        <f>IF(OR(T26="",D26=0)," - %",T26/D26)</f>
        <v xml:space="preserve"> - %</v>
      </c>
    </row>
    <row r="27" spans="1:32" ht="90.95" customHeight="1" thickBot="1">
      <c r="A27" s="1143" t="s">
        <v>541</v>
      </c>
      <c r="B27" s="1299"/>
      <c r="C27" s="1150">
        <f>SUMIFS('1.1-Investissements'!$Y$10:$Y$109,'1.1-Investissements'!$H$10:$H$109,B26,'1.1-Investissements'!$E$10:$E$109,"Non")+SUMIFS('1.2-Amortissements'!$P$10:$P$109,'1.2-Amortissements'!$C$10:$C$109,B26,'1.2-Amortissements'!$D$10:$D$109,"Non")+SUMIFS('2-Contributions en nature'!$J$10:$J$109,'2-Contributions en nature'!$D$10:$D$109,B26)+SUMIFS('3-Frais de personnel'!$O$10:$O$109,'3-Frais de personnel'!$D$10:$D$109,B26)+IF('4-TF coûts indirects'!$D$10=B26,'4-TF coûts indirects'!$H$21,0)+SUMIFS('5-Déplacements &amp; hébergements'!$AG$10:$AG$49,'5-Déplacements &amp; hébergements'!$C$10:$C$49,B26)+SUMIFS('6-Coûts participation agri'!$M$13:$M$52,'6-Coûts participation agri'!$C$13:$C$52,B26)</f>
        <v>17845.385000000002</v>
      </c>
      <c r="D27" s="1001">
        <f>IF(A8=0,0,IF($E$19="Montant maximum respecté",C27,0))</f>
        <v>17845.385000000002</v>
      </c>
      <c r="E27" s="1151">
        <f>IF(C27=0,0,D27/$D$28)</f>
        <v>1</v>
      </c>
      <c r="F27" s="1237">
        <f>IF(C27=0,0,(F38+F44+F50+F56+F62+F68+F74+F80+F86+F92+F98)/(C38+C44+C50+C56+C62+C68+C74+C80+C86+C92+C98))</f>
        <v>1</v>
      </c>
      <c r="G27" s="1152">
        <f>D27*F27</f>
        <v>17845.385000000002</v>
      </c>
      <c r="H27" s="1153">
        <f>IF($G$28=0,0,G27/$G$28)</f>
        <v>1</v>
      </c>
      <c r="I27" s="1000">
        <f>IF(D27=0,0,IF($P$10+$F$8&gt;$K$19,G27-($P$10+$F$8-$K$19)*H27,G27))</f>
        <v>12445.385000000002</v>
      </c>
      <c r="J27" s="1151">
        <f>IF(H27=0,0,I27/D27)</f>
        <v>0.69740075655414557</v>
      </c>
      <c r="K27" s="1297"/>
      <c r="L27" s="1147">
        <f>IF(E27=0,0,IF(K26="Oui",I27-($M$10*E27),I27*0.85))</f>
        <v>10445.385000000002</v>
      </c>
      <c r="M27" s="1301"/>
      <c r="N27" s="1301"/>
      <c r="O27" s="1043">
        <f>IF(L27="","",IF($K$26="Oui",0.15*I27,I27-L27))</f>
        <v>1866.8077500000002</v>
      </c>
      <c r="P27" s="1044">
        <f>IF(H27=0,0,IF($K$26="Oui",O27,$M$10*H27))</f>
        <v>1866.8077500000002</v>
      </c>
      <c r="Q27" s="1043">
        <f>IF(O27="","",O27-P27)</f>
        <v>0</v>
      </c>
      <c r="R27" s="1045">
        <f>IF($M$10="",0,E27*$M$10-P27)</f>
        <v>133.19224999999983</v>
      </c>
      <c r="S27" s="1119">
        <f>F8</f>
        <v>4400</v>
      </c>
      <c r="T27" s="1045">
        <f>IF(D27="","",D27-L27-O27-R27-$P$10-S27)</f>
        <v>0</v>
      </c>
      <c r="U27" s="1046">
        <f>IF(OR(T27="",D27=0)," - %",T27/D27)</f>
        <v>0</v>
      </c>
    </row>
    <row r="28" spans="1:32" ht="14.45" customHeight="1" thickBot="1">
      <c r="A28" s="1020"/>
      <c r="B28" s="1055" t="s">
        <v>542</v>
      </c>
      <c r="C28" s="1047">
        <f>IF(A8=0,0,SUM(C26:C27))</f>
        <v>17845.385000000002</v>
      </c>
      <c r="D28" s="1047">
        <f>IF(E19="Montant maximum respecté",SUM(D26:D27),0)</f>
        <v>17845.385000000002</v>
      </c>
      <c r="E28" s="1048">
        <f>IF(A8=0,0,SUM(E26:E27))</f>
        <v>1</v>
      </c>
      <c r="F28" s="1049"/>
      <c r="G28" s="1050">
        <f>SUM(G26:G27)</f>
        <v>17845.385000000002</v>
      </c>
      <c r="H28" s="1048">
        <f>IF(A8=0,0,SUM(H26:H27))</f>
        <v>1</v>
      </c>
      <c r="I28" s="1050">
        <f>I26+I27</f>
        <v>12445.385000000002</v>
      </c>
      <c r="J28" s="1120">
        <f>IF(H28=0,0,I28/D28)</f>
        <v>0.69740075655414557</v>
      </c>
      <c r="K28" s="1052"/>
      <c r="L28" s="1050">
        <f>IF(H28=0,0,ROUNDDOWN(IF($K$26="Oui",I28-($M$10*H28),I28*0.85),2))</f>
        <v>10445.379999999999</v>
      </c>
      <c r="M28" s="1051"/>
      <c r="N28" s="1053"/>
      <c r="O28" s="1047">
        <f>IF(L28="","",IF($K$26="Oui",ROUNDUP(0.15*I28,2),I28-L28))</f>
        <v>1866.81</v>
      </c>
      <c r="P28" s="1047">
        <f>IF(H28=0,0,IF($K$26="Oui",O28,$M$10*H28))</f>
        <v>1866.81</v>
      </c>
      <c r="Q28" s="1047">
        <f>IF(O28="","",O28-P28)</f>
        <v>0</v>
      </c>
      <c r="R28" s="1047">
        <f>IF(A8=0,0,SUM(R26:R27))</f>
        <v>133.19224999999983</v>
      </c>
      <c r="S28" s="1047">
        <f>IF(B8=0,0,SUM(S26:S27))</f>
        <v>4400</v>
      </c>
      <c r="T28" s="1047">
        <f>IF(A8=0,0,SUM(T26:T27))</f>
        <v>0</v>
      </c>
      <c r="U28" s="1054">
        <f>SUM(U26:U27)</f>
        <v>0</v>
      </c>
      <c r="V28" s="47"/>
    </row>
    <row r="29" spans="1:32" ht="20.45" customHeight="1">
      <c r="B29" s="668"/>
      <c r="C29" s="667"/>
      <c r="G29" s="668"/>
      <c r="H29" s="668"/>
      <c r="K29" s="668"/>
      <c r="L29" s="945"/>
      <c r="M29" s="668"/>
      <c r="N29" s="65"/>
      <c r="V29" s="47"/>
    </row>
    <row r="30" spans="1:32" ht="14.45" customHeight="1">
      <c r="A30" s="668"/>
      <c r="F30" s="668"/>
      <c r="G30" s="668"/>
      <c r="J30" s="668"/>
      <c r="K30" s="945"/>
      <c r="L30" s="668"/>
    </row>
    <row r="31" spans="1:32" ht="15" customHeight="1">
      <c r="A31" s="668"/>
      <c r="J31" s="668"/>
      <c r="K31" s="945"/>
      <c r="L31" s="668"/>
    </row>
    <row r="32" spans="1:32">
      <c r="A32" s="668"/>
      <c r="J32" s="668"/>
      <c r="K32" s="668"/>
      <c r="L32" s="668"/>
    </row>
    <row r="33" spans="1:31" ht="20.100000000000001" thickBot="1">
      <c r="B33" s="771"/>
      <c r="D33" s="668"/>
    </row>
    <row r="34" spans="1:31" customFormat="1" ht="69.95" customHeight="1" thickBot="1">
      <c r="B34" s="1259" t="s">
        <v>543</v>
      </c>
      <c r="C34" s="1260"/>
      <c r="D34" s="1260"/>
      <c r="E34" s="1260"/>
      <c r="F34" s="1260"/>
      <c r="G34" s="1260"/>
      <c r="H34" s="1260"/>
      <c r="I34" s="1260"/>
      <c r="J34" s="1260"/>
      <c r="K34" s="1260"/>
      <c r="L34" s="1260"/>
      <c r="M34" s="1260"/>
      <c r="N34" s="1260"/>
      <c r="O34" s="1260"/>
      <c r="P34" s="1261"/>
      <c r="W34" s="1041"/>
      <c r="X34" s="1042"/>
      <c r="Y34" s="1042"/>
      <c r="Z34" s="1042"/>
      <c r="AA34" s="1042"/>
      <c r="AB34" s="1042"/>
      <c r="AC34" s="1042"/>
      <c r="AD34" s="1042"/>
      <c r="AE34" s="1042"/>
    </row>
    <row r="35" spans="1:31" customFormat="1" ht="18" customHeight="1" thickBot="1">
      <c r="B35" s="1248" t="s">
        <v>11</v>
      </c>
      <c r="C35" s="1249"/>
      <c r="D35" s="1249"/>
      <c r="E35" s="1249"/>
      <c r="F35" s="1249"/>
      <c r="G35" s="1249"/>
      <c r="H35" s="1249"/>
      <c r="I35" s="1249"/>
      <c r="J35" s="1249"/>
      <c r="K35" s="1249"/>
      <c r="L35" s="1249"/>
      <c r="M35" s="1249"/>
      <c r="N35" s="1249"/>
      <c r="O35" s="1249"/>
      <c r="P35" s="1250"/>
      <c r="W35" s="1086"/>
      <c r="X35" s="1085"/>
      <c r="Y35" s="1042"/>
      <c r="Z35" s="1042"/>
      <c r="AA35" s="1042"/>
      <c r="AB35" s="1042"/>
      <c r="AC35" s="1042"/>
      <c r="AD35" s="1042"/>
      <c r="AE35" s="1042"/>
    </row>
    <row r="36" spans="1:31" customFormat="1" ht="134.44999999999999" customHeight="1" thickBot="1">
      <c r="A36" s="1025" t="s">
        <v>544</v>
      </c>
      <c r="B36" s="1073" t="s">
        <v>38</v>
      </c>
      <c r="C36" s="1074" t="s">
        <v>228</v>
      </c>
      <c r="D36" s="1074" t="s">
        <v>545</v>
      </c>
      <c r="E36" s="1074" t="s">
        <v>546</v>
      </c>
      <c r="F36" s="1074" t="s">
        <v>547</v>
      </c>
      <c r="G36" s="1075" t="s">
        <v>548</v>
      </c>
      <c r="H36" s="1075" t="s">
        <v>549</v>
      </c>
      <c r="I36" s="1076" t="s">
        <v>550</v>
      </c>
      <c r="J36" s="1074" t="s">
        <v>518</v>
      </c>
      <c r="K36" s="1074" t="s">
        <v>551</v>
      </c>
      <c r="L36" s="1074" t="s">
        <v>522</v>
      </c>
      <c r="M36" s="1074" t="s">
        <v>523</v>
      </c>
      <c r="N36" s="1074" t="s">
        <v>524</v>
      </c>
      <c r="O36" s="1074" t="s">
        <v>552</v>
      </c>
      <c r="P36" s="1077" t="s">
        <v>553</v>
      </c>
      <c r="R36" s="1087"/>
      <c r="W36" s="1041"/>
      <c r="X36" s="1042"/>
      <c r="Y36" s="1042"/>
      <c r="Z36" s="1042"/>
      <c r="AA36" s="1042"/>
      <c r="AB36" s="1042"/>
      <c r="AC36" s="1042"/>
      <c r="AD36" s="1042"/>
      <c r="AE36" s="1042"/>
    </row>
    <row r="37" spans="1:31" customFormat="1" ht="14.45" customHeight="1">
      <c r="A37" s="1071" t="s">
        <v>554</v>
      </c>
      <c r="B37" s="1251" t="s">
        <v>43</v>
      </c>
      <c r="C37" s="1078">
        <f>SUMIFS('1.1-Investissements'!$Y$10:$Y$109,'1.1-Investissements'!$E$10:$E$109,"Oui",'1.1-Investissements'!$B$10:$B$109,B35)+SUMIFS('1.2-Amortissements'!$P$10:$P$109,'1.2-Amortissements'!$D$10:$D$109,"Oui",'1.2-Amortissements'!$B$10:$B$109,B35)</f>
        <v>0</v>
      </c>
      <c r="D37" s="1026">
        <f>C37/$C$102</f>
        <v>0</v>
      </c>
      <c r="E37" s="1027">
        <v>0.8</v>
      </c>
      <c r="F37" s="1028">
        <f>IF(E37=0,"",C37*E37)</f>
        <v>0</v>
      </c>
      <c r="G37" s="1028">
        <f>IF(C37=0,0,IF($P$10*$D$39+$O$39&gt;($C$39-$F$39),F37-(($P$10*$D$39)+$O$39-($C$39-$F$39))*(F37/$F$39),F37))</f>
        <v>0</v>
      </c>
      <c r="H37" s="1029">
        <f>IF(C37=0,0,G37/C37)</f>
        <v>0</v>
      </c>
      <c r="I37" s="1246" t="str">
        <f>$K$26</f>
        <v>Oui</v>
      </c>
      <c r="J37" s="1030">
        <f>IF(G37=0,0,IF($I$37="Oui",G37-$M$10*((F37/$F$39)*$C$39/$C$102),G37*0.85))</f>
        <v>0</v>
      </c>
      <c r="K37" s="1030">
        <f>IF(G37=0,0,IF($I$37="Oui",0.15*G37,G37-J37))</f>
        <v>0</v>
      </c>
      <c r="L37" s="1030">
        <f>IF(C37=0,0,IF($I$37="Oui",K37,$M$10*(F37/$F$39*$C$39/$C$102)))</f>
        <v>0</v>
      </c>
      <c r="M37" s="1030">
        <f>IF(K37="",0,K37-L37)</f>
        <v>0</v>
      </c>
      <c r="N37" s="1030">
        <f>IF($F$39=0,0,IF($M$10=0,0,(F37/$F$39*$C$39/$C$102)*$M$10-L37))</f>
        <v>0</v>
      </c>
      <c r="O37" s="1030">
        <v>0</v>
      </c>
      <c r="P37" s="1031">
        <f>IFERROR(C37-J37-K37-N37-O37-($P$10*C37/$C$39*$C$39/$C$102),0)</f>
        <v>0</v>
      </c>
      <c r="W37" s="1041"/>
      <c r="X37" s="1042"/>
      <c r="Y37" s="1042"/>
      <c r="Z37" s="1042"/>
      <c r="AA37" s="1042"/>
      <c r="AB37" s="1042"/>
      <c r="AC37" s="1042"/>
      <c r="AD37" s="1042"/>
      <c r="AE37" s="1042"/>
    </row>
    <row r="38" spans="1:31" customFormat="1" ht="14.1" customHeight="1" thickBot="1">
      <c r="A38" s="1072" t="s">
        <v>555</v>
      </c>
      <c r="B38" s="1252"/>
      <c r="C38" s="1079">
        <f>SUMIFS('1.1-Investissements'!$Y$10:$Y$109,'1.1-Investissements'!$E$10:$E$109,"Non",'1.1-Investissements'!$B$10:$B$109,B35)+SUMIFS('1.2-Amortissements'!$P$10:$P$109,'1.2-Amortissements'!$D$10:$D$109,"Non",'1.2-Amortissements'!$B$10:$B$109,B35)+SUMIFS('2-Contributions en nature'!$J$10:$J$109,'2-Contributions en nature'!$B$10:$B$109,B35)+SUMIFS('3-Frais de personnel'!$O$10:$O$109,'3-Frais de personnel'!$B$10:$B$109,B35)+SUMIFS('4-TF coûts indirects'!$H$10:$H$20,'4-TF coûts indirects'!$B$10:$B$20,B35)+SUMIFS('5-Déplacements &amp; hébergements'!$AG$10:$AG$49,'5-Déplacements &amp; hébergements'!$B$10:$B$49,B35)+SUMIFS('6-Coûts participation agri'!$M$13:$M$52,'6-Coûts participation agri'!$B$13:$B$52,B35)</f>
        <v>9117.1350000000002</v>
      </c>
      <c r="D38" s="1032">
        <f t="shared" ref="D38:D39" si="0">C38/$C$102</f>
        <v>0.51089595433217039</v>
      </c>
      <c r="E38" s="949">
        <v>1</v>
      </c>
      <c r="F38" s="950">
        <f t="shared" ref="F38" si="1">IF(E38=0,"",C38*E38)</f>
        <v>9117.1350000000002</v>
      </c>
      <c r="G38" s="950">
        <f>IF(C38=0,0,IF($P$10*$D$39+$O$39&gt;($C$39-$F$39),F38-(($P$10*$D$39)+$O$39-($C$39-$F$39))*(F38/$F$39),F38))</f>
        <v>4606.2390456678295</v>
      </c>
      <c r="H38" s="951">
        <f t="shared" ref="H38" si="2">IF(C38=0,0,G38/C38)</f>
        <v>0.50522878576085906</v>
      </c>
      <c r="I38" s="1247"/>
      <c r="J38" s="952">
        <f>IF(G38=0,0,IF($I$37="Oui",G38-$M$10*((F38/$F$39)*$C$39/$C$102),G38*0.85))</f>
        <v>3584.4471370034889</v>
      </c>
      <c r="K38" s="952">
        <f>IF(G38=0,0,IF($I$37="Oui",0.15*G38,G38-J38))</f>
        <v>690.93585685017445</v>
      </c>
      <c r="L38" s="952">
        <f t="shared" ref="L38:L39" si="3">IF(C38=0,0,IF($I$37="Oui",K38,$M$10*(F38/$F$39*$C$39/$C$102)))</f>
        <v>690.93585685017445</v>
      </c>
      <c r="M38" s="952">
        <f t="shared" ref="M38" si="4">IF(K38="",0,K38-L38)</f>
        <v>0</v>
      </c>
      <c r="N38" s="952">
        <f>IF($F$39=0,0,IF($M$10=0,0,(F38/$F$39*$C$39/$C$102)*$M$10-L38))</f>
        <v>330.85605181416634</v>
      </c>
      <c r="O38" s="952">
        <f>SUMIFS('2-Contributions en nature'!$J$10:$J$109,'2-Contributions en nature'!$B$10:$B$109,B35)</f>
        <v>4000</v>
      </c>
      <c r="P38" s="1033">
        <f t="shared" ref="P38:P39" si="5">IFERROR(C38-J38-K38-N38-O38-($P$10*C38/$C$39*$C$39/$C$102),0)</f>
        <v>-5.6843418860808015E-13</v>
      </c>
      <c r="W38" s="1041"/>
      <c r="X38" s="1042"/>
      <c r="Y38" s="1042"/>
      <c r="Z38" s="1042"/>
      <c r="AA38" s="1042"/>
      <c r="AB38" s="1042"/>
      <c r="AC38" s="1042"/>
      <c r="AD38" s="1042"/>
      <c r="AE38" s="1042"/>
    </row>
    <row r="39" spans="1:31" s="1034" customFormat="1" ht="48.6" customHeight="1" thickBot="1">
      <c r="B39" s="1035" t="s">
        <v>556</v>
      </c>
      <c r="C39" s="1036">
        <f>IF($C$8=0,"",SUM(C37:C38))</f>
        <v>9117.1350000000002</v>
      </c>
      <c r="D39" s="1080">
        <f t="shared" si="0"/>
        <v>0.51089595433217039</v>
      </c>
      <c r="E39" s="953"/>
      <c r="F39" s="954">
        <f>SUM(F37:F38)</f>
        <v>9117.1350000000002</v>
      </c>
      <c r="G39" s="954">
        <f>SUM(G37:G38)</f>
        <v>4606.2390456678295</v>
      </c>
      <c r="H39" s="955">
        <f>IF(C39=0,0,G39/C39)</f>
        <v>0.50522878576085906</v>
      </c>
      <c r="I39" s="1037"/>
      <c r="J39" s="1038">
        <f>IF(G39=0,0,IF($I$37="Oui",G39-$M$10*((F39/$F$39)*$C$39/$C$102),G39*0.85))</f>
        <v>3584.4471370034889</v>
      </c>
      <c r="K39" s="1038">
        <f>IF(G39=0,0,IF($I$37="Oui",0.15*G39,G39-J39))</f>
        <v>690.93585685017445</v>
      </c>
      <c r="L39" s="1038">
        <f t="shared" si="3"/>
        <v>690.93585685017445</v>
      </c>
      <c r="M39" s="956">
        <f>SUM(M37:M38)</f>
        <v>0</v>
      </c>
      <c r="N39" s="1038">
        <f t="shared" ref="N39" si="6">IF($F$39=0,0,IF($M$10=0,0,(F39/$F$39*$C$39/$C$102)*$M$10-L39))</f>
        <v>330.85605181416634</v>
      </c>
      <c r="O39" s="956">
        <f>SUM(O37:O38)</f>
        <v>4000</v>
      </c>
      <c r="P39" s="1039">
        <f t="shared" si="5"/>
        <v>-5.6843418860808015E-13</v>
      </c>
    </row>
    <row r="40" spans="1:31" customFormat="1" ht="15.95" thickBot="1">
      <c r="R40" s="1034"/>
    </row>
    <row r="41" spans="1:31" customFormat="1" ht="15.95" customHeight="1" thickBot="1">
      <c r="B41" s="1248" t="s">
        <v>12</v>
      </c>
      <c r="C41" s="1249"/>
      <c r="D41" s="1249"/>
      <c r="E41" s="1249"/>
      <c r="F41" s="1249"/>
      <c r="G41" s="1249"/>
      <c r="H41" s="1249"/>
      <c r="I41" s="1249"/>
      <c r="J41" s="1249"/>
      <c r="K41" s="1249"/>
      <c r="L41" s="1249"/>
      <c r="M41" s="1249"/>
      <c r="N41" s="1249"/>
      <c r="O41" s="1249"/>
      <c r="P41" s="1250"/>
      <c r="R41" s="1034"/>
      <c r="W41" s="1041"/>
      <c r="X41" s="1042"/>
      <c r="Y41" s="1042"/>
      <c r="Z41" s="1042"/>
      <c r="AA41" s="1042"/>
      <c r="AB41" s="1042"/>
      <c r="AC41" s="1042"/>
      <c r="AD41" s="1042"/>
      <c r="AE41" s="1042"/>
    </row>
    <row r="42" spans="1:31" customFormat="1" ht="134.44999999999999" customHeight="1" thickBot="1">
      <c r="A42" s="1025" t="s">
        <v>544</v>
      </c>
      <c r="B42" s="1073" t="s">
        <v>38</v>
      </c>
      <c r="C42" s="1074" t="s">
        <v>228</v>
      </c>
      <c r="D42" s="1074" t="s">
        <v>545</v>
      </c>
      <c r="E42" s="1074" t="s">
        <v>546</v>
      </c>
      <c r="F42" s="1074" t="s">
        <v>547</v>
      </c>
      <c r="G42" s="1075" t="s">
        <v>548</v>
      </c>
      <c r="H42" s="1075" t="s">
        <v>549</v>
      </c>
      <c r="I42" s="1076" t="s">
        <v>550</v>
      </c>
      <c r="J42" s="1074" t="s">
        <v>518</v>
      </c>
      <c r="K42" s="1074" t="s">
        <v>551</v>
      </c>
      <c r="L42" s="1074" t="s">
        <v>522</v>
      </c>
      <c r="M42" s="1074" t="s">
        <v>523</v>
      </c>
      <c r="N42" s="1074" t="s">
        <v>524</v>
      </c>
      <c r="O42" s="1074" t="s">
        <v>552</v>
      </c>
      <c r="P42" s="1077" t="s">
        <v>553</v>
      </c>
      <c r="R42" s="1034"/>
      <c r="W42" s="1041"/>
      <c r="X42" s="1042"/>
      <c r="Y42" s="1042"/>
      <c r="Z42" s="1042"/>
      <c r="AA42" s="1042"/>
      <c r="AB42" s="1042"/>
      <c r="AC42" s="1042"/>
      <c r="AD42" s="1042"/>
      <c r="AE42" s="1042"/>
    </row>
    <row r="43" spans="1:31" customFormat="1" ht="14.45" customHeight="1">
      <c r="A43" s="1071" t="s">
        <v>554</v>
      </c>
      <c r="B43" s="1251" t="s">
        <v>43</v>
      </c>
      <c r="C43" s="1078">
        <f>SUMIFS('1.1-Investissements'!$Y$10:$Y$109,'1.1-Investissements'!$E$10:$E$109,"Oui",'1.1-Investissements'!$B$10:$B$109,B41)+SUMIFS('1.2-Amortissements'!$P$10:$P$109,'1.2-Amortissements'!$D$10:$D$109,"Oui",'1.2-Amortissements'!$B$10:$B$109,B41)</f>
        <v>0</v>
      </c>
      <c r="D43" s="1026">
        <f>C43/$C$102</f>
        <v>0</v>
      </c>
      <c r="E43" s="1027">
        <v>0.8</v>
      </c>
      <c r="F43" s="1028">
        <f>IF(E43=0,"",C43*E43)</f>
        <v>0</v>
      </c>
      <c r="G43" s="1028">
        <f>IF(C43=0,0,IF($P$10*$D$45+$O$45&gt;($C$45-$F$45),F43-(($P$10*$D$45)+$O$45-($C$45-$F$45))*(F43/$F$45),F43))</f>
        <v>0</v>
      </c>
      <c r="H43" s="1029">
        <f>IF(C43=0,0,G43/C43)</f>
        <v>0</v>
      </c>
      <c r="I43" s="1246" t="str">
        <f>$K$26</f>
        <v>Oui</v>
      </c>
      <c r="J43" s="1030">
        <f>IF(G43=0,0,IF($I$43="Oui",G43-$M$10*((F43/$F$45)*$C$45/$C$102),G43*0.85))</f>
        <v>0</v>
      </c>
      <c r="K43" s="1030">
        <f>IF(G43=0,0,IF($I$43="Oui",0.15*G43,G43-J43))</f>
        <v>0</v>
      </c>
      <c r="L43" s="1030">
        <f>IF(C43=0,0,IF($I$43="Oui",K43,$M$10*(F43/$F$45*$C$45/$C$102)))</f>
        <v>0</v>
      </c>
      <c r="M43" s="1030">
        <f>IF(K43="",0,K43-L43)</f>
        <v>0</v>
      </c>
      <c r="N43" s="1030">
        <f>IF($F$45=0,0,IF($M$10=0,0,(F43/$F$45*$C$45/$C$102)*$M$10-L43))</f>
        <v>0</v>
      </c>
      <c r="O43" s="1030">
        <v>0</v>
      </c>
      <c r="P43" s="1031">
        <f>IFERROR(C43-J43-K43-N43-O43-($P$10*C43/$C$45*$C$45/$C$102),0)</f>
        <v>0</v>
      </c>
      <c r="R43" s="1034"/>
      <c r="W43" s="1041"/>
      <c r="X43" s="1042"/>
      <c r="Y43" s="1042"/>
      <c r="Z43" s="1042"/>
      <c r="AA43" s="1042"/>
      <c r="AB43" s="1042"/>
      <c r="AC43" s="1042"/>
      <c r="AD43" s="1042"/>
      <c r="AE43" s="1042"/>
    </row>
    <row r="44" spans="1:31" customFormat="1" ht="14.1" customHeight="1" thickBot="1">
      <c r="A44" s="1072" t="s">
        <v>555</v>
      </c>
      <c r="B44" s="1252"/>
      <c r="C44" s="1079">
        <f>SUMIFS('1.1-Investissements'!$Y$10:$Y$109,'1.1-Investissements'!$E$10:$E$109,"Non",'1.1-Investissements'!$B$10:$B$109,B41)+SUMIFS('1.2-Amortissements'!$P$10:$P$109,'1.2-Amortissements'!$D$10:$D$109,"Non",'1.2-Amortissements'!$B$10:$B$109,B41)+SUMIFS('2-Contributions en nature'!$J$10:$J$109,'2-Contributions en nature'!$B$10:$B$109,B41)+SUMIFS('3-Frais de personnel'!$O$10:$O$109,'3-Frais de personnel'!$B$10:$B$109,B41)+SUMIFS('4-TF coûts indirects'!$H$10:$H$20,'4-TF coûts indirects'!$B$10:$B$20,B41)+SUMIFS('5-Déplacements &amp; hébergements'!$AG$10:$AG$49,'5-Déplacements &amp; hébergements'!$B$10:$B$49,B41)+SUMIFS('6-Coûts participation agri'!$M$13:$M$52,'6-Coûts participation agri'!$B$13:$B$52,B41)</f>
        <v>3275</v>
      </c>
      <c r="D44" s="1032">
        <f t="shared" ref="D44:D45" si="7">C44/$C$102</f>
        <v>0.18352083746021727</v>
      </c>
      <c r="E44" s="949">
        <v>1</v>
      </c>
      <c r="F44" s="950">
        <f t="shared" ref="F44" si="8">IF(E44=0,"",C44*E44)</f>
        <v>3275</v>
      </c>
      <c r="G44" s="950">
        <f>IF(C44=0,0,IF($P$10*$D$45+$O$45&gt;($C$45-$F$45),F44-(($P$10*$D$45)+$O$45-($C$45-$F$45))*(F44/$F$45),F44))</f>
        <v>2691.4791625397829</v>
      </c>
      <c r="H44" s="951">
        <f t="shared" ref="H44" si="9">IF(C44=0,0,G44/C44)</f>
        <v>0.82182569848542986</v>
      </c>
      <c r="I44" s="1247"/>
      <c r="J44" s="952">
        <f t="shared" ref="J44:J45" si="10">IF(G44=0,0,IF($I$43="Oui",G44-$M$10*((F44/$F$45)*$C$45/$C$102),G44*0.85))</f>
        <v>2324.4374876193483</v>
      </c>
      <c r="K44" s="952">
        <f t="shared" ref="K44:K45" si="11">IF(G44=0,0,IF($I$43="Oui",0.15*G44,G44-J44))</f>
        <v>403.72187438096745</v>
      </c>
      <c r="L44" s="952">
        <f t="shared" ref="L44:L45" si="12">IF(C44=0,0,IF($I$43="Oui",K44,$M$10*(F44/$F$45*$C$45/$C$102)))</f>
        <v>403.72187438096745</v>
      </c>
      <c r="M44" s="952">
        <f t="shared" ref="M44" si="13">IF(K44="",0,K44-L44)</f>
        <v>0</v>
      </c>
      <c r="N44" s="952">
        <f t="shared" ref="N44:N45" si="14">IF($F$45=0,0,IF($M$10=0,0,(F44/$F$45*$C$45/$C$102)*$M$10-L44))</f>
        <v>-36.68019946053289</v>
      </c>
      <c r="O44" s="952">
        <f>SUMIFS('2-Contributions en nature'!$J$10:$J$109,'2-Contributions en nature'!$B$10:$B$109,B41)</f>
        <v>400</v>
      </c>
      <c r="P44" s="1033">
        <f t="shared" ref="P44:P45" si="15">IFERROR(C44-J44-K44-N44-O44-($P$10*C44/$C$45*$C$45/$C$102),0)</f>
        <v>-8.5265128291212022E-14</v>
      </c>
      <c r="R44" s="1034"/>
      <c r="W44" s="1041"/>
      <c r="X44" s="1042"/>
      <c r="Y44" s="1042"/>
      <c r="Z44" s="1042"/>
      <c r="AA44" s="1042"/>
      <c r="AB44" s="1042"/>
      <c r="AC44" s="1042"/>
      <c r="AD44" s="1042"/>
      <c r="AE44" s="1042"/>
    </row>
    <row r="45" spans="1:31" s="1034" customFormat="1" ht="48.6" customHeight="1" thickBot="1">
      <c r="B45" s="1035" t="s">
        <v>556</v>
      </c>
      <c r="C45" s="1036">
        <f>IF($C$8=0,"",SUM(C43:C44))</f>
        <v>3275</v>
      </c>
      <c r="D45" s="1080">
        <f t="shared" si="7"/>
        <v>0.18352083746021727</v>
      </c>
      <c r="E45" s="953"/>
      <c r="F45" s="954">
        <f>SUM(F43:F44)</f>
        <v>3275</v>
      </c>
      <c r="G45" s="954">
        <f>SUM(G43:G44)</f>
        <v>2691.4791625397829</v>
      </c>
      <c r="H45" s="955">
        <f>IF(C45=0,0,G45/C45)</f>
        <v>0.82182569848542986</v>
      </c>
      <c r="I45" s="1037"/>
      <c r="J45" s="1038">
        <f t="shared" si="10"/>
        <v>2324.4374876193483</v>
      </c>
      <c r="K45" s="1038">
        <f t="shared" si="11"/>
        <v>403.72187438096745</v>
      </c>
      <c r="L45" s="1038">
        <f t="shared" si="12"/>
        <v>403.72187438096745</v>
      </c>
      <c r="M45" s="956">
        <f>SUM(M43:M44)</f>
        <v>0</v>
      </c>
      <c r="N45" s="1038">
        <f t="shared" si="14"/>
        <v>-36.68019946053289</v>
      </c>
      <c r="O45" s="956">
        <f>SUM(O43:O44)</f>
        <v>400</v>
      </c>
      <c r="P45" s="1039">
        <f t="shared" si="15"/>
        <v>-8.5265128291212022E-14</v>
      </c>
    </row>
    <row r="46" spans="1:31" ht="20.100000000000001" thickBot="1"/>
    <row r="47" spans="1:31" customFormat="1" ht="15.95" customHeight="1" thickBot="1">
      <c r="B47" s="1248" t="s">
        <v>13</v>
      </c>
      <c r="C47" s="1249"/>
      <c r="D47" s="1249"/>
      <c r="E47" s="1249"/>
      <c r="F47" s="1249"/>
      <c r="G47" s="1249"/>
      <c r="H47" s="1249"/>
      <c r="I47" s="1249"/>
      <c r="J47" s="1249"/>
      <c r="K47" s="1249"/>
      <c r="L47" s="1249"/>
      <c r="M47" s="1249"/>
      <c r="N47" s="1249"/>
      <c r="O47" s="1249"/>
      <c r="P47" s="1250"/>
      <c r="W47" s="1041"/>
      <c r="X47" s="1042"/>
      <c r="Y47" s="1042"/>
      <c r="Z47" s="1042"/>
      <c r="AA47" s="1042"/>
      <c r="AB47" s="1042"/>
      <c r="AC47" s="1042"/>
      <c r="AD47" s="1042"/>
      <c r="AE47" s="1042"/>
    </row>
    <row r="48" spans="1:31" customFormat="1" ht="134.44999999999999" customHeight="1" thickBot="1">
      <c r="A48" s="1025" t="s">
        <v>544</v>
      </c>
      <c r="B48" s="1073" t="s">
        <v>38</v>
      </c>
      <c r="C48" s="1074" t="s">
        <v>228</v>
      </c>
      <c r="D48" s="1074" t="s">
        <v>545</v>
      </c>
      <c r="E48" s="1074" t="s">
        <v>546</v>
      </c>
      <c r="F48" s="1074" t="s">
        <v>547</v>
      </c>
      <c r="G48" s="1075" t="s">
        <v>548</v>
      </c>
      <c r="H48" s="1075" t="s">
        <v>549</v>
      </c>
      <c r="I48" s="1076" t="s">
        <v>550</v>
      </c>
      <c r="J48" s="1074" t="s">
        <v>518</v>
      </c>
      <c r="K48" s="1074" t="s">
        <v>551</v>
      </c>
      <c r="L48" s="1074" t="s">
        <v>522</v>
      </c>
      <c r="M48" s="1074" t="s">
        <v>523</v>
      </c>
      <c r="N48" s="1074" t="s">
        <v>524</v>
      </c>
      <c r="O48" s="1074" t="s">
        <v>552</v>
      </c>
      <c r="P48" s="1077" t="s">
        <v>553</v>
      </c>
      <c r="W48" s="1041"/>
      <c r="X48" s="1042"/>
      <c r="Y48" s="1042"/>
      <c r="Z48" s="1042"/>
      <c r="AA48" s="1042"/>
      <c r="AB48" s="1042"/>
      <c r="AC48" s="1042"/>
      <c r="AD48" s="1042"/>
      <c r="AE48" s="1042"/>
    </row>
    <row r="49" spans="1:31" customFormat="1" ht="14.45" customHeight="1">
      <c r="A49" s="1071" t="s">
        <v>554</v>
      </c>
      <c r="B49" s="1251" t="s">
        <v>43</v>
      </c>
      <c r="C49" s="1078">
        <f>SUMIFS('1.1-Investissements'!$Y$10:$Y$109,'1.1-Investissements'!$E$10:$E$109,"Oui",'1.1-Investissements'!$B$10:$B$109,B47)+SUMIFS('1.2-Amortissements'!$P$10:$P$109,'1.2-Amortissements'!$D$10:$D$109,"Oui",'1.2-Amortissements'!$B$10:$B$109,B47)</f>
        <v>0</v>
      </c>
      <c r="D49" s="1026">
        <f>C49/$C$102</f>
        <v>0</v>
      </c>
      <c r="E49" s="1027">
        <v>0.8</v>
      </c>
      <c r="F49" s="1028">
        <f>IF(E49=0,"",C49*E49)</f>
        <v>0</v>
      </c>
      <c r="G49" s="1028">
        <f>IF(C49=0,0,IF($P$10*$D$51+$O$51&gt;($C$51-$F$51),F49-(($P$10*$D$51)+$O$51-($C$51-$F$51))*(F49/$F$51),F49))</f>
        <v>0</v>
      </c>
      <c r="H49" s="1029">
        <f>IF(C49=0,0,G49/C49)</f>
        <v>0</v>
      </c>
      <c r="I49" s="1246" t="str">
        <f>$K$26</f>
        <v>Oui</v>
      </c>
      <c r="J49" s="1030">
        <f>IF(G49=0,0,IF($I$49="Oui",G49-$M$10*((F49/$F$51)*$C$51/$C$102),G49*0.85))</f>
        <v>0</v>
      </c>
      <c r="K49" s="1030">
        <f>IF(G49=0,0,IF($I$49="Oui",0.15*G49,G49-J49))</f>
        <v>0</v>
      </c>
      <c r="L49" s="1030">
        <f>IF(C49=0,0,IF($I$49="Oui",K49,$M$10*(F49/$F$51*$C$51/$C$102)))</f>
        <v>0</v>
      </c>
      <c r="M49" s="1030">
        <f>IF(K49="",0,K49-L49)</f>
        <v>0</v>
      </c>
      <c r="N49" s="1030">
        <f>IF($F$51=0,0,IF($M$10=0,0,(F49/$F$51*$C$51/$C$102)*$M$10-L49))</f>
        <v>0</v>
      </c>
      <c r="O49" s="1030">
        <v>0</v>
      </c>
      <c r="P49" s="1031">
        <f>IFERROR(C49-J49-K49-N49-O49-($P$10*C49/$C$51*$C$51/$C$102),0)</f>
        <v>0</v>
      </c>
      <c r="W49" s="1041"/>
      <c r="X49" s="1042"/>
      <c r="Y49" s="1042"/>
      <c r="Z49" s="1042"/>
      <c r="AA49" s="1042"/>
      <c r="AB49" s="1042"/>
      <c r="AC49" s="1042"/>
      <c r="AD49" s="1042"/>
      <c r="AE49" s="1042"/>
    </row>
    <row r="50" spans="1:31" customFormat="1" ht="14.1" customHeight="1" thickBot="1">
      <c r="A50" s="1072" t="s">
        <v>555</v>
      </c>
      <c r="B50" s="1252"/>
      <c r="C50" s="1079">
        <f>SUMIFS('1.1-Investissements'!$Y$10:$Y$109,'1.1-Investissements'!$E$10:$E$109,"Non",'1.1-Investissements'!$B$10:$B$109,B47)+SUMIFS('1.2-Amortissements'!$P$10:$P$109,'1.2-Amortissements'!$D$10:$D$109,"Non",'1.2-Amortissements'!$B$10:$B$109,B47)+SUMIFS('2-Contributions en nature'!$J$10:$J$109,'2-Contributions en nature'!$B$10:$B$109,B47)+SUMIFS('3-Frais de personnel'!$O$10:$O$109,'3-Frais de personnel'!$B$10:$B$109,B47)+SUMIFS('4-TF coûts indirects'!$H$10:$H$20,'4-TF coûts indirects'!$B$10:$B$20,B47)+SUMIFS('5-Déplacements &amp; hébergements'!$AG$10:$AG$49,'5-Déplacements &amp; hébergements'!$B$10:$B$49,B47)+SUMIFS('6-Coûts participation agri'!$M$13:$M$52,'6-Coûts participation agri'!$B$13:$B$52,B47)</f>
        <v>1100</v>
      </c>
      <c r="D50" s="1032">
        <f t="shared" ref="D50:D51" si="16">C50/$C$102</f>
        <v>6.1640586627859241E-2</v>
      </c>
      <c r="E50" s="949">
        <v>1</v>
      </c>
      <c r="F50" s="950">
        <f t="shared" ref="F50" si="17">IF(E50=0,"",C50*E50)</f>
        <v>1100</v>
      </c>
      <c r="G50" s="950">
        <f>IF(C50=0,0,IF($P$10*$D$51+$O$51&gt;($C$51-$F$51),F50-(($P$10*$D$51)+$O$51-($C$51-$F$51))*(F50/$F$51),F50))</f>
        <v>1038.3594133721408</v>
      </c>
      <c r="H50" s="951">
        <f t="shared" ref="H50" si="18">IF(C50=0,0,G50/C50)</f>
        <v>0.94396310306558251</v>
      </c>
      <c r="I50" s="1247"/>
      <c r="J50" s="952">
        <f t="shared" ref="J50:J51" si="19">IF(G50=0,0,IF($I$49="Oui",G50-$M$10*((F50/$F$51)*$C$51/$C$102),G50*0.85))</f>
        <v>915.07824011642231</v>
      </c>
      <c r="K50" s="952">
        <f t="shared" ref="K50:K51" si="20">IF(G50=0,0,IF($I$49="Oui",0.15*G50,G50-J50))</f>
        <v>155.75391200582112</v>
      </c>
      <c r="L50" s="952">
        <f t="shared" ref="L50:L51" si="21">IF(C50=0,0,IF($I$49="Oui",K50,$M$10*(F50/$F$51*$C$51/$C$102)))</f>
        <v>155.75391200582112</v>
      </c>
      <c r="M50" s="952">
        <f t="shared" ref="M50" si="22">IF(K50="",0,K50-L50)</f>
        <v>0</v>
      </c>
      <c r="N50" s="952">
        <f t="shared" ref="N50:N51" si="23">IF($F$51=0,0,IF($M$10=0,0,(F50/$F$51*$C$51/$C$102)*$M$10-L50))</f>
        <v>-32.472738750102636</v>
      </c>
      <c r="O50" s="952">
        <f>SUMIFS('2-Contributions en nature'!$J$10:$J$109,'2-Contributions en nature'!$B$10:$B$109,B47)</f>
        <v>0</v>
      </c>
      <c r="P50" s="1033">
        <f t="shared" ref="P50:P51" si="24">IFERROR(C50-J50-K50-N50-O50-($P$10*C50/$C$51*$C$51/$C$102),0)</f>
        <v>-3.5527136788005009E-14</v>
      </c>
      <c r="W50" s="1041"/>
      <c r="X50" s="1042"/>
      <c r="Y50" s="1042"/>
      <c r="Z50" s="1042"/>
      <c r="AA50" s="1042"/>
      <c r="AB50" s="1042"/>
      <c r="AC50" s="1042"/>
      <c r="AD50" s="1042"/>
      <c r="AE50" s="1042"/>
    </row>
    <row r="51" spans="1:31" s="1034" customFormat="1" ht="48.6" customHeight="1" thickBot="1">
      <c r="B51" s="1035" t="s">
        <v>556</v>
      </c>
      <c r="C51" s="1036">
        <f>IF($C$8=0,"",SUM(C49:C50))</f>
        <v>1100</v>
      </c>
      <c r="D51" s="1080">
        <f t="shared" si="16"/>
        <v>6.1640586627859241E-2</v>
      </c>
      <c r="E51" s="953"/>
      <c r="F51" s="954">
        <f>SUM(F49:F50)</f>
        <v>1100</v>
      </c>
      <c r="G51" s="954">
        <f>SUM(G49:G50)</f>
        <v>1038.3594133721408</v>
      </c>
      <c r="H51" s="955">
        <f>IF(C51=0,0,G51/C51)</f>
        <v>0.94396310306558251</v>
      </c>
      <c r="I51" s="1037"/>
      <c r="J51" s="1038">
        <f t="shared" si="19"/>
        <v>915.07824011642231</v>
      </c>
      <c r="K51" s="1038">
        <f t="shared" si="20"/>
        <v>155.75391200582112</v>
      </c>
      <c r="L51" s="1038">
        <f t="shared" si="21"/>
        <v>155.75391200582112</v>
      </c>
      <c r="M51" s="956">
        <f>SUM(M49:M50)</f>
        <v>0</v>
      </c>
      <c r="N51" s="1038">
        <f t="shared" si="23"/>
        <v>-32.472738750102636</v>
      </c>
      <c r="O51" s="956">
        <f>SUM(O49:O50)</f>
        <v>0</v>
      </c>
      <c r="P51" s="1039">
        <f t="shared" si="24"/>
        <v>-3.5527136788005009E-14</v>
      </c>
    </row>
    <row r="52" spans="1:31" ht="20.100000000000001" thickBot="1"/>
    <row r="53" spans="1:31" customFormat="1" ht="15.95" customHeight="1" thickBot="1">
      <c r="B53" s="1248" t="s">
        <v>14</v>
      </c>
      <c r="C53" s="1249"/>
      <c r="D53" s="1249"/>
      <c r="E53" s="1249"/>
      <c r="F53" s="1249"/>
      <c r="G53" s="1249"/>
      <c r="H53" s="1249"/>
      <c r="I53" s="1249"/>
      <c r="J53" s="1249"/>
      <c r="K53" s="1249"/>
      <c r="L53" s="1249"/>
      <c r="M53" s="1249"/>
      <c r="N53" s="1249"/>
      <c r="O53" s="1249"/>
      <c r="P53" s="1250"/>
      <c r="W53" s="1041"/>
      <c r="X53" s="1042"/>
      <c r="Y53" s="1042"/>
      <c r="Z53" s="1042"/>
      <c r="AA53" s="1042"/>
      <c r="AB53" s="1042"/>
      <c r="AC53" s="1042"/>
      <c r="AD53" s="1042"/>
      <c r="AE53" s="1042"/>
    </row>
    <row r="54" spans="1:31" customFormat="1" ht="134.44999999999999" customHeight="1" thickBot="1">
      <c r="A54" s="1025" t="s">
        <v>544</v>
      </c>
      <c r="B54" s="1073" t="s">
        <v>38</v>
      </c>
      <c r="C54" s="1074" t="s">
        <v>228</v>
      </c>
      <c r="D54" s="1074" t="s">
        <v>545</v>
      </c>
      <c r="E54" s="1074" t="s">
        <v>546</v>
      </c>
      <c r="F54" s="1074" t="s">
        <v>547</v>
      </c>
      <c r="G54" s="1075" t="s">
        <v>548</v>
      </c>
      <c r="H54" s="1075" t="s">
        <v>549</v>
      </c>
      <c r="I54" s="1076" t="s">
        <v>550</v>
      </c>
      <c r="J54" s="1074" t="s">
        <v>518</v>
      </c>
      <c r="K54" s="1074" t="s">
        <v>551</v>
      </c>
      <c r="L54" s="1074" t="s">
        <v>522</v>
      </c>
      <c r="M54" s="1074" t="s">
        <v>523</v>
      </c>
      <c r="N54" s="1074" t="s">
        <v>524</v>
      </c>
      <c r="O54" s="1074" t="s">
        <v>552</v>
      </c>
      <c r="P54" s="1077" t="s">
        <v>553</v>
      </c>
      <c r="W54" s="1041"/>
      <c r="X54" s="1042"/>
      <c r="Y54" s="1042"/>
      <c r="Z54" s="1042"/>
      <c r="AA54" s="1042"/>
      <c r="AB54" s="1042"/>
      <c r="AC54" s="1042"/>
      <c r="AD54" s="1042"/>
      <c r="AE54" s="1042"/>
    </row>
    <row r="55" spans="1:31" customFormat="1" ht="14.45" customHeight="1">
      <c r="A55" s="1071" t="s">
        <v>554</v>
      </c>
      <c r="B55" s="1251" t="s">
        <v>43</v>
      </c>
      <c r="C55" s="1078">
        <f>SUMIFS('1.1-Investissements'!$Y$10:$Y$109,'1.1-Investissements'!$E$10:$E$109,"Oui",'1.1-Investissements'!$B$10:$B$109,B53)+SUMIFS('1.2-Amortissements'!$P$10:$P$109,'1.2-Amortissements'!$D$10:$D$109,"Oui",'1.2-Amortissements'!$B$10:$B$109,B53)</f>
        <v>0</v>
      </c>
      <c r="D55" s="1026">
        <f>C55/$C$102</f>
        <v>0</v>
      </c>
      <c r="E55" s="1027">
        <v>0.8</v>
      </c>
      <c r="F55" s="1028">
        <f>IF(E55=0,"",C55*E55)</f>
        <v>0</v>
      </c>
      <c r="G55" s="1028">
        <f>IF(C55=0,0,IF($P$10*$D$57+$O$57&gt;($C$57-$F$57),F55-(($P$10*$D$57)+$O$57-($C$57-$F$57))*(F55/$F$57),F55))</f>
        <v>0</v>
      </c>
      <c r="H55" s="1029">
        <f>IF(C55=0,0,G55/C55)</f>
        <v>0</v>
      </c>
      <c r="I55" s="1246" t="str">
        <f>$K$26</f>
        <v>Oui</v>
      </c>
      <c r="J55" s="1030">
        <f>IF(G55=0,0,IF($I$55="Oui",G55-$M$10*((F55/$F$57)*$C$57/$C$102),G55*0.85))</f>
        <v>0</v>
      </c>
      <c r="K55" s="1030">
        <f>IF(G55=0,0,IF($I$55="Oui",0.15*G55,G55-J55))</f>
        <v>0</v>
      </c>
      <c r="L55" s="1030">
        <f>IF(C55=0,0,IF($I$55="Oui",K55,$M$10*(F55/$F$57*$C$57/$C$102)))</f>
        <v>0</v>
      </c>
      <c r="M55" s="1030">
        <f>IF(K55="",0,K55-L55)</f>
        <v>0</v>
      </c>
      <c r="N55" s="1030">
        <f>IF($F$57=0,0,IF($M$10=0,0,(F55/$F$57*$C$57/$C$102)*$M$10-L55))</f>
        <v>0</v>
      </c>
      <c r="O55" s="1030">
        <v>0</v>
      </c>
      <c r="P55" s="1031">
        <f>IFERROR(C55-J55-K55-N55-O55-($P$10*C55/$C$57*$C$57/$C$102),0)</f>
        <v>0</v>
      </c>
      <c r="W55" s="1041"/>
      <c r="X55" s="1042"/>
      <c r="Y55" s="1042"/>
      <c r="Z55" s="1042"/>
      <c r="AA55" s="1042"/>
      <c r="AB55" s="1042"/>
      <c r="AC55" s="1042"/>
      <c r="AD55" s="1042"/>
      <c r="AE55" s="1042"/>
    </row>
    <row r="56" spans="1:31" customFormat="1" ht="14.1" customHeight="1" thickBot="1">
      <c r="A56" s="1072" t="s">
        <v>555</v>
      </c>
      <c r="B56" s="1252"/>
      <c r="C56" s="1079">
        <f>SUMIFS('1.1-Investissements'!$Y$10:$Y$109,'1.1-Investissements'!$E$10:$E$109,"Non",'1.1-Investissements'!$B$10:$B$109,B53)+SUMIFS('1.2-Amortissements'!$P$10:$P$109,'1.2-Amortissements'!$D$10:$D$109,"Non",'1.2-Amortissements'!$B$10:$B$109,B53)+SUMIFS('2-Contributions en nature'!$J$10:$J$109,'2-Contributions en nature'!$B$10:$B$109,B53)+SUMIFS('3-Frais de personnel'!$O$10:$O$109,'3-Frais de personnel'!$B$10:$B$109,B53)+SUMIFS('4-TF coûts indirects'!$H$10:$H$20,'4-TF coûts indirects'!$B$10:$B$20,B53)+SUMIFS('5-Déplacements &amp; hébergements'!$AG$10:$AG$49,'5-Déplacements &amp; hébergements'!$B$10:$B$49,B53)+SUMIFS('6-Coûts participation agri'!$M$13:$M$52,'6-Coûts participation agri'!$B$13:$B$52,B53)</f>
        <v>0</v>
      </c>
      <c r="D56" s="1032">
        <f t="shared" ref="D56:D57" si="25">C56/$C$102</f>
        <v>0</v>
      </c>
      <c r="E56" s="949">
        <v>1</v>
      </c>
      <c r="F56" s="950">
        <f t="shared" ref="F56" si="26">IF(E56=0,"",C56*E56)</f>
        <v>0</v>
      </c>
      <c r="G56" s="950">
        <f>IF(C56=0,0,IF($P$10*$D$57+$O$57&gt;($C$57-$F$57),F56-(($P$10*$D$57)+$O$57-($C$57-$F$57))*(F56/$F$57),F56))</f>
        <v>0</v>
      </c>
      <c r="H56" s="951">
        <f t="shared" ref="H56" si="27">IF(C56=0,0,G56/C56)</f>
        <v>0</v>
      </c>
      <c r="I56" s="1247"/>
      <c r="J56" s="952">
        <f t="shared" ref="J56:J57" si="28">IF(G56=0,0,IF($I$55="Oui",G56-$M$10*((F56/$F$57)*$C$57/$C$102),G56*0.85))</f>
        <v>0</v>
      </c>
      <c r="K56" s="952">
        <f t="shared" ref="K56:K57" si="29">IF(G56=0,0,IF($I$55="Oui",0.15*G56,G56-J56))</f>
        <v>0</v>
      </c>
      <c r="L56" s="952">
        <f t="shared" ref="L56:L57" si="30">IF(C56=0,0,IF($I$55="Oui",K56,$M$10*(F56/$F$57*$C$57/$C$102)))</f>
        <v>0</v>
      </c>
      <c r="M56" s="952">
        <f t="shared" ref="M56" si="31">IF(K56="",0,K56-L56)</f>
        <v>0</v>
      </c>
      <c r="N56" s="952">
        <f t="shared" ref="N56:N57" si="32">IF($F$57=0,0,IF($M$10=0,0,(F56/$F$57*$C$57/$C$102)*$M$10-L56))</f>
        <v>0</v>
      </c>
      <c r="O56" s="952">
        <f>SUMIFS('2-Contributions en nature'!$J$10:$J$109,'2-Contributions en nature'!$B$10:$B$109,B53)</f>
        <v>0</v>
      </c>
      <c r="P56" s="1033">
        <f t="shared" ref="P56:P57" si="33">IFERROR(C56-J56-K56-N56-O56-($P$10*C56/$C$57*$C$57/$C$102),0)</f>
        <v>0</v>
      </c>
      <c r="W56" s="1041"/>
      <c r="X56" s="1042"/>
      <c r="Y56" s="1042"/>
      <c r="Z56" s="1042"/>
      <c r="AA56" s="1042"/>
      <c r="AB56" s="1042"/>
      <c r="AC56" s="1042"/>
      <c r="AD56" s="1042"/>
      <c r="AE56" s="1042"/>
    </row>
    <row r="57" spans="1:31" s="1034" customFormat="1" ht="48.6" customHeight="1" thickBot="1">
      <c r="B57" s="1035" t="s">
        <v>556</v>
      </c>
      <c r="C57" s="1036">
        <f>IF($C$8=0,"",SUM(C55:C56))</f>
        <v>0</v>
      </c>
      <c r="D57" s="1080">
        <f t="shared" si="25"/>
        <v>0</v>
      </c>
      <c r="E57" s="953"/>
      <c r="F57" s="954">
        <f>SUM(F55:F56)</f>
        <v>0</v>
      </c>
      <c r="G57" s="954">
        <f>SUM(G55:G56)</f>
        <v>0</v>
      </c>
      <c r="H57" s="955">
        <f>IF(C57=0,0,G57/C57)</f>
        <v>0</v>
      </c>
      <c r="I57" s="1037"/>
      <c r="J57" s="1038">
        <f t="shared" si="28"/>
        <v>0</v>
      </c>
      <c r="K57" s="1038">
        <f t="shared" si="29"/>
        <v>0</v>
      </c>
      <c r="L57" s="1038">
        <f t="shared" si="30"/>
        <v>0</v>
      </c>
      <c r="M57" s="956">
        <f>SUM(M55:M56)</f>
        <v>0</v>
      </c>
      <c r="N57" s="1038">
        <f t="shared" si="32"/>
        <v>0</v>
      </c>
      <c r="O57" s="956">
        <f>SUM(O55:O56)</f>
        <v>0</v>
      </c>
      <c r="P57" s="1039">
        <f t="shared" si="33"/>
        <v>0</v>
      </c>
    </row>
    <row r="58" spans="1:31" ht="20.100000000000001" thickBot="1"/>
    <row r="59" spans="1:31" customFormat="1" ht="15.95" customHeight="1" thickBot="1">
      <c r="B59" s="1248" t="s">
        <v>15</v>
      </c>
      <c r="C59" s="1249"/>
      <c r="D59" s="1249"/>
      <c r="E59" s="1249"/>
      <c r="F59" s="1249"/>
      <c r="G59" s="1249"/>
      <c r="H59" s="1249"/>
      <c r="I59" s="1249"/>
      <c r="J59" s="1249"/>
      <c r="K59" s="1249"/>
      <c r="L59" s="1249"/>
      <c r="M59" s="1249"/>
      <c r="N59" s="1249"/>
      <c r="O59" s="1249"/>
      <c r="P59" s="1250"/>
      <c r="W59" s="1041"/>
      <c r="X59" s="1042"/>
      <c r="Y59" s="1042"/>
      <c r="Z59" s="1042"/>
      <c r="AA59" s="1042"/>
      <c r="AB59" s="1042"/>
      <c r="AC59" s="1042"/>
      <c r="AD59" s="1042"/>
      <c r="AE59" s="1042"/>
    </row>
    <row r="60" spans="1:31" customFormat="1" ht="134.44999999999999" customHeight="1" thickBot="1">
      <c r="A60" s="1025" t="s">
        <v>544</v>
      </c>
      <c r="B60" s="1073" t="s">
        <v>38</v>
      </c>
      <c r="C60" s="1074" t="s">
        <v>228</v>
      </c>
      <c r="D60" s="1074" t="s">
        <v>545</v>
      </c>
      <c r="E60" s="1074" t="s">
        <v>546</v>
      </c>
      <c r="F60" s="1074" t="s">
        <v>547</v>
      </c>
      <c r="G60" s="1075" t="s">
        <v>548</v>
      </c>
      <c r="H60" s="1075" t="s">
        <v>549</v>
      </c>
      <c r="I60" s="1076" t="s">
        <v>550</v>
      </c>
      <c r="J60" s="1074" t="s">
        <v>518</v>
      </c>
      <c r="K60" s="1074" t="s">
        <v>551</v>
      </c>
      <c r="L60" s="1074" t="s">
        <v>522</v>
      </c>
      <c r="M60" s="1074" t="s">
        <v>523</v>
      </c>
      <c r="N60" s="1074" t="s">
        <v>524</v>
      </c>
      <c r="O60" s="1074" t="s">
        <v>552</v>
      </c>
      <c r="P60" s="1077" t="s">
        <v>553</v>
      </c>
      <c r="W60" s="1041"/>
      <c r="X60" s="1042"/>
      <c r="Y60" s="1042"/>
      <c r="Z60" s="1042"/>
      <c r="AA60" s="1042"/>
      <c r="AB60" s="1042"/>
      <c r="AC60" s="1042"/>
      <c r="AD60" s="1042"/>
      <c r="AE60" s="1042"/>
    </row>
    <row r="61" spans="1:31" customFormat="1" ht="14.45" customHeight="1">
      <c r="A61" s="1071" t="s">
        <v>554</v>
      </c>
      <c r="B61" s="1251" t="s">
        <v>43</v>
      </c>
      <c r="C61" s="1078">
        <f>SUMIFS('1.1-Investissements'!$Y$10:$Y$109,'1.1-Investissements'!$E$10:$E$109,"Oui",'1.1-Investissements'!$B$10:$B$109,B59)+SUMIFS('1.2-Amortissements'!$P$10:$P$109,'1.2-Amortissements'!$D$10:$D$109,"Oui",'1.2-Amortissements'!$B$10:$B$109,B59)</f>
        <v>0</v>
      </c>
      <c r="D61" s="1026">
        <f>C61/$C$102</f>
        <v>0</v>
      </c>
      <c r="E61" s="1027">
        <v>0.8</v>
      </c>
      <c r="F61" s="1028">
        <f>IF(E61=0,"",C61*E61)</f>
        <v>0</v>
      </c>
      <c r="G61" s="1028">
        <f>IF(C61=0,0,IF($P$10*$D$63+$O$63&gt;($C$63-$F$63),F61-(($P$10*$D$63)+$O$63-($C$63-$F$63))*(F61/$F$63),F61))</f>
        <v>0</v>
      </c>
      <c r="H61" s="1029">
        <f>IF(C61=0,0,G61/C61)</f>
        <v>0</v>
      </c>
      <c r="I61" s="1246" t="str">
        <f>$K$26</f>
        <v>Oui</v>
      </c>
      <c r="J61" s="1030">
        <f>IF(G61=0,0,IF($I$61="Oui",G61-$M$10*((F61/$F$63)*$C$63/$C$102),G61*0.85))</f>
        <v>0</v>
      </c>
      <c r="K61" s="1030">
        <f>IF(G61=0,0,IF($I$61="Oui",0.15*G61,G61-J61))</f>
        <v>0</v>
      </c>
      <c r="L61" s="1030">
        <f>IF(C61=0,0,IF($I$61="Oui",K61,$M$10*(F61/$F$63*$C$63/$C$102)))</f>
        <v>0</v>
      </c>
      <c r="M61" s="1030">
        <f>IF(K61="",0,K61-L61)</f>
        <v>0</v>
      </c>
      <c r="N61" s="1030">
        <f>IF($F$63=0,0,IF($M$10=0,0,(F61/$F$63*$C$63/$C$102)*$M$10-L61))</f>
        <v>0</v>
      </c>
      <c r="O61" s="1030">
        <v>0</v>
      </c>
      <c r="P61" s="1031">
        <f>IFERROR(C61-J61-K61-N61-O61-($P$10*C61/$C$63*$C$63/$C$102),0)</f>
        <v>0</v>
      </c>
      <c r="W61" s="1041"/>
      <c r="X61" s="1042"/>
      <c r="Y61" s="1042"/>
      <c r="Z61" s="1042"/>
      <c r="AA61" s="1042"/>
      <c r="AB61" s="1042"/>
      <c r="AC61" s="1042"/>
      <c r="AD61" s="1042"/>
      <c r="AE61" s="1042"/>
    </row>
    <row r="62" spans="1:31" customFormat="1" ht="14.1" customHeight="1" thickBot="1">
      <c r="A62" s="1072" t="s">
        <v>555</v>
      </c>
      <c r="B62" s="1252"/>
      <c r="C62" s="1079">
        <f>SUMIFS('1.1-Investissements'!$Y$10:$Y$109,'1.1-Investissements'!$E$10:$E$109,"Non",'1.1-Investissements'!$B$10:$B$109,B59)+SUMIFS('1.2-Amortissements'!$P$10:$P$109,'1.2-Amortissements'!$D$10:$D$109,"Non",'1.2-Amortissements'!$B$10:$B$109,B59)+SUMIFS('2-Contributions en nature'!$J$10:$J$109,'2-Contributions en nature'!$B$10:$B$109,B59)+SUMIFS('3-Frais de personnel'!$O$10:$O$109,'3-Frais de personnel'!$B$10:$B$109,B59)+SUMIFS('4-TF coûts indirects'!$H$10:$H$20,'4-TF coûts indirects'!$B$10:$B$20,B59)+SUMIFS('5-Déplacements &amp; hébergements'!$AG$10:$AG$49,'5-Déplacements &amp; hébergements'!$B$10:$B$49,B59)+SUMIFS('6-Coûts participation agri'!$M$13:$M$52,'6-Coûts participation agri'!$B$13:$B$52,B59)</f>
        <v>0</v>
      </c>
      <c r="D62" s="1032">
        <f t="shared" ref="D62:D63" si="34">C62/$C$102</f>
        <v>0</v>
      </c>
      <c r="E62" s="949">
        <v>1</v>
      </c>
      <c r="F62" s="950">
        <f t="shared" ref="F62" si="35">IF(E62=0,"",C62*E62)</f>
        <v>0</v>
      </c>
      <c r="G62" s="950">
        <f>IF(C62=0,0,IF($P$10*$D$63+$O$63&gt;($C$63-$F$63),F62-(($P$10*$D$63)+$O$63-($C$63-$F$63))*(F62/$F$63),F62))</f>
        <v>0</v>
      </c>
      <c r="H62" s="951">
        <f t="shared" ref="H62" si="36">IF(C62=0,0,G62/C62)</f>
        <v>0</v>
      </c>
      <c r="I62" s="1247"/>
      <c r="J62" s="952">
        <f t="shared" ref="J62:J63" si="37">IF(G62=0,0,IF($I$61="Oui",G62-$M$10*((F62/$F$63)*$C$63/$C$102),G62*0.85))</f>
        <v>0</v>
      </c>
      <c r="K62" s="952">
        <f t="shared" ref="K62:K63" si="38">IF(G62=0,0,IF($I$61="Oui",0.15*G62,G62-J62))</f>
        <v>0</v>
      </c>
      <c r="L62" s="952">
        <f t="shared" ref="L62:L63" si="39">IF(C62=0,0,IF($I$61="Oui",K62,$M$10*(F62/$F$63*$C$63/$C$102)))</f>
        <v>0</v>
      </c>
      <c r="M62" s="952">
        <f t="shared" ref="M62" si="40">IF(K62="",0,K62-L62)</f>
        <v>0</v>
      </c>
      <c r="N62" s="952">
        <f t="shared" ref="N62:N63" si="41">IF($F$63=0,0,IF($M$10=0,0,(F62/$F$63*$C$63/$C$102)*$M$10-L62))</f>
        <v>0</v>
      </c>
      <c r="O62" s="952">
        <f>SUMIFS('2-Contributions en nature'!$J$10:$J$109,'2-Contributions en nature'!$B$10:$B$109,B59)</f>
        <v>0</v>
      </c>
      <c r="P62" s="1033">
        <f t="shared" ref="P62:P63" si="42">IFERROR(C62-J62-K62-N62-O62-($P$10*C62/$C$63*$C$63/$C$102),0)</f>
        <v>0</v>
      </c>
      <c r="W62" s="1041"/>
      <c r="X62" s="1042"/>
      <c r="Y62" s="1042"/>
      <c r="Z62" s="1042"/>
      <c r="AA62" s="1042"/>
      <c r="AB62" s="1042"/>
      <c r="AC62" s="1042"/>
      <c r="AD62" s="1042"/>
      <c r="AE62" s="1042"/>
    </row>
    <row r="63" spans="1:31" s="1034" customFormat="1" ht="48.6" customHeight="1" thickBot="1">
      <c r="B63" s="1035" t="s">
        <v>556</v>
      </c>
      <c r="C63" s="1036">
        <f>IF($C$8=0,"",SUM(C61:C62))</f>
        <v>0</v>
      </c>
      <c r="D63" s="1080">
        <f t="shared" si="34"/>
        <v>0</v>
      </c>
      <c r="E63" s="953"/>
      <c r="F63" s="954">
        <f>SUM(F61:F62)</f>
        <v>0</v>
      </c>
      <c r="G63" s="954">
        <f>SUM(G61:G62)</f>
        <v>0</v>
      </c>
      <c r="H63" s="955">
        <f>IF(C63=0,0,G63/C63)</f>
        <v>0</v>
      </c>
      <c r="I63" s="1037"/>
      <c r="J63" s="1038">
        <f t="shared" si="37"/>
        <v>0</v>
      </c>
      <c r="K63" s="1038">
        <f t="shared" si="38"/>
        <v>0</v>
      </c>
      <c r="L63" s="1038">
        <f t="shared" si="39"/>
        <v>0</v>
      </c>
      <c r="M63" s="956">
        <f>SUM(M61:M62)</f>
        <v>0</v>
      </c>
      <c r="N63" s="1038">
        <f t="shared" si="41"/>
        <v>0</v>
      </c>
      <c r="O63" s="956">
        <f>SUM(O61:O62)</f>
        <v>0</v>
      </c>
      <c r="P63" s="1039">
        <f t="shared" si="42"/>
        <v>0</v>
      </c>
    </row>
    <row r="64" spans="1:31" ht="20.100000000000001" thickBot="1"/>
    <row r="65" spans="1:31" customFormat="1" ht="15.95" customHeight="1" thickBot="1">
      <c r="B65" s="1248" t="s">
        <v>16</v>
      </c>
      <c r="C65" s="1249"/>
      <c r="D65" s="1249"/>
      <c r="E65" s="1249"/>
      <c r="F65" s="1249"/>
      <c r="G65" s="1249"/>
      <c r="H65" s="1249"/>
      <c r="I65" s="1249"/>
      <c r="J65" s="1249"/>
      <c r="K65" s="1249"/>
      <c r="L65" s="1249"/>
      <c r="M65" s="1249"/>
      <c r="N65" s="1249"/>
      <c r="O65" s="1249"/>
      <c r="P65" s="1250"/>
      <c r="W65" s="1041"/>
      <c r="X65" s="1042"/>
      <c r="Y65" s="1042"/>
      <c r="Z65" s="1042"/>
      <c r="AA65" s="1042"/>
      <c r="AB65" s="1042"/>
      <c r="AC65" s="1042"/>
      <c r="AD65" s="1042"/>
      <c r="AE65" s="1042"/>
    </row>
    <row r="66" spans="1:31" customFormat="1" ht="134.44999999999999" customHeight="1" thickBot="1">
      <c r="A66" s="1025" t="s">
        <v>544</v>
      </c>
      <c r="B66" s="1073" t="s">
        <v>38</v>
      </c>
      <c r="C66" s="1074" t="s">
        <v>228</v>
      </c>
      <c r="D66" s="1074" t="s">
        <v>545</v>
      </c>
      <c r="E66" s="1074" t="s">
        <v>546</v>
      </c>
      <c r="F66" s="1074" t="s">
        <v>547</v>
      </c>
      <c r="G66" s="1075" t="s">
        <v>548</v>
      </c>
      <c r="H66" s="1075" t="s">
        <v>549</v>
      </c>
      <c r="I66" s="1076" t="s">
        <v>550</v>
      </c>
      <c r="J66" s="1074" t="s">
        <v>518</v>
      </c>
      <c r="K66" s="1074" t="s">
        <v>551</v>
      </c>
      <c r="L66" s="1074" t="s">
        <v>522</v>
      </c>
      <c r="M66" s="1074" t="s">
        <v>523</v>
      </c>
      <c r="N66" s="1074" t="s">
        <v>524</v>
      </c>
      <c r="O66" s="1074" t="s">
        <v>552</v>
      </c>
      <c r="P66" s="1077" t="s">
        <v>553</v>
      </c>
      <c r="W66" s="1041"/>
      <c r="X66" s="1042"/>
      <c r="Y66" s="1042"/>
      <c r="Z66" s="1042"/>
      <c r="AA66" s="1042"/>
      <c r="AB66" s="1042"/>
      <c r="AC66" s="1042"/>
      <c r="AD66" s="1042"/>
      <c r="AE66" s="1042"/>
    </row>
    <row r="67" spans="1:31" customFormat="1" ht="14.45" customHeight="1">
      <c r="A67" s="1071" t="s">
        <v>554</v>
      </c>
      <c r="B67" s="1251" t="s">
        <v>43</v>
      </c>
      <c r="C67" s="1078">
        <f>SUMIFS('1.1-Investissements'!$Y$10:$Y$109,'1.1-Investissements'!$E$10:$E$109,"Oui",'1.1-Investissements'!$B$10:$B$109,B65)+SUMIFS('1.2-Amortissements'!$P$10:$P$109,'1.2-Amortissements'!$D$10:$D$109,"Oui",'1.2-Amortissements'!$B$10:$B$109,B65)</f>
        <v>0</v>
      </c>
      <c r="D67" s="1026">
        <f>C67/$C$102</f>
        <v>0</v>
      </c>
      <c r="E67" s="1027">
        <v>0.8</v>
      </c>
      <c r="F67" s="1028">
        <f>IF(E67=0,"",C67*E67)</f>
        <v>0</v>
      </c>
      <c r="G67" s="1028">
        <f>IF(C67=0,0,IF($P$10*$D$69+$O$69&gt;($C$69-$F$69),F67-(($P$10*$D$69)+$O$69-($C$69-$F$69))*(F67/$F$69),F67))</f>
        <v>0</v>
      </c>
      <c r="H67" s="1029">
        <f>IF(C67=0,0,G67/C67)</f>
        <v>0</v>
      </c>
      <c r="I67" s="1246" t="str">
        <f>$K$26</f>
        <v>Oui</v>
      </c>
      <c r="J67" s="1030">
        <f>IF(G67=0,0,IF($I$67="Oui",G67-$M$10*((F67/$F$69)*$C$69/$C$102),G67*0.85))</f>
        <v>0</v>
      </c>
      <c r="K67" s="1030">
        <f>IF(G67=0,0,IF($I$67="Oui",0.15*G67,G67-J67))</f>
        <v>0</v>
      </c>
      <c r="L67" s="1030">
        <f>IF(C67=0,0,IF($I$67="Oui",K67,$M$10*(F67/$F$69*$C$69/$C$102)))</f>
        <v>0</v>
      </c>
      <c r="M67" s="1030">
        <f>IF(K67="",0,K67-L67)</f>
        <v>0</v>
      </c>
      <c r="N67" s="1030">
        <f>IF($F$69=0,0,IF($M$10=0,0,(F67/$F$69*$C$69/$C$102)*$M$10-L67))</f>
        <v>0</v>
      </c>
      <c r="O67" s="1030">
        <v>0</v>
      </c>
      <c r="P67" s="1031">
        <f>IFERROR(C67-J67-K67-N67-O67-($P$10*C67/$C$69*$C$69/$C$102),0)</f>
        <v>0</v>
      </c>
      <c r="W67" s="1041"/>
      <c r="X67" s="1042"/>
      <c r="Y67" s="1042"/>
      <c r="Z67" s="1042"/>
      <c r="AA67" s="1042"/>
      <c r="AB67" s="1042"/>
      <c r="AC67" s="1042"/>
      <c r="AD67" s="1042"/>
      <c r="AE67" s="1042"/>
    </row>
    <row r="68" spans="1:31" customFormat="1" ht="14.1" customHeight="1" thickBot="1">
      <c r="A68" s="1072" t="s">
        <v>555</v>
      </c>
      <c r="B68" s="1252"/>
      <c r="C68" s="1079">
        <f>SUMIFS('1.1-Investissements'!$Y$10:$Y$109,'1.1-Investissements'!$E$10:$E$109,"Non",'1.1-Investissements'!$B$10:$B$109,B65)+SUMIFS('1.2-Amortissements'!$P$10:$P$109,'1.2-Amortissements'!$D$10:$D$109,"Non",'1.2-Amortissements'!$B$10:$B$109,B65)+SUMIFS('2-Contributions en nature'!$J$10:$J$109,'2-Contributions en nature'!$B$10:$B$109,B65)+SUMIFS('3-Frais de personnel'!$O$10:$O$109,'3-Frais de personnel'!$B$10:$B$109,B65)+SUMIFS('4-TF coûts indirects'!$H$10:$H$20,'4-TF coûts indirects'!$B$10:$B$20,B65)+SUMIFS('5-Déplacements &amp; hébergements'!$AG$10:$AG$49,'5-Déplacements &amp; hébergements'!$B$10:$B$49,B65)+SUMIFS('6-Coûts participation agri'!$M$13:$M$52,'6-Coûts participation agri'!$B$13:$B$52,B65)</f>
        <v>0</v>
      </c>
      <c r="D68" s="1032">
        <f t="shared" ref="D68:D69" si="43">C68/$C$102</f>
        <v>0</v>
      </c>
      <c r="E68" s="949">
        <v>1</v>
      </c>
      <c r="F68" s="950">
        <f t="shared" ref="F68" si="44">IF(E68=0,"",C68*E68)</f>
        <v>0</v>
      </c>
      <c r="G68" s="950">
        <f>IF(C68=0,0,IF($P$10*$D$69+$O$69&gt;($C$69-$F$69),F68-(($P$10*$D$69)+$O$69-($C$69-$F$69))*(F68/$F$69),F68))</f>
        <v>0</v>
      </c>
      <c r="H68" s="951">
        <f t="shared" ref="H68" si="45">IF(C68=0,0,G68/C68)</f>
        <v>0</v>
      </c>
      <c r="I68" s="1247"/>
      <c r="J68" s="952">
        <f t="shared" ref="J68:J69" si="46">IF(G68=0,0,IF($I$67="Oui",G68-$M$10*((F68/$F$69)*$C$69/$C$102),G68*0.85))</f>
        <v>0</v>
      </c>
      <c r="K68" s="952">
        <f t="shared" ref="K68:K69" si="47">IF(G68=0,0,IF($I$67="Oui",0.15*G68,G68-J68))</f>
        <v>0</v>
      </c>
      <c r="L68" s="952">
        <f t="shared" ref="L68:L69" si="48">IF(C68=0,0,IF($I$67="Oui",K68,$M$10*(F68/$F$69*$C$69/$C$102)))</f>
        <v>0</v>
      </c>
      <c r="M68" s="952">
        <f t="shared" ref="M68" si="49">IF(K68="",0,K68-L68)</f>
        <v>0</v>
      </c>
      <c r="N68" s="952">
        <f t="shared" ref="N68:N69" si="50">IF($F$69=0,0,IF($M$10=0,0,(F68/$F$69*$C$69/$C$102)*$M$10-L68))</f>
        <v>0</v>
      </c>
      <c r="O68" s="952">
        <f>SUMIFS('2-Contributions en nature'!$J$10:$J$109,'2-Contributions en nature'!$B$10:$B$109,B65)</f>
        <v>0</v>
      </c>
      <c r="P68" s="1033">
        <f t="shared" ref="P68:P69" si="51">IFERROR(C68-J68-K68-N68-O68-($P$10*C68/$C$69*$C$69/$C$102),0)</f>
        <v>0</v>
      </c>
      <c r="W68" s="1041"/>
      <c r="X68" s="1042"/>
      <c r="Y68" s="1042"/>
      <c r="Z68" s="1042"/>
      <c r="AA68" s="1042"/>
      <c r="AB68" s="1042"/>
      <c r="AC68" s="1042"/>
      <c r="AD68" s="1042"/>
      <c r="AE68" s="1042"/>
    </row>
    <row r="69" spans="1:31" s="1034" customFormat="1" ht="48.6" customHeight="1" thickBot="1">
      <c r="B69" s="1035" t="s">
        <v>556</v>
      </c>
      <c r="C69" s="1036">
        <f>IF($C$8=0,"",SUM(C67:C68))</f>
        <v>0</v>
      </c>
      <c r="D69" s="1080">
        <f t="shared" si="43"/>
        <v>0</v>
      </c>
      <c r="E69" s="953"/>
      <c r="F69" s="954">
        <f>SUM(F67:F68)</f>
        <v>0</v>
      </c>
      <c r="G69" s="954">
        <f>SUM(G67:G68)</f>
        <v>0</v>
      </c>
      <c r="H69" s="955">
        <f>IF(C69=0,0,G69/C69)</f>
        <v>0</v>
      </c>
      <c r="I69" s="1037"/>
      <c r="J69" s="1038">
        <f t="shared" si="46"/>
        <v>0</v>
      </c>
      <c r="K69" s="1038">
        <f t="shared" si="47"/>
        <v>0</v>
      </c>
      <c r="L69" s="1038">
        <f t="shared" si="48"/>
        <v>0</v>
      </c>
      <c r="M69" s="956">
        <f>SUM(M67:M68)</f>
        <v>0</v>
      </c>
      <c r="N69" s="1038">
        <f t="shared" si="50"/>
        <v>0</v>
      </c>
      <c r="O69" s="956">
        <f>SUM(O67:O68)</f>
        <v>0</v>
      </c>
      <c r="P69" s="1039">
        <f t="shared" si="51"/>
        <v>0</v>
      </c>
    </row>
    <row r="70" spans="1:31" ht="20.100000000000001" thickBot="1"/>
    <row r="71" spans="1:31" customFormat="1" ht="15.95" customHeight="1" thickBot="1">
      <c r="B71" s="1248" t="s">
        <v>17</v>
      </c>
      <c r="C71" s="1249"/>
      <c r="D71" s="1249"/>
      <c r="E71" s="1249"/>
      <c r="F71" s="1249"/>
      <c r="G71" s="1249"/>
      <c r="H71" s="1249"/>
      <c r="I71" s="1249"/>
      <c r="J71" s="1249"/>
      <c r="K71" s="1249"/>
      <c r="L71" s="1249"/>
      <c r="M71" s="1249"/>
      <c r="N71" s="1249"/>
      <c r="O71" s="1249"/>
      <c r="P71" s="1250"/>
      <c r="W71" s="1041"/>
      <c r="X71" s="1042"/>
      <c r="Y71" s="1042"/>
      <c r="Z71" s="1042"/>
      <c r="AA71" s="1042"/>
      <c r="AB71" s="1042"/>
      <c r="AC71" s="1042"/>
      <c r="AD71" s="1042"/>
      <c r="AE71" s="1042"/>
    </row>
    <row r="72" spans="1:31" customFormat="1" ht="134.44999999999999" customHeight="1" thickBot="1">
      <c r="A72" s="1025" t="s">
        <v>544</v>
      </c>
      <c r="B72" s="1073" t="s">
        <v>38</v>
      </c>
      <c r="C72" s="1074" t="s">
        <v>228</v>
      </c>
      <c r="D72" s="1074" t="s">
        <v>545</v>
      </c>
      <c r="E72" s="1074" t="s">
        <v>546</v>
      </c>
      <c r="F72" s="1074" t="s">
        <v>547</v>
      </c>
      <c r="G72" s="1075" t="s">
        <v>548</v>
      </c>
      <c r="H72" s="1075" t="s">
        <v>549</v>
      </c>
      <c r="I72" s="1076" t="s">
        <v>550</v>
      </c>
      <c r="J72" s="1074" t="s">
        <v>518</v>
      </c>
      <c r="K72" s="1074" t="s">
        <v>551</v>
      </c>
      <c r="L72" s="1074" t="s">
        <v>522</v>
      </c>
      <c r="M72" s="1074" t="s">
        <v>523</v>
      </c>
      <c r="N72" s="1074" t="s">
        <v>524</v>
      </c>
      <c r="O72" s="1074" t="s">
        <v>552</v>
      </c>
      <c r="P72" s="1077" t="s">
        <v>553</v>
      </c>
      <c r="W72" s="1041"/>
      <c r="X72" s="1042"/>
      <c r="Y72" s="1042"/>
      <c r="Z72" s="1042"/>
      <c r="AA72" s="1042"/>
      <c r="AB72" s="1042"/>
      <c r="AC72" s="1042"/>
      <c r="AD72" s="1042"/>
      <c r="AE72" s="1042"/>
    </row>
    <row r="73" spans="1:31" customFormat="1" ht="14.45" customHeight="1">
      <c r="A73" s="1071" t="s">
        <v>554</v>
      </c>
      <c r="B73" s="1251" t="s">
        <v>43</v>
      </c>
      <c r="C73" s="1078">
        <f>SUMIFS('1.1-Investissements'!$Y$10:$Y$109,'1.1-Investissements'!$E$10:$E$109,"Oui",'1.1-Investissements'!$B$10:$B$109,B71)+SUMIFS('1.2-Amortissements'!$P$10:$P$109,'1.2-Amortissements'!$D$10:$D$109,"Oui",'1.2-Amortissements'!$B$10:$B$109,B71)</f>
        <v>0</v>
      </c>
      <c r="D73" s="1026">
        <f>C73/$C$102</f>
        <v>0</v>
      </c>
      <c r="E73" s="1027">
        <v>0.8</v>
      </c>
      <c r="F73" s="1028">
        <f>IF(E73=0,"",C73*E73)</f>
        <v>0</v>
      </c>
      <c r="G73" s="1028">
        <f>IF(C73=0,0,IF($P$10*$D$75+$O$75&gt;($C$75-$F$75),F73-(($P$10*$D$75)+$O$75-($C$75-$F$75))*(F73/$F$75),F73))</f>
        <v>0</v>
      </c>
      <c r="H73" s="1029">
        <f>IF(C73=0,0,G73/C73)</f>
        <v>0</v>
      </c>
      <c r="I73" s="1246" t="str">
        <f>$K$26</f>
        <v>Oui</v>
      </c>
      <c r="J73" s="1030">
        <f>IF(G73=0,0,IF($I$73="Oui",G73-$M$10*((F73/$F$75)*$C$75/$C$102),G73*0.85))</f>
        <v>0</v>
      </c>
      <c r="K73" s="1030">
        <f>IF(G73=0,0,IF($I$73="Oui",0.15*G73,G73-J73))</f>
        <v>0</v>
      </c>
      <c r="L73" s="1030">
        <f>IF(C73=0,0,IF($I$73="Oui",K73,$M$10*(F73/$F$75*$C$75/$C$102)))</f>
        <v>0</v>
      </c>
      <c r="M73" s="1030">
        <f>IF(K73="",0,K73-L73)</f>
        <v>0</v>
      </c>
      <c r="N73" s="1030">
        <f>IF($F$75=0,0,IF($M$10=0,0,(F73/$F$75*$C$75/$C$102)*$M$10-L73))</f>
        <v>0</v>
      </c>
      <c r="O73" s="1030">
        <v>0</v>
      </c>
      <c r="P73" s="1031">
        <f>IFERROR(C73-J73-K73-N73-O73-($P$10*C73/$C$75*$C$75/$C$102),0)</f>
        <v>0</v>
      </c>
      <c r="W73" s="1041"/>
      <c r="X73" s="1042"/>
      <c r="Y73" s="1042"/>
      <c r="Z73" s="1042"/>
      <c r="AA73" s="1042"/>
      <c r="AB73" s="1042"/>
      <c r="AC73" s="1042"/>
      <c r="AD73" s="1042"/>
      <c r="AE73" s="1042"/>
    </row>
    <row r="74" spans="1:31" customFormat="1" ht="14.1" customHeight="1" thickBot="1">
      <c r="A74" s="1072" t="s">
        <v>555</v>
      </c>
      <c r="B74" s="1252"/>
      <c r="C74" s="1079">
        <f>SUMIFS('1.1-Investissements'!$Y$10:$Y$109,'1.1-Investissements'!$E$10:$E$109,"Non",'1.1-Investissements'!$B$10:$B$109,B71)+SUMIFS('1.2-Amortissements'!$P$10:$P$109,'1.2-Amortissements'!$D$10:$D$109,"Non",'1.2-Amortissements'!$B$10:$B$109,B71)+SUMIFS('2-Contributions en nature'!$J$10:$J$109,'2-Contributions en nature'!$B$10:$B$109,B71)+SUMIFS('3-Frais de personnel'!$O$10:$O$109,'3-Frais de personnel'!$B$10:$B$109,B71)+SUMIFS('4-TF coûts indirects'!$H$10:$H$20,'4-TF coûts indirects'!$B$10:$B$20,B71)+SUMIFS('5-Déplacements &amp; hébergements'!$AG$10:$AG$49,'5-Déplacements &amp; hébergements'!$B$10:$B$49,B71)+SUMIFS('6-Coûts participation agri'!$M$13:$M$52,'6-Coûts participation agri'!$B$13:$B$52,B71)</f>
        <v>3205.25</v>
      </c>
      <c r="D74" s="1032">
        <f t="shared" ref="D74:D75" si="52">C74/$C$102</f>
        <v>0.17961226389904167</v>
      </c>
      <c r="E74" s="949">
        <v>1</v>
      </c>
      <c r="F74" s="950">
        <f t="shared" ref="F74" si="53">IF(E74=0,"",C74*E74)</f>
        <v>3205.25</v>
      </c>
      <c r="G74" s="950">
        <f>IF(C74=0,0,IF($P$10*$D$75+$O$75&gt;($C$75-$F$75),F74-(($P$10*$D$75)+$O$75-($C$75-$F$75))*(F74/$F$75),F74))</f>
        <v>3025.6377361009581</v>
      </c>
      <c r="H74" s="951">
        <f t="shared" ref="H74" si="54">IF(C74=0,0,G74/C74)</f>
        <v>0.9439631030655824</v>
      </c>
      <c r="I74" s="1247"/>
      <c r="J74" s="952">
        <f t="shared" ref="J74:J75" si="55">IF(G74=0,0,IF($I$73="Oui",G74-$M$10*((F74/$F$75)*$C$75/$C$102),G74*0.85))</f>
        <v>2666.4132083028749</v>
      </c>
      <c r="K74" s="952">
        <f t="shared" ref="K74:K75" si="56">IF(G74=0,0,IF($I$73="Oui",0.15*G74,G74-J74))</f>
        <v>453.8456604151437</v>
      </c>
      <c r="L74" s="952">
        <f t="shared" ref="L74:L75" si="57">IF(C74=0,0,IF($I$73="Oui",K74,$M$10*(F74/$F$75*$C$75/$C$102)))</f>
        <v>453.8456604151437</v>
      </c>
      <c r="M74" s="952">
        <f t="shared" ref="M74" si="58">IF(K74="",0,K74-L74)</f>
        <v>0</v>
      </c>
      <c r="N74" s="952">
        <f t="shared" ref="N74:N75" si="59">IF($F$75=0,0,IF($M$10=0,0,(F74/$F$75*$C$75/$C$102)*$M$10-L74))</f>
        <v>-94.621132617060368</v>
      </c>
      <c r="O74" s="952">
        <f>SUMIFS('2-Contributions en nature'!$J$10:$J$109,'2-Contributions en nature'!$B$10:$B$109,B71)</f>
        <v>0</v>
      </c>
      <c r="P74" s="1033">
        <f t="shared" ref="P74:P75" si="60">IFERROR(C74-J74-K74-N74-O74-($P$10*C74/$C$75*$C$75/$C$102),0)</f>
        <v>1.4210854715202004E-13</v>
      </c>
      <c r="W74" s="1041"/>
      <c r="X74" s="1042"/>
      <c r="Y74" s="1042"/>
      <c r="Z74" s="1042"/>
      <c r="AA74" s="1042"/>
      <c r="AB74" s="1042"/>
      <c r="AC74" s="1042"/>
      <c r="AD74" s="1042"/>
      <c r="AE74" s="1042"/>
    </row>
    <row r="75" spans="1:31" s="1034" customFormat="1" ht="48.6" customHeight="1" thickBot="1">
      <c r="B75" s="1035" t="s">
        <v>556</v>
      </c>
      <c r="C75" s="1036">
        <f>IF($C$8=0,"",SUM(C73:C74))</f>
        <v>3205.25</v>
      </c>
      <c r="D75" s="1080">
        <f t="shared" si="52"/>
        <v>0.17961226389904167</v>
      </c>
      <c r="E75" s="953"/>
      <c r="F75" s="954">
        <f>SUM(F73:F74)</f>
        <v>3205.25</v>
      </c>
      <c r="G75" s="954">
        <f>SUM(G73:G74)</f>
        <v>3025.6377361009581</v>
      </c>
      <c r="H75" s="955">
        <f>IF(C75=0,0,G75/C75)</f>
        <v>0.9439631030655824</v>
      </c>
      <c r="I75" s="1037"/>
      <c r="J75" s="1038">
        <f t="shared" si="55"/>
        <v>2666.4132083028749</v>
      </c>
      <c r="K75" s="1038">
        <f t="shared" si="56"/>
        <v>453.8456604151437</v>
      </c>
      <c r="L75" s="1038">
        <f t="shared" si="57"/>
        <v>453.8456604151437</v>
      </c>
      <c r="M75" s="956">
        <f>SUM(M73:M74)</f>
        <v>0</v>
      </c>
      <c r="N75" s="1038">
        <f t="shared" si="59"/>
        <v>-94.621132617060368</v>
      </c>
      <c r="O75" s="956">
        <f>SUM(O73:O74)</f>
        <v>0</v>
      </c>
      <c r="P75" s="1039">
        <f t="shared" si="60"/>
        <v>1.4210854715202004E-13</v>
      </c>
    </row>
    <row r="76" spans="1:31" ht="20.100000000000001" thickBot="1"/>
    <row r="77" spans="1:31" customFormat="1" ht="15.95" customHeight="1" thickBot="1">
      <c r="B77" s="1248" t="s">
        <v>18</v>
      </c>
      <c r="C77" s="1249"/>
      <c r="D77" s="1249"/>
      <c r="E77" s="1249"/>
      <c r="F77" s="1249"/>
      <c r="G77" s="1249"/>
      <c r="H77" s="1249"/>
      <c r="I77" s="1249"/>
      <c r="J77" s="1249"/>
      <c r="K77" s="1249"/>
      <c r="L77" s="1249"/>
      <c r="M77" s="1249"/>
      <c r="N77" s="1249"/>
      <c r="O77" s="1249"/>
      <c r="P77" s="1250"/>
      <c r="W77" s="1041"/>
      <c r="X77" s="1042"/>
      <c r="Y77" s="1042"/>
      <c r="Z77" s="1042"/>
      <c r="AA77" s="1042"/>
      <c r="AB77" s="1042"/>
      <c r="AC77" s="1042"/>
      <c r="AD77" s="1042"/>
      <c r="AE77" s="1042"/>
    </row>
    <row r="78" spans="1:31" customFormat="1" ht="134.44999999999999" customHeight="1" thickBot="1">
      <c r="A78" s="1025" t="s">
        <v>544</v>
      </c>
      <c r="B78" s="1073" t="s">
        <v>38</v>
      </c>
      <c r="C78" s="1074" t="s">
        <v>228</v>
      </c>
      <c r="D78" s="1074" t="s">
        <v>545</v>
      </c>
      <c r="E78" s="1074" t="s">
        <v>546</v>
      </c>
      <c r="F78" s="1074" t="s">
        <v>547</v>
      </c>
      <c r="G78" s="1075" t="s">
        <v>548</v>
      </c>
      <c r="H78" s="1075" t="s">
        <v>549</v>
      </c>
      <c r="I78" s="1076" t="s">
        <v>550</v>
      </c>
      <c r="J78" s="1074" t="s">
        <v>518</v>
      </c>
      <c r="K78" s="1074" t="s">
        <v>551</v>
      </c>
      <c r="L78" s="1074" t="s">
        <v>522</v>
      </c>
      <c r="M78" s="1074" t="s">
        <v>523</v>
      </c>
      <c r="N78" s="1074" t="s">
        <v>524</v>
      </c>
      <c r="O78" s="1074" t="s">
        <v>552</v>
      </c>
      <c r="P78" s="1077" t="s">
        <v>553</v>
      </c>
      <c r="W78" s="1041"/>
      <c r="X78" s="1042"/>
      <c r="Y78" s="1042"/>
      <c r="Z78" s="1042"/>
      <c r="AA78" s="1042"/>
      <c r="AB78" s="1042"/>
      <c r="AC78" s="1042"/>
      <c r="AD78" s="1042"/>
      <c r="AE78" s="1042"/>
    </row>
    <row r="79" spans="1:31" customFormat="1" ht="14.45" customHeight="1">
      <c r="A79" s="1071" t="s">
        <v>554</v>
      </c>
      <c r="B79" s="1251" t="s">
        <v>43</v>
      </c>
      <c r="C79" s="1078">
        <f>SUMIFS('1.1-Investissements'!$Y$10:$Y$109,'1.1-Investissements'!$E$10:$E$109,"Oui",'1.1-Investissements'!$B$10:$B$109,B77)+SUMIFS('1.2-Amortissements'!$P$10:$P$109,'1.2-Amortissements'!$D$10:$D$109,"Oui",'1.2-Amortissements'!$B$10:$B$109,B77)</f>
        <v>0</v>
      </c>
      <c r="D79" s="1026">
        <f>C79/$C$102</f>
        <v>0</v>
      </c>
      <c r="E79" s="1027">
        <v>0.8</v>
      </c>
      <c r="F79" s="1028">
        <f>IF(E79=0,"",C79*E79)</f>
        <v>0</v>
      </c>
      <c r="G79" s="1028">
        <f>IF(C79=0,0,IF($P$10*$D$81+$O$81&gt;($C$81-$F$81),F79-(($P$10*$D$81)+$O$81-($C$81-$F$81))*(F79/$F$81),F79))</f>
        <v>0</v>
      </c>
      <c r="H79" s="1029">
        <f>IF(C79=0,0,G79/C79)</f>
        <v>0</v>
      </c>
      <c r="I79" s="1246" t="str">
        <f>$K$26</f>
        <v>Oui</v>
      </c>
      <c r="J79" s="1030">
        <f>IF(G79=0,0,IF($I$79="Oui",G79-$M$10*((F79/$F$81)*$C$81/$C$102),G79*0.85))</f>
        <v>0</v>
      </c>
      <c r="K79" s="1030">
        <f>IF(G79=0,0,IF($I$79="Oui",0.15*G79,G79-J79))</f>
        <v>0</v>
      </c>
      <c r="L79" s="1030">
        <f>IF(C79=0,0,IF($I$79="Oui",K79,$M$10*(F79/$F$81*$C$81/$C$102)))</f>
        <v>0</v>
      </c>
      <c r="M79" s="1030">
        <f>IF(K79="",0,K79-L79)</f>
        <v>0</v>
      </c>
      <c r="N79" s="1030">
        <f>IF($F$81=0,0,IF($M$10=0,0,(F79/$F$81*$C$81/$C$102)*$M$10-L79))</f>
        <v>0</v>
      </c>
      <c r="O79" s="1030">
        <v>0</v>
      </c>
      <c r="P79" s="1031">
        <f>IFERROR(C79-J79-K79-N79-O79-($P$10*C79/$C$81*$C$81/$C$102),0)</f>
        <v>0</v>
      </c>
      <c r="W79" s="1041"/>
      <c r="X79" s="1042"/>
      <c r="Y79" s="1042"/>
      <c r="Z79" s="1042"/>
      <c r="AA79" s="1042"/>
      <c r="AB79" s="1042"/>
      <c r="AC79" s="1042"/>
      <c r="AD79" s="1042"/>
      <c r="AE79" s="1042"/>
    </row>
    <row r="80" spans="1:31" customFormat="1" ht="14.1" customHeight="1" thickBot="1">
      <c r="A80" s="1072" t="s">
        <v>555</v>
      </c>
      <c r="B80" s="1252"/>
      <c r="C80" s="1079">
        <f>SUMIFS('1.1-Investissements'!$Y$10:$Y$109,'1.1-Investissements'!$E$10:$E$109,"Non",'1.1-Investissements'!$B$10:$B$109,B77)+SUMIFS('1.2-Amortissements'!$P$10:$P$109,'1.2-Amortissements'!$D$10:$D$109,"Non",'1.2-Amortissements'!$B$10:$B$109,B77)+SUMIFS('2-Contributions en nature'!$J$10:$J$109,'2-Contributions en nature'!$B$10:$B$109,B77)+SUMIFS('3-Frais de personnel'!$O$10:$O$109,'3-Frais de personnel'!$B$10:$B$109,B77)+SUMIFS('4-TF coûts indirects'!$H$10:$H$20,'4-TF coûts indirects'!$B$10:$B$20,B77)+SUMIFS('5-Déplacements &amp; hébergements'!$AG$10:$AG$49,'5-Déplacements &amp; hébergements'!$B$10:$B$49,B77)+SUMIFS('6-Coûts participation agri'!$M$13:$M$52,'6-Coûts participation agri'!$B$13:$B$52,B77)</f>
        <v>0</v>
      </c>
      <c r="D80" s="1032">
        <f t="shared" ref="D80:D81" si="61">C80/$C$102</f>
        <v>0</v>
      </c>
      <c r="E80" s="949">
        <v>1</v>
      </c>
      <c r="F80" s="950">
        <f t="shared" ref="F80" si="62">IF(E80=0,"",C80*E80)</f>
        <v>0</v>
      </c>
      <c r="G80" s="950">
        <f>IF(C80=0,0,IF($P$10*$D$81+$O$81&gt;($C$81-$F$81),F80-(($P$10*$D$81)+$O$81-($C$81-$F$81))*(F80/$F$81),F80))</f>
        <v>0</v>
      </c>
      <c r="H80" s="951">
        <f t="shared" ref="H80" si="63">IF(C80=0,0,G80/C80)</f>
        <v>0</v>
      </c>
      <c r="I80" s="1247"/>
      <c r="J80" s="952">
        <f t="shared" ref="J80:J81" si="64">IF(G80=0,0,IF($I$79="Oui",G80-$M$10*((F80/$F$81)*$C$81/$C$102),G80*0.85))</f>
        <v>0</v>
      </c>
      <c r="K80" s="952">
        <f t="shared" ref="K80:K81" si="65">IF(G80=0,0,IF($I$79="Oui",0.15*G80,G80-J80))</f>
        <v>0</v>
      </c>
      <c r="L80" s="952">
        <f t="shared" ref="L80:L81" si="66">IF(C80=0,0,IF($I$79="Oui",K80,$M$10*(F80/$F$81*$C$81/$C$102)))</f>
        <v>0</v>
      </c>
      <c r="M80" s="952">
        <f t="shared" ref="M80" si="67">IF(K80="",0,K80-L80)</f>
        <v>0</v>
      </c>
      <c r="N80" s="952">
        <f t="shared" ref="N80:N81" si="68">IF($F$81=0,0,IF($M$10=0,0,(F80/$F$81*$C$81/$C$102)*$M$10-L80))</f>
        <v>0</v>
      </c>
      <c r="O80" s="952">
        <f>SUMIFS('2-Contributions en nature'!$J$10:$J$109,'2-Contributions en nature'!$B$10:$B$109,B77)</f>
        <v>0</v>
      </c>
      <c r="P80" s="1033">
        <f t="shared" ref="P80:P81" si="69">IFERROR(C80-J80-K80-N80-O80-($P$10*C80/$C$81*$C$81/$C$102),0)</f>
        <v>0</v>
      </c>
      <c r="W80" s="1041"/>
      <c r="X80" s="1042"/>
      <c r="Y80" s="1042"/>
      <c r="Z80" s="1042"/>
      <c r="AA80" s="1042"/>
      <c r="AB80" s="1042"/>
      <c r="AC80" s="1042"/>
      <c r="AD80" s="1042"/>
      <c r="AE80" s="1042"/>
    </row>
    <row r="81" spans="1:31" s="1034" customFormat="1" ht="48.6" customHeight="1" thickBot="1">
      <c r="B81" s="1035" t="s">
        <v>556</v>
      </c>
      <c r="C81" s="1036">
        <f>IF($C$8=0,"",SUM(C79:C80))</f>
        <v>0</v>
      </c>
      <c r="D81" s="1080">
        <f t="shared" si="61"/>
        <v>0</v>
      </c>
      <c r="E81" s="953"/>
      <c r="F81" s="954">
        <f>SUM(F79:F80)</f>
        <v>0</v>
      </c>
      <c r="G81" s="954">
        <f>SUM(G79:G80)</f>
        <v>0</v>
      </c>
      <c r="H81" s="955">
        <f>IF(C81=0,0,G81/C81)</f>
        <v>0</v>
      </c>
      <c r="I81" s="1037"/>
      <c r="J81" s="1038">
        <f t="shared" si="64"/>
        <v>0</v>
      </c>
      <c r="K81" s="1038">
        <f t="shared" si="65"/>
        <v>0</v>
      </c>
      <c r="L81" s="1038">
        <f t="shared" si="66"/>
        <v>0</v>
      </c>
      <c r="M81" s="956">
        <f>SUM(M79:M80)</f>
        <v>0</v>
      </c>
      <c r="N81" s="1038">
        <f t="shared" si="68"/>
        <v>0</v>
      </c>
      <c r="O81" s="956">
        <f>SUM(O79:O80)</f>
        <v>0</v>
      </c>
      <c r="P81" s="1039">
        <f t="shared" si="69"/>
        <v>0</v>
      </c>
    </row>
    <row r="82" spans="1:31" ht="20.100000000000001" thickBot="1"/>
    <row r="83" spans="1:31" customFormat="1" ht="15.95" customHeight="1" thickBot="1">
      <c r="B83" s="1248" t="s">
        <v>19</v>
      </c>
      <c r="C83" s="1249"/>
      <c r="D83" s="1249"/>
      <c r="E83" s="1249"/>
      <c r="F83" s="1249"/>
      <c r="G83" s="1249"/>
      <c r="H83" s="1249"/>
      <c r="I83" s="1249"/>
      <c r="J83" s="1249"/>
      <c r="K83" s="1249"/>
      <c r="L83" s="1249"/>
      <c r="M83" s="1249"/>
      <c r="N83" s="1249"/>
      <c r="O83" s="1249"/>
      <c r="P83" s="1250"/>
      <c r="W83" s="1041"/>
      <c r="X83" s="1042"/>
      <c r="Y83" s="1042"/>
      <c r="Z83" s="1042"/>
      <c r="AA83" s="1042"/>
      <c r="AB83" s="1042"/>
      <c r="AC83" s="1042"/>
      <c r="AD83" s="1042"/>
      <c r="AE83" s="1042"/>
    </row>
    <row r="84" spans="1:31" customFormat="1" ht="134.44999999999999" customHeight="1" thickBot="1">
      <c r="A84" s="1025" t="s">
        <v>544</v>
      </c>
      <c r="B84" s="1073" t="s">
        <v>38</v>
      </c>
      <c r="C84" s="1074" t="s">
        <v>228</v>
      </c>
      <c r="D84" s="1074" t="s">
        <v>545</v>
      </c>
      <c r="E84" s="1074" t="s">
        <v>546</v>
      </c>
      <c r="F84" s="1074" t="s">
        <v>547</v>
      </c>
      <c r="G84" s="1075" t="s">
        <v>548</v>
      </c>
      <c r="H84" s="1075" t="s">
        <v>549</v>
      </c>
      <c r="I84" s="1076" t="s">
        <v>550</v>
      </c>
      <c r="J84" s="1074" t="s">
        <v>518</v>
      </c>
      <c r="K84" s="1074" t="s">
        <v>551</v>
      </c>
      <c r="L84" s="1074" t="s">
        <v>522</v>
      </c>
      <c r="M84" s="1074" t="s">
        <v>523</v>
      </c>
      <c r="N84" s="1074" t="s">
        <v>524</v>
      </c>
      <c r="O84" s="1074" t="s">
        <v>552</v>
      </c>
      <c r="P84" s="1077" t="s">
        <v>553</v>
      </c>
      <c r="W84" s="1041"/>
      <c r="X84" s="1042"/>
      <c r="Y84" s="1042"/>
      <c r="Z84" s="1042"/>
      <c r="AA84" s="1042"/>
      <c r="AB84" s="1042"/>
      <c r="AC84" s="1042"/>
      <c r="AD84" s="1042"/>
      <c r="AE84" s="1042"/>
    </row>
    <row r="85" spans="1:31" customFormat="1" ht="14.45" customHeight="1">
      <c r="A85" s="1071" t="s">
        <v>554</v>
      </c>
      <c r="B85" s="1251" t="s">
        <v>43</v>
      </c>
      <c r="C85" s="1078">
        <f>SUMIFS('1.1-Investissements'!$Y$10:$Y$109,'1.1-Investissements'!$E$10:$E$109,"Oui",'1.1-Investissements'!$B$10:$B$109,B83)+SUMIFS('1.2-Amortissements'!$P$10:$P$109,'1.2-Amortissements'!$D$10:$D$109,"Oui",'1.2-Amortissements'!$B$10:$B$109,B83)</f>
        <v>0</v>
      </c>
      <c r="D85" s="1026">
        <f>C85/$C$102</f>
        <v>0</v>
      </c>
      <c r="E85" s="1027">
        <v>0.8</v>
      </c>
      <c r="F85" s="1028">
        <f>IF(E85=0,"",C85*E85)</f>
        <v>0</v>
      </c>
      <c r="G85" s="1028">
        <f>IF(C85=0,0,IF($P$10*$D$87+$O$87&gt;($C$87-$F$87),F85-(($P$10*$D$87)+$O$87-($C$87-$F$87))*(F85/$F$87),F85))</f>
        <v>0</v>
      </c>
      <c r="H85" s="1029">
        <f>IF(C85=0,0,G85/C85)</f>
        <v>0</v>
      </c>
      <c r="I85" s="1246" t="str">
        <f>$K$26</f>
        <v>Oui</v>
      </c>
      <c r="J85" s="1030">
        <f>IF(G85=0,0,IF($I$85="Oui",G85-$M$10*((F85/$F$87)*$C$87/$C$102),G85*0.85))</f>
        <v>0</v>
      </c>
      <c r="K85" s="1030">
        <f>IF(G85=0,0,IF($I$85="Oui",0.15*G85,G85-J85))</f>
        <v>0</v>
      </c>
      <c r="L85" s="1030">
        <f>IF(C85=0,0,IF($I$85="Oui",K85,$M$10*(F85/$F$87*$C$87/$C$102)))</f>
        <v>0</v>
      </c>
      <c r="M85" s="1030">
        <f>IF(K85="",0,K85-L85)</f>
        <v>0</v>
      </c>
      <c r="N85" s="1030">
        <f>IF($F$87=0,0,IF($M$10=0,0,(F85/$F$87*$C$87/$C$102)*$M$10-L85))</f>
        <v>0</v>
      </c>
      <c r="O85" s="1030">
        <v>0</v>
      </c>
      <c r="P85" s="1031">
        <f>IFERROR(C85-J85-K85-N85-O85-($P$10*C85/$C$87*$C$87/$C$102),0)</f>
        <v>0</v>
      </c>
      <c r="W85" s="1041"/>
      <c r="X85" s="1042"/>
      <c r="Y85" s="1042"/>
      <c r="Z85" s="1042"/>
      <c r="AA85" s="1042"/>
      <c r="AB85" s="1042"/>
      <c r="AC85" s="1042"/>
      <c r="AD85" s="1042"/>
      <c r="AE85" s="1042"/>
    </row>
    <row r="86" spans="1:31" customFormat="1" ht="14.1" customHeight="1" thickBot="1">
      <c r="A86" s="1072" t="s">
        <v>555</v>
      </c>
      <c r="B86" s="1252"/>
      <c r="C86" s="1079">
        <f>SUMIFS('1.1-Investissements'!$Y$10:$Y$109,'1.1-Investissements'!$E$10:$E$109,"Non",'1.1-Investissements'!$B$10:$B$109,B83)+SUMIFS('1.2-Amortissements'!$P$10:$P$109,'1.2-Amortissements'!$D$10:$D$109,"Non",'1.2-Amortissements'!$B$10:$B$109,B83)+SUMIFS('2-Contributions en nature'!$J$10:$J$109,'2-Contributions en nature'!$B$10:$B$109,B83)+SUMIFS('3-Frais de personnel'!$O$10:$O$109,'3-Frais de personnel'!$B$10:$B$109,B83)+SUMIFS('4-TF coûts indirects'!$H$10:$H$20,'4-TF coûts indirects'!$B$10:$B$20,B83)+SUMIFS('5-Déplacements &amp; hébergements'!$AG$10:$AG$49,'5-Déplacements &amp; hébergements'!$B$10:$B$49,B83)+SUMIFS('6-Coûts participation agri'!$M$13:$M$52,'6-Coûts participation agri'!$B$13:$B$52,B83)</f>
        <v>1148</v>
      </c>
      <c r="D86" s="1032">
        <f t="shared" ref="D86:D87" si="70">C86/$C$102</f>
        <v>6.4330357680711284E-2</v>
      </c>
      <c r="E86" s="949">
        <v>1</v>
      </c>
      <c r="F86" s="950">
        <f t="shared" ref="F86" si="71">IF(E86=0,"",C86*E86)</f>
        <v>1148</v>
      </c>
      <c r="G86" s="950">
        <f>IF(C86=0,0,IF($P$10*$D$87+$O$87&gt;($C$87-$F$87),F86-(($P$10*$D$87)+$O$87-($C$87-$F$87))*(F86/$F$87),F86))</f>
        <v>1083.6696423192886</v>
      </c>
      <c r="H86" s="951">
        <f t="shared" ref="H86" si="72">IF(C86=0,0,G86/C86)</f>
        <v>0.9439631030655824</v>
      </c>
      <c r="I86" s="1247"/>
      <c r="J86" s="952">
        <f t="shared" ref="J86:J87" si="73">IF(G86=0,0,IF($I$85="Oui",G86-$M$10*((F86/$F$87)*$C$87/$C$102),G86*0.85))</f>
        <v>955.00892695786604</v>
      </c>
      <c r="K86" s="952">
        <f t="shared" ref="K86:K87" si="74">IF(G86=0,0,IF($I$85="Oui",0.15*G86,G86-J86))</f>
        <v>162.55044634789328</v>
      </c>
      <c r="L86" s="952">
        <f t="shared" ref="L86:L87" si="75">IF(C86=0,0,IF($I$85="Oui",K86,$M$10*(F86/$F$87*$C$87/$C$102)))</f>
        <v>162.55044634789328</v>
      </c>
      <c r="M86" s="952">
        <f t="shared" ref="M86" si="76">IF(K86="",0,K86-L86)</f>
        <v>0</v>
      </c>
      <c r="N86" s="952">
        <f t="shared" ref="N86:N87" si="77">IF($F$87=0,0,IF($M$10=0,0,(F86/$F$87*$C$87/$C$102)*$M$10-L86))</f>
        <v>-33.88973098647071</v>
      </c>
      <c r="O86" s="952">
        <f>SUMIFS('2-Contributions en nature'!$J$10:$J$109,'2-Contributions en nature'!$B$10:$B$109,B83)</f>
        <v>0</v>
      </c>
      <c r="P86" s="1033">
        <f t="shared" ref="P86:P87" si="78">IFERROR(C86-J86-K86-N86-O86-($P$10*C86/$C$87*$C$87/$C$102),0)</f>
        <v>1.1368683772161603E-13</v>
      </c>
      <c r="W86" s="1041"/>
      <c r="X86" s="1042"/>
      <c r="Y86" s="1042"/>
      <c r="Z86" s="1042"/>
      <c r="AA86" s="1042"/>
      <c r="AB86" s="1042"/>
      <c r="AC86" s="1042"/>
      <c r="AD86" s="1042"/>
      <c r="AE86" s="1042"/>
    </row>
    <row r="87" spans="1:31" s="1034" customFormat="1" ht="48.6" customHeight="1" thickBot="1">
      <c r="B87" s="1035" t="s">
        <v>556</v>
      </c>
      <c r="C87" s="1036">
        <f>IF($C$8=0,"",SUM(C85:C86))</f>
        <v>1148</v>
      </c>
      <c r="D87" s="1080">
        <f t="shared" si="70"/>
        <v>6.4330357680711284E-2</v>
      </c>
      <c r="E87" s="953"/>
      <c r="F87" s="954">
        <f>SUM(F85:F86)</f>
        <v>1148</v>
      </c>
      <c r="G87" s="954">
        <f>SUM(G85:G86)</f>
        <v>1083.6696423192886</v>
      </c>
      <c r="H87" s="955">
        <f>IF(C87=0,0,G87/C87)</f>
        <v>0.9439631030655824</v>
      </c>
      <c r="I87" s="1037"/>
      <c r="J87" s="1038">
        <f t="shared" si="73"/>
        <v>955.00892695786604</v>
      </c>
      <c r="K87" s="1038">
        <f t="shared" si="74"/>
        <v>162.55044634789328</v>
      </c>
      <c r="L87" s="1038">
        <f t="shared" si="75"/>
        <v>162.55044634789328</v>
      </c>
      <c r="M87" s="956">
        <f>SUM(M85:M86)</f>
        <v>0</v>
      </c>
      <c r="N87" s="1038">
        <f t="shared" si="77"/>
        <v>-33.88973098647071</v>
      </c>
      <c r="O87" s="956">
        <f>SUM(O85:O86)</f>
        <v>0</v>
      </c>
      <c r="P87" s="1039">
        <f t="shared" si="78"/>
        <v>1.1368683772161603E-13</v>
      </c>
    </row>
    <row r="88" spans="1:31" ht="20.100000000000001" thickBot="1"/>
    <row r="89" spans="1:31" customFormat="1" ht="15.95" customHeight="1" thickBot="1">
      <c r="B89" s="1248" t="s">
        <v>20</v>
      </c>
      <c r="C89" s="1249"/>
      <c r="D89" s="1249"/>
      <c r="E89" s="1249"/>
      <c r="F89" s="1249"/>
      <c r="G89" s="1249"/>
      <c r="H89" s="1249"/>
      <c r="I89" s="1249"/>
      <c r="J89" s="1249"/>
      <c r="K89" s="1249"/>
      <c r="L89" s="1249"/>
      <c r="M89" s="1249"/>
      <c r="N89" s="1249"/>
      <c r="O89" s="1249"/>
      <c r="P89" s="1250"/>
      <c r="W89" s="1041"/>
      <c r="X89" s="1042"/>
      <c r="Y89" s="1042"/>
      <c r="Z89" s="1042"/>
      <c r="AA89" s="1042"/>
      <c r="AB89" s="1042"/>
      <c r="AC89" s="1042"/>
      <c r="AD89" s="1042"/>
      <c r="AE89" s="1042"/>
    </row>
    <row r="90" spans="1:31" customFormat="1" ht="134.44999999999999" customHeight="1" thickBot="1">
      <c r="A90" s="1025" t="s">
        <v>544</v>
      </c>
      <c r="B90" s="1073" t="s">
        <v>38</v>
      </c>
      <c r="C90" s="1074" t="s">
        <v>228</v>
      </c>
      <c r="D90" s="1074" t="s">
        <v>545</v>
      </c>
      <c r="E90" s="1074" t="s">
        <v>546</v>
      </c>
      <c r="F90" s="1074" t="s">
        <v>547</v>
      </c>
      <c r="G90" s="1075" t="s">
        <v>548</v>
      </c>
      <c r="H90" s="1075" t="s">
        <v>549</v>
      </c>
      <c r="I90" s="1076" t="s">
        <v>550</v>
      </c>
      <c r="J90" s="1074" t="s">
        <v>518</v>
      </c>
      <c r="K90" s="1074" t="s">
        <v>551</v>
      </c>
      <c r="L90" s="1074" t="s">
        <v>522</v>
      </c>
      <c r="M90" s="1074" t="s">
        <v>523</v>
      </c>
      <c r="N90" s="1074" t="s">
        <v>524</v>
      </c>
      <c r="O90" s="1074" t="s">
        <v>552</v>
      </c>
      <c r="P90" s="1077" t="s">
        <v>553</v>
      </c>
      <c r="W90" s="1041"/>
      <c r="X90" s="1042"/>
      <c r="Y90" s="1042"/>
      <c r="Z90" s="1042"/>
      <c r="AA90" s="1042"/>
      <c r="AB90" s="1042"/>
      <c r="AC90" s="1042"/>
      <c r="AD90" s="1042"/>
      <c r="AE90" s="1042"/>
    </row>
    <row r="91" spans="1:31" customFormat="1" ht="14.45" customHeight="1">
      <c r="A91" s="1071" t="s">
        <v>554</v>
      </c>
      <c r="B91" s="1251" t="s">
        <v>43</v>
      </c>
      <c r="C91" s="1078">
        <f>SUMIFS('1.1-Investissements'!$Y$10:$Y$109,'1.1-Investissements'!$E$10:$E$109,"Oui",'1.1-Investissements'!$B$10:$B$109,B89)+SUMIFS('1.2-Amortissements'!$P$10:$P$109,'1.2-Amortissements'!$D$10:$D$109,"Oui",'1.2-Amortissements'!$B$10:$B$109,B89)</f>
        <v>0</v>
      </c>
      <c r="D91" s="1026">
        <f>C91/$C$102</f>
        <v>0</v>
      </c>
      <c r="E91" s="1027">
        <v>0.8</v>
      </c>
      <c r="F91" s="1028">
        <f>IF(E91=0,"",C91*E91)</f>
        <v>0</v>
      </c>
      <c r="G91" s="1028">
        <f>IF(C91=0,0,IF($P$10*$D$93+$O$93&gt;($C$93-$F$93),F91-(($P$10*$D$93)+$O$93-($C$93-$F$93))*(F91/$F$93),F91))</f>
        <v>0</v>
      </c>
      <c r="H91" s="1029">
        <f>IF(C91=0,0,G91/C91)</f>
        <v>0</v>
      </c>
      <c r="I91" s="1246" t="str">
        <f>$K$26</f>
        <v>Oui</v>
      </c>
      <c r="J91" s="1030">
        <f>IF(G91=0,0,IF($I$91="Oui",G91-$M$10*((F91/$F$93)*$C$93/$C$102),G91*0.85))</f>
        <v>0</v>
      </c>
      <c r="K91" s="1030">
        <f>IF(G91=0,0,IF($I$91="Oui",0.15*G91,G91-J91))</f>
        <v>0</v>
      </c>
      <c r="L91" s="1030">
        <f>IF(C91=0,0,IF($I$91="Oui",K91,$M$10*(F91/$F$93*$C$93/$C$102)))</f>
        <v>0</v>
      </c>
      <c r="M91" s="1030">
        <f>IF(K91="",0,K91-L91)</f>
        <v>0</v>
      </c>
      <c r="N91" s="1030">
        <f>IF($F$93=0,0,IF($M$10=0,0,(F91/$F$93*$C$93/$C$102)*$M$10-L91))</f>
        <v>0</v>
      </c>
      <c r="O91" s="1030">
        <v>0</v>
      </c>
      <c r="P91" s="1031">
        <f>IFERROR(C91-J91-K91-N91-O91-($P$10*C91/$C$93*$C$93/$C$102),0)</f>
        <v>0</v>
      </c>
      <c r="W91" s="1041"/>
      <c r="X91" s="1042"/>
      <c r="Y91" s="1042"/>
      <c r="Z91" s="1042"/>
      <c r="AA91" s="1042"/>
      <c r="AB91" s="1042"/>
      <c r="AC91" s="1042"/>
      <c r="AD91" s="1042"/>
      <c r="AE91" s="1042"/>
    </row>
    <row r="92" spans="1:31" customFormat="1" ht="14.1" customHeight="1" thickBot="1">
      <c r="A92" s="1072" t="s">
        <v>555</v>
      </c>
      <c r="B92" s="1252"/>
      <c r="C92" s="1079">
        <f>SUMIFS('1.1-Investissements'!$Y$10:$Y$109,'1.1-Investissements'!$E$10:$E$109,"Non",'1.1-Investissements'!$B$10:$B$109,B89)+SUMIFS('1.2-Amortissements'!$P$10:$P$109,'1.2-Amortissements'!$D$10:$D$109,"Non",'1.2-Amortissements'!$B$10:$B$109,B89)+SUMIFS('2-Contributions en nature'!$J$10:$J$109,'2-Contributions en nature'!$B$10:$B$109,B89)+SUMIFS('3-Frais de personnel'!$O$10:$O$109,'3-Frais de personnel'!$B$10:$B$109,B89)+SUMIFS('4-TF coûts indirects'!$H$10:$H$20,'4-TF coûts indirects'!$B$10:$B$20,B89)+SUMIFS('5-Déplacements &amp; hébergements'!$AG$10:$AG$49,'5-Déplacements &amp; hébergements'!$B$10:$B$49,B89)+SUMIFS('6-Coûts participation agri'!$M$13:$M$52,'6-Coûts participation agri'!$B$13:$B$52,B89)</f>
        <v>0</v>
      </c>
      <c r="D92" s="1032">
        <f t="shared" ref="D92:D93" si="79">C92/$C$102</f>
        <v>0</v>
      </c>
      <c r="E92" s="949">
        <v>1</v>
      </c>
      <c r="F92" s="950">
        <f t="shared" ref="F92" si="80">IF(E92=0,"",C92*E92)</f>
        <v>0</v>
      </c>
      <c r="G92" s="950">
        <f>IF(C92=0,0,IF($P$10*$D$93+$O$93&gt;($C$93-$F$93),F92-(($P$10*$D$93)+$O$93-($C$93-$F$93))*(F92/$F$93),F92))</f>
        <v>0</v>
      </c>
      <c r="H92" s="951">
        <f t="shared" ref="H92" si="81">IF(C92=0,0,G92/C92)</f>
        <v>0</v>
      </c>
      <c r="I92" s="1247"/>
      <c r="J92" s="952">
        <f>IF(G92=0,0,IF($I$91="Oui",G92-$M$10*((F92/$F$93)*$C$93/$C$102),G92*0.85))</f>
        <v>0</v>
      </c>
      <c r="K92" s="952">
        <f t="shared" ref="K92:K93" si="82">IF(G92=0,0,IF($I$91="Oui",0.15*G92,G92-J92))</f>
        <v>0</v>
      </c>
      <c r="L92" s="952">
        <f t="shared" ref="L92:L93" si="83">IF(C92=0,0,IF($I$91="Oui",K92,$M$10*(F92/$F$93*$C$93/$C$102)))</f>
        <v>0</v>
      </c>
      <c r="M92" s="952">
        <f t="shared" ref="M92" si="84">IF(K92="",0,K92-L92)</f>
        <v>0</v>
      </c>
      <c r="N92" s="952">
        <f t="shared" ref="N92:N93" si="85">IF($F$93=0,0,IF($M$10=0,0,(F92/$F$93*$C$93/$C$102)*$M$10-L92))</f>
        <v>0</v>
      </c>
      <c r="O92" s="952">
        <f>SUMIFS('2-Contributions en nature'!$J$10:$J$109,'2-Contributions en nature'!$B$10:$B$109,B89)</f>
        <v>0</v>
      </c>
      <c r="P92" s="1033">
        <f t="shared" ref="P92:P93" si="86">IFERROR(C92-J92-K92-N92-O92-($P$10*C92/$C$93*$C$93/$C$102),0)</f>
        <v>0</v>
      </c>
      <c r="W92" s="1041"/>
      <c r="X92" s="1042"/>
      <c r="Y92" s="1042"/>
      <c r="Z92" s="1042"/>
      <c r="AA92" s="1042"/>
      <c r="AB92" s="1042"/>
      <c r="AC92" s="1042"/>
      <c r="AD92" s="1042"/>
      <c r="AE92" s="1042"/>
    </row>
    <row r="93" spans="1:31" s="1034" customFormat="1" ht="48.6" customHeight="1" thickBot="1">
      <c r="B93" s="1035" t="s">
        <v>556</v>
      </c>
      <c r="C93" s="1036">
        <f>IF($C$8=0,"",SUM(C91:C92))</f>
        <v>0</v>
      </c>
      <c r="D93" s="1080">
        <f t="shared" si="79"/>
        <v>0</v>
      </c>
      <c r="E93" s="953"/>
      <c r="F93" s="954">
        <f>SUM(F91:F92)</f>
        <v>0</v>
      </c>
      <c r="G93" s="954">
        <f>SUM(G91:G92)</f>
        <v>0</v>
      </c>
      <c r="H93" s="955">
        <f>IF(C93=0,0,G93/C93)</f>
        <v>0</v>
      </c>
      <c r="I93" s="1037"/>
      <c r="J93" s="1038">
        <f>IF(G93=0,0,IF($I$91="Oui",G93-$M$10*((F93/$F$93)*$C$93/$C$102),G93*0.85))</f>
        <v>0</v>
      </c>
      <c r="K93" s="1038">
        <f t="shared" si="82"/>
        <v>0</v>
      </c>
      <c r="L93" s="1038">
        <f t="shared" si="83"/>
        <v>0</v>
      </c>
      <c r="M93" s="956">
        <f>SUM(M91:M92)</f>
        <v>0</v>
      </c>
      <c r="N93" s="1038">
        <f t="shared" si="85"/>
        <v>0</v>
      </c>
      <c r="O93" s="956">
        <f>SUM(O91:O92)</f>
        <v>0</v>
      </c>
      <c r="P93" s="1039">
        <f t="shared" si="86"/>
        <v>0</v>
      </c>
    </row>
    <row r="94" spans="1:31" ht="20.100000000000001" thickBot="1"/>
    <row r="95" spans="1:31" customFormat="1" ht="15.95" customHeight="1" thickBot="1">
      <c r="B95" s="1248" t="s">
        <v>21</v>
      </c>
      <c r="C95" s="1249"/>
      <c r="D95" s="1249"/>
      <c r="E95" s="1249"/>
      <c r="F95" s="1249"/>
      <c r="G95" s="1249"/>
      <c r="H95" s="1249"/>
      <c r="I95" s="1249"/>
      <c r="J95" s="1249"/>
      <c r="K95" s="1249"/>
      <c r="L95" s="1249"/>
      <c r="M95" s="1249"/>
      <c r="N95" s="1249"/>
      <c r="O95" s="1249"/>
      <c r="P95" s="1250"/>
      <c r="W95" s="1041"/>
      <c r="X95" s="1042"/>
      <c r="Y95" s="1042"/>
      <c r="Z95" s="1042"/>
      <c r="AA95" s="1042"/>
      <c r="AB95" s="1042"/>
      <c r="AC95" s="1042"/>
      <c r="AD95" s="1042"/>
      <c r="AE95" s="1042"/>
    </row>
    <row r="96" spans="1:31" customFormat="1" ht="134.44999999999999" customHeight="1" thickBot="1">
      <c r="A96" s="1025" t="s">
        <v>544</v>
      </c>
      <c r="B96" s="1073" t="s">
        <v>38</v>
      </c>
      <c r="C96" s="1074" t="s">
        <v>228</v>
      </c>
      <c r="D96" s="1074" t="s">
        <v>545</v>
      </c>
      <c r="E96" s="1074" t="s">
        <v>546</v>
      </c>
      <c r="F96" s="1074" t="s">
        <v>547</v>
      </c>
      <c r="G96" s="1075" t="s">
        <v>548</v>
      </c>
      <c r="H96" s="1075" t="s">
        <v>549</v>
      </c>
      <c r="I96" s="1076" t="s">
        <v>550</v>
      </c>
      <c r="J96" s="1074" t="s">
        <v>518</v>
      </c>
      <c r="K96" s="1074" t="s">
        <v>551</v>
      </c>
      <c r="L96" s="1074" t="s">
        <v>522</v>
      </c>
      <c r="M96" s="1074" t="s">
        <v>523</v>
      </c>
      <c r="N96" s="1074" t="s">
        <v>524</v>
      </c>
      <c r="O96" s="1074" t="s">
        <v>552</v>
      </c>
      <c r="P96" s="1077" t="s">
        <v>553</v>
      </c>
      <c r="W96" s="1041"/>
      <c r="X96" s="1042"/>
      <c r="Y96" s="1042"/>
      <c r="Z96" s="1042"/>
      <c r="AA96" s="1042"/>
      <c r="AB96" s="1042"/>
      <c r="AC96" s="1042"/>
      <c r="AD96" s="1042"/>
      <c r="AE96" s="1042"/>
    </row>
    <row r="97" spans="1:31" customFormat="1" ht="14.45" customHeight="1">
      <c r="A97" s="1071" t="s">
        <v>554</v>
      </c>
      <c r="B97" s="1251" t="s">
        <v>43</v>
      </c>
      <c r="C97" s="1078">
        <f>SUMIFS('1.1-Investissements'!$Y$10:$Y$109,'1.1-Investissements'!$E$10:$E$109,"Oui",'1.1-Investissements'!$B$10:$B$109,B95)+SUMIFS('1.2-Amortissements'!$P$10:$P$109,'1.2-Amortissements'!$D$10:$D$109,"Oui",'1.2-Amortissements'!$B$10:$B$109,B95)</f>
        <v>0</v>
      </c>
      <c r="D97" s="1026">
        <f>C97/$C$102</f>
        <v>0</v>
      </c>
      <c r="E97" s="1027">
        <v>0.8</v>
      </c>
      <c r="F97" s="1028">
        <f>IF(E97=0,"",C97*E97)</f>
        <v>0</v>
      </c>
      <c r="G97" s="1028">
        <f>IF(C97=0,0,IF($P$10*$D$99+$O$99&gt;($C$99-$F$99),F97-(($P$10*$D$99)+$O$99-($C$99-$F$99))*(F97/$F$99),F97))</f>
        <v>0</v>
      </c>
      <c r="H97" s="1029">
        <f>IF(C97=0,0,G97/C97)</f>
        <v>0</v>
      </c>
      <c r="I97" s="1246" t="str">
        <f>$K$26</f>
        <v>Oui</v>
      </c>
      <c r="J97" s="1030">
        <f>IF(G97=0,0,IF($I$97="Oui",G97-$M$10*((F97/$F$99)*$C$99/$C$102),G97*0.85))</f>
        <v>0</v>
      </c>
      <c r="K97" s="1030">
        <f>IF(G97=0,0,IF($I$97="Oui",0.15*G97,G97-J97))</f>
        <v>0</v>
      </c>
      <c r="L97" s="1030">
        <f>IF(C97=0,0,IF($I$97="Oui",K97,$M$10*(F97/$F$99*$C$99/$C$102)))</f>
        <v>0</v>
      </c>
      <c r="M97" s="1030">
        <f>IF(K97="",0,K97-L97)</f>
        <v>0</v>
      </c>
      <c r="N97" s="1030">
        <f>IF($F$99=0,0,IF($M$10=0,0,(F97/$F$99*$C$99/$C$102)*$M$10-L97))</f>
        <v>0</v>
      </c>
      <c r="O97" s="1030">
        <v>0</v>
      </c>
      <c r="P97" s="1031">
        <f>IFERROR(C97-J97-K97-N97-O97-($P$10*C97/$C$99*$C$99/$C$102),0)</f>
        <v>0</v>
      </c>
      <c r="W97" s="1041"/>
      <c r="X97" s="1042"/>
      <c r="Y97" s="1042"/>
      <c r="Z97" s="1042"/>
      <c r="AA97" s="1042"/>
      <c r="AB97" s="1042"/>
      <c r="AC97" s="1042"/>
      <c r="AD97" s="1042"/>
      <c r="AE97" s="1042"/>
    </row>
    <row r="98" spans="1:31" customFormat="1" ht="14.1" customHeight="1" thickBot="1">
      <c r="A98" s="1072" t="s">
        <v>555</v>
      </c>
      <c r="B98" s="1252"/>
      <c r="C98" s="1079">
        <f>SUMIFS('1.1-Investissements'!$Y$10:$Y$109,'1.1-Investissements'!$E$10:$E$109,"Non",'1.1-Investissements'!$B$10:$B$109,B95)+SUMIFS('1.2-Amortissements'!$P$10:$P$109,'1.2-Amortissements'!$D$10:$D$109,"Non",'1.2-Amortissements'!$B$10:$B$109,B95)+SUMIFS('2-Contributions en nature'!$J$10:$J$109,'2-Contributions en nature'!$B$10:$B$109,B95)+SUMIFS('3-Frais de personnel'!$O$10:$O$109,'3-Frais de personnel'!$B$10:$B$109,B95)+SUMIFS('4-TF coûts indirects'!$H$10:$H$20,'4-TF coûts indirects'!$B$10:$B$20,B95)+SUMIFS('5-Déplacements &amp; hébergements'!$AG$10:$AG$49,'5-Déplacements &amp; hébergements'!$B$10:$B$49,B95)+SUMIFS('6-Coûts participation agri'!$M$13:$M$52,'6-Coûts participation agri'!$B$13:$B$52,B95)</f>
        <v>0</v>
      </c>
      <c r="D98" s="1032">
        <f t="shared" ref="D98:D99" si="87">C98/$C$102</f>
        <v>0</v>
      </c>
      <c r="E98" s="949">
        <v>1</v>
      </c>
      <c r="F98" s="950">
        <f t="shared" ref="F98" si="88">IF(E98=0,"",C98*E98)</f>
        <v>0</v>
      </c>
      <c r="G98" s="950">
        <f>IF(C98=0,0,IF($P$10*$D$99+$O$99&gt;($C$99-$F$99),F98-(($P$10*$D$99)+$O$99-($C$99-$F$99))*(F98/$F$99),F98))</f>
        <v>0</v>
      </c>
      <c r="H98" s="951">
        <f t="shared" ref="H98" si="89">IF(C98=0,0,G98/C98)</f>
        <v>0</v>
      </c>
      <c r="I98" s="1247"/>
      <c r="J98" s="952">
        <f t="shared" ref="J98:J99" si="90">IF(G98=0,0,IF($I$97="Oui",G98-$M$10*((F98/$F$99)*$C$99/$C$102),G98*0.85))</f>
        <v>0</v>
      </c>
      <c r="K98" s="952">
        <f t="shared" ref="K98:K99" si="91">IF(G98=0,0,IF($I$97="Oui",0.15*G98,G98-J98))</f>
        <v>0</v>
      </c>
      <c r="L98" s="952">
        <f t="shared" ref="L98:L99" si="92">IF(C98=0,0,IF($I$97="Oui",K98,$M$10*(F98/$F$99*$C$99/$C$102)))</f>
        <v>0</v>
      </c>
      <c r="M98" s="952">
        <f t="shared" ref="M98" si="93">IF(K98="",0,K98-L98)</f>
        <v>0</v>
      </c>
      <c r="N98" s="952">
        <f t="shared" ref="N98:N99" si="94">IF($F$99=0,0,IF($M$10=0,0,(F98/$F$99*$C$99/$C$102)*$M$10-L98))</f>
        <v>0</v>
      </c>
      <c r="O98" s="952">
        <f>SUMIFS('2-Contributions en nature'!$J$10:$J$109,'2-Contributions en nature'!$B$10:$B$109,B95)</f>
        <v>0</v>
      </c>
      <c r="P98" s="1033">
        <f t="shared" ref="P98:P99" si="95">IFERROR(C98-J98-K98-N98-O98-($P$10*C98/$C$99*$C$99/$C$102),0)</f>
        <v>0</v>
      </c>
      <c r="W98" s="1041"/>
      <c r="X98" s="1042"/>
      <c r="Y98" s="1042"/>
      <c r="Z98" s="1042"/>
      <c r="AA98" s="1042"/>
      <c r="AB98" s="1042"/>
      <c r="AC98" s="1042"/>
      <c r="AD98" s="1042"/>
      <c r="AE98" s="1042"/>
    </row>
    <row r="99" spans="1:31" s="1034" customFormat="1" ht="48.6" customHeight="1" thickBot="1">
      <c r="B99" s="1035" t="s">
        <v>556</v>
      </c>
      <c r="C99" s="1036">
        <f>IF($C$8=0,"",SUM(C97:C98))</f>
        <v>0</v>
      </c>
      <c r="D99" s="1080">
        <f t="shared" si="87"/>
        <v>0</v>
      </c>
      <c r="E99" s="953"/>
      <c r="F99" s="954">
        <f>SUM(F97:F98)</f>
        <v>0</v>
      </c>
      <c r="G99" s="954">
        <f>SUM(G97:G98)</f>
        <v>0</v>
      </c>
      <c r="H99" s="955">
        <f>IF(C99=0,0,G99/C99)</f>
        <v>0</v>
      </c>
      <c r="I99" s="1037"/>
      <c r="J99" s="1038">
        <f t="shared" si="90"/>
        <v>0</v>
      </c>
      <c r="K99" s="1038">
        <f t="shared" si="91"/>
        <v>0</v>
      </c>
      <c r="L99" s="1038">
        <f t="shared" si="92"/>
        <v>0</v>
      </c>
      <c r="M99" s="956">
        <f>SUM(M97:M98)</f>
        <v>0</v>
      </c>
      <c r="N99" s="1038">
        <f t="shared" si="94"/>
        <v>0</v>
      </c>
      <c r="O99" s="956">
        <f>SUM(O97:O98)</f>
        <v>0</v>
      </c>
      <c r="P99" s="1039">
        <f t="shared" si="95"/>
        <v>0</v>
      </c>
    </row>
    <row r="101" spans="1:31" ht="20.100000000000001" thickBot="1"/>
    <row r="102" spans="1:31" ht="20.100000000000001" thickBot="1">
      <c r="B102" s="1081" t="s">
        <v>462</v>
      </c>
      <c r="C102" s="1082">
        <f>C39+C45+C51+C57+C63+C69+C75+C81+C87+C93+C99</f>
        <v>17845.385000000002</v>
      </c>
      <c r="D102" s="1083">
        <f>D39+D45+D51+D57+D63+D69+D75+D81+D87+D93+D99</f>
        <v>0.99999999999999978</v>
      </c>
      <c r="E102" s="1083"/>
      <c r="F102" s="1082">
        <f t="shared" ref="F102:P102" si="96">F39+F45+F51+F57+F63+F69+F75+F81+F87+F93+F99</f>
        <v>17845.385000000002</v>
      </c>
      <c r="G102" s="1082">
        <f t="shared" si="96"/>
        <v>12445.384999999998</v>
      </c>
      <c r="H102" s="1082"/>
      <c r="I102" s="1082"/>
      <c r="J102" s="1082">
        <f t="shared" si="96"/>
        <v>10445.385</v>
      </c>
      <c r="K102" s="1082">
        <f t="shared" si="96"/>
        <v>1866.8077499999999</v>
      </c>
      <c r="L102" s="1082">
        <f t="shared" si="96"/>
        <v>1866.8077499999999</v>
      </c>
      <c r="M102" s="1082">
        <f t="shared" si="96"/>
        <v>0</v>
      </c>
      <c r="N102" s="1082">
        <f t="shared" si="96"/>
        <v>133.19224999999975</v>
      </c>
      <c r="O102" s="1082">
        <f t="shared" si="96"/>
        <v>4400</v>
      </c>
      <c r="P102" s="1084">
        <f t="shared" si="96"/>
        <v>-4.3343106881366111E-13</v>
      </c>
    </row>
    <row r="104" spans="1:31" ht="20.100000000000001" thickBot="1"/>
    <row r="105" spans="1:31" s="1088" customFormat="1" ht="20.100000000000001" thickBot="1">
      <c r="A105" s="1091" t="s">
        <v>557</v>
      </c>
      <c r="B105" s="1099" t="s">
        <v>558</v>
      </c>
      <c r="C105" s="1099" t="s">
        <v>487</v>
      </c>
      <c r="D105" s="1099" t="s">
        <v>488</v>
      </c>
      <c r="E105" s="1099" t="s">
        <v>559</v>
      </c>
      <c r="F105" s="1100" t="s">
        <v>560</v>
      </c>
      <c r="G105" s="1101" t="s">
        <v>561</v>
      </c>
      <c r="H105" s="1102" t="s">
        <v>562</v>
      </c>
    </row>
    <row r="106" spans="1:31" s="1088" customFormat="1">
      <c r="A106" s="1096" t="s">
        <v>228</v>
      </c>
      <c r="B106" s="1105">
        <f>D8</f>
        <v>3200</v>
      </c>
      <c r="C106" s="1106">
        <f t="shared" ref="C106:H106" si="97">E8</f>
        <v>3000</v>
      </c>
      <c r="D106" s="1106">
        <f t="shared" si="97"/>
        <v>4400</v>
      </c>
      <c r="E106" s="1106">
        <f t="shared" si="97"/>
        <v>2514.9</v>
      </c>
      <c r="F106" s="1106">
        <f t="shared" si="97"/>
        <v>377.23500000000001</v>
      </c>
      <c r="G106" s="1106">
        <f t="shared" si="97"/>
        <v>3205.25</v>
      </c>
      <c r="H106" s="1107">
        <f t="shared" si="97"/>
        <v>1148</v>
      </c>
    </row>
    <row r="107" spans="1:31" s="1088" customFormat="1" ht="20.100000000000001" thickBot="1">
      <c r="A107" s="1097" t="s">
        <v>563</v>
      </c>
      <c r="B107" s="1243">
        <f>K8</f>
        <v>17845.385000000002</v>
      </c>
      <c r="C107" s="1244"/>
      <c r="D107" s="1244"/>
      <c r="E107" s="1244"/>
      <c r="F107" s="1244"/>
      <c r="G107" s="1244"/>
      <c r="H107" s="1245"/>
    </row>
    <row r="108" spans="1:31" s="1088" customFormat="1">
      <c r="A108" s="1097" t="s">
        <v>11</v>
      </c>
      <c r="B108" s="1208">
        <f>SUMIFS('1.1-Investissements'!$Y$10:$Y$109,'1.1-Investissements'!$B$10:$B$109,A108)</f>
        <v>2100</v>
      </c>
      <c r="C108" s="1209">
        <f>SUMIFS('1.2-Amortissements'!$P$10:$P$109,'1.2-Amortissements'!$B$10:$B$109,A108)</f>
        <v>3000</v>
      </c>
      <c r="D108" s="1209">
        <f>SUMIFS('2-Contributions en nature'!$J$10:$J$109,'2-Contributions en nature'!$B$10:$B$109,A108)</f>
        <v>4000</v>
      </c>
      <c r="E108" s="1209">
        <f>SUMIFS('3-Frais de personnel'!$O$10:$O$109,'3-Frais de personnel'!$B$10:$B$109,A108)</f>
        <v>14.899999999999999</v>
      </c>
      <c r="F108" s="1210">
        <f>SUMIFS('4-TF coûts indirects'!$H$10:$H$20,'4-TF coûts indirects'!$B$10:$B$20,A108)</f>
        <v>2.2349999999999999</v>
      </c>
      <c r="G108" s="1211">
        <f>SUMIFS('5-Déplacements &amp; hébergements'!$AG$10:$AG$49,'5-Déplacements &amp; hébergements'!$B$10:$B$49,A108)</f>
        <v>0</v>
      </c>
      <c r="H108" s="1212">
        <f>SUMIFS('6-Coûts participation agri'!$M$13:$M$52,'6-Coûts participation agri'!$B$13:$B$52,A108)</f>
        <v>0</v>
      </c>
    </row>
    <row r="109" spans="1:31" s="1088" customFormat="1">
      <c r="A109" s="1097" t="s">
        <v>12</v>
      </c>
      <c r="B109" s="1103">
        <f>SUMIFS('1.1-Investissements'!$Y$10:$Y$109,'1.1-Investissements'!$B$10:$B$109,A109)</f>
        <v>0</v>
      </c>
      <c r="C109" s="948">
        <f>SUMIFS('1.2-Amortissements'!$P$10:$P$109,'1.2-Amortissements'!$B$10:$B$109,A109)</f>
        <v>0</v>
      </c>
      <c r="D109" s="948">
        <f>SUMIFS('2-Contributions en nature'!$J$10:$J$109,'2-Contributions en nature'!$B$10:$B$109,A109)</f>
        <v>400</v>
      </c>
      <c r="E109" s="948">
        <f>SUMIFS('3-Frais de personnel'!$O$10:$O$109,'3-Frais de personnel'!$B$10:$B$109,A109)</f>
        <v>2500</v>
      </c>
      <c r="F109" s="1089">
        <f>SUMIFS('4-TF coûts indirects'!$H$10:$H$20,'4-TF coûts indirects'!$B$10:$B$20,A109)</f>
        <v>375</v>
      </c>
      <c r="G109" s="1090">
        <f>SUMIFS('5-Déplacements &amp; hébergements'!$AG$10:$AG$49,'5-Déplacements &amp; hébergements'!$B$10:$B$49,A109)</f>
        <v>0</v>
      </c>
      <c r="H109" s="1092">
        <f>SUMIFS('6-Coûts participation agri'!$M$13:$M$52,'6-Coûts participation agri'!$B$13:$B$52,A109)</f>
        <v>0</v>
      </c>
    </row>
    <row r="110" spans="1:31" s="1088" customFormat="1">
      <c r="A110" s="1097" t="s">
        <v>13</v>
      </c>
      <c r="B110" s="1103">
        <f>SUMIFS('1.1-Investissements'!$Y$10:$Y$109,'1.1-Investissements'!$B$10:$B$109,A110)</f>
        <v>1100</v>
      </c>
      <c r="C110" s="948">
        <f>SUMIFS('1.2-Amortissements'!$P$10:$P$109,'1.2-Amortissements'!$B$10:$B$109,A110)</f>
        <v>0</v>
      </c>
      <c r="D110" s="948">
        <f>SUMIFS('2-Contributions en nature'!$J$10:$J$109,'2-Contributions en nature'!$B$10:$B$109,A110)</f>
        <v>0</v>
      </c>
      <c r="E110" s="948">
        <f>SUMIFS('3-Frais de personnel'!$O$10:$O$109,'3-Frais de personnel'!$B$10:$B$109,A110)</f>
        <v>0</v>
      </c>
      <c r="F110" s="1089">
        <f>SUMIFS('4-TF coûts indirects'!$H$10:$H$20,'4-TF coûts indirects'!$B$10:$B$20,A110)</f>
        <v>0</v>
      </c>
      <c r="G110" s="1090">
        <f>SUMIFS('5-Déplacements &amp; hébergements'!$AG$10:$AG$49,'5-Déplacements &amp; hébergements'!$B$10:$B$49,A110)</f>
        <v>0</v>
      </c>
      <c r="H110" s="1092">
        <f>SUMIFS('6-Coûts participation agri'!$M$13:$M$52,'6-Coûts participation agri'!$B$13:$B$52,A110)</f>
        <v>0</v>
      </c>
    </row>
    <row r="111" spans="1:31" s="1088" customFormat="1">
      <c r="A111" s="1097" t="s">
        <v>14</v>
      </c>
      <c r="B111" s="1103">
        <f>SUMIFS('1.1-Investissements'!$Y$10:$Y$109,'1.1-Investissements'!$B$10:$B$109,A111)</f>
        <v>0</v>
      </c>
      <c r="C111" s="948">
        <f>SUMIFS('1.2-Amortissements'!$P$10:$P$109,'1.2-Amortissements'!$B$10:$B$109,A111)</f>
        <v>0</v>
      </c>
      <c r="D111" s="948">
        <f>SUMIFS('2-Contributions en nature'!$J$10:$J$109,'2-Contributions en nature'!$B$10:$B$109,A111)</f>
        <v>0</v>
      </c>
      <c r="E111" s="948">
        <f>SUMIFS('3-Frais de personnel'!$O$10:$O$109,'3-Frais de personnel'!$B$10:$B$109,A111)</f>
        <v>0</v>
      </c>
      <c r="F111" s="1089">
        <f>SUMIFS('4-TF coûts indirects'!$H$10:$H$20,'4-TF coûts indirects'!$B$10:$B$20,A111)</f>
        <v>0</v>
      </c>
      <c r="G111" s="1090">
        <f>SUMIFS('5-Déplacements &amp; hébergements'!$AG$10:$AG$49,'5-Déplacements &amp; hébergements'!$B$10:$B$49,A111)</f>
        <v>0</v>
      </c>
      <c r="H111" s="1092">
        <f>SUMIFS('6-Coûts participation agri'!$M$13:$M$52,'6-Coûts participation agri'!$B$13:$B$52,A111)</f>
        <v>0</v>
      </c>
    </row>
    <row r="112" spans="1:31" s="1088" customFormat="1">
      <c r="A112" s="1097" t="s">
        <v>15</v>
      </c>
      <c r="B112" s="1103">
        <f>SUMIFS('1.1-Investissements'!$Y$10:$Y$109,'1.1-Investissements'!$B$10:$B$109,A112)</f>
        <v>0</v>
      </c>
      <c r="C112" s="948">
        <f>SUMIFS('1.2-Amortissements'!$P$10:$P$109,'1.2-Amortissements'!$B$10:$B$109,A112)</f>
        <v>0</v>
      </c>
      <c r="D112" s="948">
        <f>SUMIFS('2-Contributions en nature'!$J$10:$J$109,'2-Contributions en nature'!$B$10:$B$109,A112)</f>
        <v>0</v>
      </c>
      <c r="E112" s="948">
        <f>SUMIFS('3-Frais de personnel'!$O$10:$O$109,'3-Frais de personnel'!$B$10:$B$109,A112)</f>
        <v>0</v>
      </c>
      <c r="F112" s="1089">
        <f>SUMIFS('4-TF coûts indirects'!$H$10:$H$20,'4-TF coûts indirects'!$B$10:$B$20,A112)</f>
        <v>0</v>
      </c>
      <c r="G112" s="1090">
        <f>SUMIFS('5-Déplacements &amp; hébergements'!$AG$10:$AG$49,'5-Déplacements &amp; hébergements'!$B$10:$B$49,A112)</f>
        <v>0</v>
      </c>
      <c r="H112" s="1092">
        <f>SUMIFS('6-Coûts participation agri'!$M$13:$M$52,'6-Coûts participation agri'!$B$13:$B$52,A112)</f>
        <v>0</v>
      </c>
    </row>
    <row r="113" spans="1:8" s="1088" customFormat="1">
      <c r="A113" s="1097" t="s">
        <v>16</v>
      </c>
      <c r="B113" s="1103">
        <f>SUMIFS('1.1-Investissements'!$Y$10:$Y$109,'1.1-Investissements'!$B$10:$B$109,A113)</f>
        <v>0</v>
      </c>
      <c r="C113" s="948">
        <f>SUMIFS('1.2-Amortissements'!$P$10:$P$109,'1.2-Amortissements'!$B$10:$B$109,A113)</f>
        <v>0</v>
      </c>
      <c r="D113" s="948">
        <f>SUMIFS('2-Contributions en nature'!$J$10:$J$109,'2-Contributions en nature'!$B$10:$B$109,A113)</f>
        <v>0</v>
      </c>
      <c r="E113" s="948">
        <f>SUMIFS('3-Frais de personnel'!$O$10:$O$109,'3-Frais de personnel'!$B$10:$B$109,A113)</f>
        <v>0</v>
      </c>
      <c r="F113" s="1089">
        <f>SUMIFS('4-TF coûts indirects'!$H$10:$H$20,'4-TF coûts indirects'!$B$10:$B$20,A113)</f>
        <v>0</v>
      </c>
      <c r="G113" s="1090">
        <f>SUMIFS('5-Déplacements &amp; hébergements'!$AG$10:$AG$49,'5-Déplacements &amp; hébergements'!$B$10:$B$49,A113)</f>
        <v>0</v>
      </c>
      <c r="H113" s="1092">
        <f>SUMIFS('6-Coûts participation agri'!$M$13:$M$52,'6-Coûts participation agri'!$B$13:$B$52,A113)</f>
        <v>0</v>
      </c>
    </row>
    <row r="114" spans="1:8" s="1088" customFormat="1">
      <c r="A114" s="1097" t="s">
        <v>17</v>
      </c>
      <c r="B114" s="1103">
        <f>SUMIFS('1.1-Investissements'!$Y$10:$Y$109,'1.1-Investissements'!$B$10:$B$109,A114)</f>
        <v>0</v>
      </c>
      <c r="C114" s="948">
        <f>SUMIFS('1.2-Amortissements'!$P$10:$P$109,'1.2-Amortissements'!$B$10:$B$109,A114)</f>
        <v>0</v>
      </c>
      <c r="D114" s="948">
        <f>SUMIFS('2-Contributions en nature'!$J$10:$J$109,'2-Contributions en nature'!$B$10:$B$109,A114)</f>
        <v>0</v>
      </c>
      <c r="E114" s="948">
        <f>SUMIFS('3-Frais de personnel'!$O$10:$O$109,'3-Frais de personnel'!$B$10:$B$109,A114)</f>
        <v>0</v>
      </c>
      <c r="F114" s="1089">
        <f>SUMIFS('4-TF coûts indirects'!$H$10:$H$20,'4-TF coûts indirects'!$B$10:$B$20,A114)</f>
        <v>0</v>
      </c>
      <c r="G114" s="1090">
        <f>SUMIFS('5-Déplacements &amp; hébergements'!$AG$10:$AG$49,'5-Déplacements &amp; hébergements'!$B$10:$B$49,A114)</f>
        <v>3205.25</v>
      </c>
      <c r="H114" s="1092">
        <f>SUMIFS('6-Coûts participation agri'!$M$13:$M$52,'6-Coûts participation agri'!$B$13:$B$52,A114)</f>
        <v>0</v>
      </c>
    </row>
    <row r="115" spans="1:8" s="1088" customFormat="1">
      <c r="A115" s="1097" t="s">
        <v>18</v>
      </c>
      <c r="B115" s="1103">
        <f>SUMIFS('1.1-Investissements'!$Y$10:$Y$109,'1.1-Investissements'!$B$10:$B$109,A115)</f>
        <v>0</v>
      </c>
      <c r="C115" s="948">
        <f>SUMIFS('1.2-Amortissements'!$P$10:$P$109,'1.2-Amortissements'!$B$10:$B$109,A115)</f>
        <v>0</v>
      </c>
      <c r="D115" s="948">
        <f>SUMIFS('2-Contributions en nature'!$J$10:$J$109,'2-Contributions en nature'!$B$10:$B$109,A115)</f>
        <v>0</v>
      </c>
      <c r="E115" s="948">
        <f>SUMIFS('3-Frais de personnel'!$O$10:$O$109,'3-Frais de personnel'!$B$10:$B$109,A115)</f>
        <v>0</v>
      </c>
      <c r="F115" s="1089">
        <f>SUMIFS('4-TF coûts indirects'!$H$10:$H$20,'4-TF coûts indirects'!$B$10:$B$20,A115)</f>
        <v>0</v>
      </c>
      <c r="G115" s="1090">
        <f>SUMIFS('5-Déplacements &amp; hébergements'!$AG$10:$AG$49,'5-Déplacements &amp; hébergements'!$B$10:$B$49,A115)</f>
        <v>0</v>
      </c>
      <c r="H115" s="1092">
        <f>SUMIFS('6-Coûts participation agri'!$M$13:$M$52,'6-Coûts participation agri'!$B$13:$B$52,A115)</f>
        <v>0</v>
      </c>
    </row>
    <row r="116" spans="1:8" s="1088" customFormat="1">
      <c r="A116" s="1097" t="s">
        <v>19</v>
      </c>
      <c r="B116" s="1103">
        <f>SUMIFS('1.1-Investissements'!$Y$10:$Y$109,'1.1-Investissements'!$B$10:$B$109,A116)</f>
        <v>0</v>
      </c>
      <c r="C116" s="948">
        <f>SUMIFS('1.2-Amortissements'!$P$10:$P$109,'1.2-Amortissements'!$B$10:$B$109,A116)</f>
        <v>0</v>
      </c>
      <c r="D116" s="948">
        <f>SUMIFS('2-Contributions en nature'!$J$10:$J$109,'2-Contributions en nature'!$B$10:$B$109,A116)</f>
        <v>0</v>
      </c>
      <c r="E116" s="948">
        <f>SUMIFS('3-Frais de personnel'!$O$10:$O$109,'3-Frais de personnel'!$B$10:$B$109,A116)</f>
        <v>0</v>
      </c>
      <c r="F116" s="1089">
        <f>SUMIFS('4-TF coûts indirects'!$H$10:$H$20,'4-TF coûts indirects'!$B$10:$B$20,A116)</f>
        <v>0</v>
      </c>
      <c r="G116" s="1090">
        <f>SUMIFS('5-Déplacements &amp; hébergements'!$AG$10:$AG$49,'5-Déplacements &amp; hébergements'!$B$10:$B$49,A116)</f>
        <v>0</v>
      </c>
      <c r="H116" s="1092">
        <f>SUMIFS('6-Coûts participation agri'!$M$13:$M$52,'6-Coûts participation agri'!$B$13:$B$52,A116)</f>
        <v>1148</v>
      </c>
    </row>
    <row r="117" spans="1:8" s="1088" customFormat="1">
      <c r="A117" s="1097" t="s">
        <v>20</v>
      </c>
      <c r="B117" s="1103">
        <f>SUMIFS('1.1-Investissements'!$Y$10:$Y$109,'1.1-Investissements'!$B$10:$B$109,A117)</f>
        <v>0</v>
      </c>
      <c r="C117" s="948">
        <f>SUMIFS('1.2-Amortissements'!$P$10:$P$109,'1.2-Amortissements'!$B$10:$B$109,A117)</f>
        <v>0</v>
      </c>
      <c r="D117" s="948">
        <f>SUMIFS('2-Contributions en nature'!$J$10:$J$109,'2-Contributions en nature'!$B$10:$B$109,A117)</f>
        <v>0</v>
      </c>
      <c r="E117" s="948">
        <f>SUMIFS('3-Frais de personnel'!$O$10:$O$109,'3-Frais de personnel'!$B$10:$B$109,A117)</f>
        <v>0</v>
      </c>
      <c r="F117" s="1089">
        <f>SUMIFS('4-TF coûts indirects'!$H$10:$H$20,'4-TF coûts indirects'!$B$10:$B$20,A117)</f>
        <v>0</v>
      </c>
      <c r="G117" s="1090">
        <f>SUMIFS('5-Déplacements &amp; hébergements'!$AG$10:$AG$49,'5-Déplacements &amp; hébergements'!$B$10:$B$49,A117)</f>
        <v>0</v>
      </c>
      <c r="H117" s="1092">
        <f>SUMIFS('6-Coûts participation agri'!$M$13:$M$52,'6-Coûts participation agri'!$B$13:$B$52,A117)</f>
        <v>0</v>
      </c>
    </row>
    <row r="118" spans="1:8" s="1088" customFormat="1" ht="20.100000000000001" thickBot="1">
      <c r="A118" s="1098" t="s">
        <v>21</v>
      </c>
      <c r="B118" s="1104">
        <f>SUMIFS('1.1-Investissements'!$Y$10:$Y$109,'1.1-Investissements'!$B$10:$B$109,A118)</f>
        <v>0</v>
      </c>
      <c r="C118" s="1040">
        <f>SUMIFS('1.2-Amortissements'!$P$10:$P$109,'1.2-Amortissements'!$B$10:$B$109,A118)</f>
        <v>0</v>
      </c>
      <c r="D118" s="1040">
        <f>SUMIFS('2-Contributions en nature'!$J$10:$J$109,'2-Contributions en nature'!$B$10:$B$109,A118)</f>
        <v>0</v>
      </c>
      <c r="E118" s="1040">
        <f>SUMIFS('3-Frais de personnel'!$O$10:$O$109,'3-Frais de personnel'!$B$10:$B$109,A118)</f>
        <v>0</v>
      </c>
      <c r="F118" s="1093">
        <f>SUMIFS('4-TF coûts indirects'!$H$10:$H$20,'4-TF coûts indirects'!$B$10:$B$20,A118)</f>
        <v>0</v>
      </c>
      <c r="G118" s="1094">
        <f>SUMIFS('5-Déplacements &amp; hébergements'!$AG$10:$AG$49,'5-Déplacements &amp; hébergements'!$B$10:$B$49,A118)</f>
        <v>0</v>
      </c>
      <c r="H118" s="1095">
        <f>SUMIFS('6-Coûts participation agri'!$M$13:$M$52,'6-Coûts participation agri'!$B$13:$B$52,A118)</f>
        <v>0</v>
      </c>
    </row>
  </sheetData>
  <sheetProtection formatCells="0" formatColumns="0" formatRows="0" insertColumns="0" insertRows="0" insertHyperlinks="0" deleteColumns="0" deleteRows="0" sort="0" autoFilter="0" pivotTables="0"/>
  <mergeCells count="70">
    <mergeCell ref="H24:H25"/>
    <mergeCell ref="K26:K27"/>
    <mergeCell ref="N23:R23"/>
    <mergeCell ref="S23:U23"/>
    <mergeCell ref="B26:B27"/>
    <mergeCell ref="M26:M27"/>
    <mergeCell ref="N26:N27"/>
    <mergeCell ref="B24:B25"/>
    <mergeCell ref="C24:C25"/>
    <mergeCell ref="E24:E25"/>
    <mergeCell ref="E3:K3"/>
    <mergeCell ref="W4:Z4"/>
    <mergeCell ref="A4:K4"/>
    <mergeCell ref="W7:X7"/>
    <mergeCell ref="A5:K5"/>
    <mergeCell ref="A6:C6"/>
    <mergeCell ref="D6:J6"/>
    <mergeCell ref="N5:N6"/>
    <mergeCell ref="O5:O6"/>
    <mergeCell ref="M4:R4"/>
    <mergeCell ref="B35:P35"/>
    <mergeCell ref="I37:I38"/>
    <mergeCell ref="R24:R25"/>
    <mergeCell ref="Q5:Q6"/>
    <mergeCell ref="R5:R6"/>
    <mergeCell ref="B34:P34"/>
    <mergeCell ref="C19:D19"/>
    <mergeCell ref="L23:M23"/>
    <mergeCell ref="O13:P13"/>
    <mergeCell ref="C18:E18"/>
    <mergeCell ref="M13:N13"/>
    <mergeCell ref="M12:Q12"/>
    <mergeCell ref="G19:H19"/>
    <mergeCell ref="G18:K18"/>
    <mergeCell ref="B22:U22"/>
    <mergeCell ref="B23:K23"/>
    <mergeCell ref="B79:B80"/>
    <mergeCell ref="B83:P83"/>
    <mergeCell ref="B85:B86"/>
    <mergeCell ref="I43:I44"/>
    <mergeCell ref="I55:I56"/>
    <mergeCell ref="B53:P53"/>
    <mergeCell ref="B55:B56"/>
    <mergeCell ref="B59:P59"/>
    <mergeCell ref="B61:B62"/>
    <mergeCell ref="B77:P77"/>
    <mergeCell ref="B67:B68"/>
    <mergeCell ref="B71:P71"/>
    <mergeCell ref="B73:B74"/>
    <mergeCell ref="B41:P41"/>
    <mergeCell ref="B43:B44"/>
    <mergeCell ref="B49:B50"/>
    <mergeCell ref="I49:I50"/>
    <mergeCell ref="B47:P47"/>
    <mergeCell ref="A2:Z2"/>
    <mergeCell ref="A16:U16"/>
    <mergeCell ref="B107:H107"/>
    <mergeCell ref="I61:I62"/>
    <mergeCell ref="I67:I68"/>
    <mergeCell ref="I73:I74"/>
    <mergeCell ref="I79:I80"/>
    <mergeCell ref="I85:I86"/>
    <mergeCell ref="B89:P89"/>
    <mergeCell ref="B91:B92"/>
    <mergeCell ref="B95:P95"/>
    <mergeCell ref="B97:B98"/>
    <mergeCell ref="I91:I92"/>
    <mergeCell ref="I97:I98"/>
    <mergeCell ref="B65:P65"/>
    <mergeCell ref="B37:B38"/>
  </mergeCells>
  <phoneticPr fontId="11" type="noConversion"/>
  <conditionalFormatting sqref="E19 K20">
    <cfRule type="containsText" dxfId="10" priority="8" operator="containsText" text="respecté">
      <formula>NOT(ISERROR(SEARCH("respecté",E19)))</formula>
    </cfRule>
    <cfRule type="containsText" dxfId="9" priority="9" stopIfTrue="1" operator="containsText" text="dépassé">
      <formula>NOT(ISERROR(SEARCH("dépassé",E19)))</formula>
    </cfRule>
  </conditionalFormatting>
  <conditionalFormatting sqref="I19">
    <cfRule type="expression" dxfId="8" priority="3">
      <formula>I19="Oui"</formula>
    </cfRule>
    <cfRule type="expression" dxfId="7" priority="4">
      <formula>I19="Non, l'aide publique doit diminuer"</formula>
    </cfRule>
  </conditionalFormatting>
  <conditionalFormatting sqref="K19">
    <cfRule type="expression" dxfId="6" priority="1">
      <formula>K19="Oui"</formula>
    </cfRule>
    <cfRule type="expression" dxfId="5" priority="2">
      <formula>K19="Non, l'aide publique doit diminuer"</formula>
    </cfRule>
  </conditionalFormatting>
  <conditionalFormatting sqref="M20">
    <cfRule type="containsText" dxfId="4" priority="7" operator="containsText" text="non">
      <formula>NOT(ISERROR(SEARCH("non",M20)))</formula>
    </cfRule>
  </conditionalFormatting>
  <dataValidations count="2">
    <dataValidation type="list" allowBlank="1" showInputMessage="1" showErrorMessage="1" sqref="O7:O9 R7:V9" xr:uid="{968086B0-8B07-43C9-8F36-74808E277363}">
      <formula1>"Oui,Non"</formula1>
    </dataValidation>
    <dataValidation type="list" allowBlank="1" showInputMessage="1" showErrorMessage="1" sqref="K26 I37 I85 I91 I43 I49 I55 I61 I67 I73 I79 I97" xr:uid="{1DFC16DD-9CBF-4649-8C8D-13DC8D2C8129}">
      <formula1>"Oui,Non,Non concerné"</formula1>
    </dataValidation>
  </dataValidations>
  <pageMargins left="0.7" right="0.7" top="0.75" bottom="0.75" header="0.3" footer="0.3"/>
  <pageSetup paperSize="9" scale="1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DFEA3C17-9020-4E6B-8321-E165701F4284}">
          <x14:formula1>
            <xm:f>'0-Présentation typeaction'!$H$7:$H$7</xm:f>
          </x14:formula1>
          <xm:sqref>K7 B26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A1:AE120"/>
  <sheetViews>
    <sheetView showGridLines="0" topLeftCell="A7" zoomScale="31" zoomScaleNormal="55" workbookViewId="0">
      <selection activeCell="A16" sqref="A16:U16"/>
    </sheetView>
  </sheetViews>
  <sheetFormatPr defaultColWidth="11.42578125" defaultRowHeight="15"/>
  <cols>
    <col min="1" max="1" width="43.85546875" customWidth="1"/>
    <col min="2" max="2" width="23.42578125" style="234" customWidth="1"/>
    <col min="3" max="3" width="26.85546875" customWidth="1"/>
    <col min="4" max="4" width="44.140625" customWidth="1"/>
    <col min="5" max="5" width="45.42578125" customWidth="1"/>
    <col min="6" max="6" width="56.42578125" customWidth="1"/>
    <col min="7" max="7" width="54.42578125" customWidth="1"/>
    <col min="8" max="8" width="60.42578125" customWidth="1"/>
    <col min="9" max="10" width="49.42578125" customWidth="1"/>
    <col min="11" max="11" width="35.140625" style="25" customWidth="1"/>
    <col min="12" max="12" width="40.42578125" style="25" customWidth="1"/>
    <col min="13" max="13" width="39.140625" style="25" customWidth="1"/>
    <col min="14" max="14" width="36.140625" style="25" customWidth="1"/>
    <col min="15" max="15" width="31.42578125" style="25" customWidth="1"/>
    <col min="16" max="16" width="37" style="25" customWidth="1"/>
    <col min="17" max="17" width="40.42578125" style="25" customWidth="1"/>
    <col min="18" max="18" width="68.85546875" customWidth="1"/>
    <col min="19" max="19" width="61.42578125" customWidth="1"/>
    <col min="20" max="20" width="72.85546875" customWidth="1"/>
    <col min="21" max="21" width="50.42578125" customWidth="1"/>
    <col min="22" max="22" width="30.42578125" customWidth="1"/>
    <col min="23" max="23" width="19.42578125" customWidth="1"/>
    <col min="24" max="24" width="34.42578125" customWidth="1"/>
    <col min="25" max="25" width="32.42578125" customWidth="1"/>
    <col min="26" max="26" width="34" customWidth="1"/>
  </cols>
  <sheetData>
    <row r="1" spans="1:24" ht="15.95" thickBot="1"/>
    <row r="2" spans="1:24" ht="32.450000000000003" customHeight="1" thickBot="1">
      <c r="A2" s="1605" t="s">
        <v>564</v>
      </c>
      <c r="B2" s="1606"/>
      <c r="C2" s="1606"/>
      <c r="D2" s="1606"/>
      <c r="E2" s="1606"/>
      <c r="F2" s="1606"/>
      <c r="G2" s="1606"/>
      <c r="H2" s="1606"/>
      <c r="I2" s="1606"/>
      <c r="J2" s="1606"/>
      <c r="K2" s="1606"/>
      <c r="L2" s="1606"/>
      <c r="M2" s="1606"/>
      <c r="N2" s="1606"/>
      <c r="O2" s="1606"/>
      <c r="P2" s="1606"/>
      <c r="Q2" s="1606"/>
      <c r="R2" s="1606"/>
      <c r="S2" s="683"/>
      <c r="T2" s="96"/>
      <c r="U2" s="96"/>
      <c r="V2" s="96"/>
      <c r="W2" s="96"/>
      <c r="X2" s="96"/>
    </row>
    <row r="3" spans="1:24" s="65" customFormat="1" ht="33.950000000000003" thickBot="1">
      <c r="B3" s="235"/>
      <c r="C3" s="231"/>
      <c r="D3" s="230"/>
      <c r="E3" s="1612"/>
      <c r="F3" s="1612"/>
      <c r="G3" s="1612"/>
      <c r="H3" s="1612"/>
      <c r="I3" s="1612"/>
      <c r="J3" s="232"/>
      <c r="K3" s="229"/>
      <c r="L3" s="47"/>
      <c r="M3" s="47"/>
      <c r="N3" s="64"/>
      <c r="O3" s="64"/>
      <c r="P3" s="64"/>
      <c r="Q3" s="47"/>
      <c r="S3" s="668"/>
      <c r="T3" s="668"/>
      <c r="U3" s="668"/>
      <c r="V3" s="668"/>
      <c r="W3" s="668"/>
      <c r="X3" s="668"/>
    </row>
    <row r="4" spans="1:24" s="65" customFormat="1" ht="57.75" customHeight="1" thickBot="1">
      <c r="A4" s="1613" t="s">
        <v>565</v>
      </c>
      <c r="B4" s="1614"/>
      <c r="C4" s="1614"/>
      <c r="D4" s="1615"/>
      <c r="F4" s="1616" t="s">
        <v>566</v>
      </c>
      <c r="G4" s="1617"/>
      <c r="H4" s="1617"/>
      <c r="I4" s="1618"/>
      <c r="K4" s="1607" t="s">
        <v>567</v>
      </c>
      <c r="L4" s="1607"/>
      <c r="M4" s="1607"/>
      <c r="N4" s="1607"/>
      <c r="O4" s="1607"/>
      <c r="P4" s="1607"/>
      <c r="Q4" s="1607"/>
      <c r="R4" s="1607"/>
      <c r="S4" s="668"/>
      <c r="T4" s="668"/>
      <c r="U4" s="668"/>
      <c r="V4" s="668"/>
      <c r="W4" s="668"/>
      <c r="X4" s="668"/>
    </row>
    <row r="5" spans="1:24" s="65" customFormat="1" ht="21.75" customHeight="1" thickBot="1">
      <c r="A5" s="1580" t="s">
        <v>568</v>
      </c>
      <c r="B5" s="1581"/>
      <c r="C5" s="1581"/>
      <c r="D5" s="1582"/>
      <c r="F5" s="1609"/>
      <c r="G5" s="1610"/>
      <c r="H5" s="1610"/>
      <c r="I5" s="692"/>
      <c r="K5" s="1611" t="s">
        <v>477</v>
      </c>
      <c r="L5" s="1611"/>
      <c r="M5" s="1611"/>
      <c r="N5" s="1611"/>
      <c r="O5" s="1611"/>
      <c r="P5" s="1611"/>
      <c r="Q5" s="1611"/>
      <c r="R5" s="688" t="s">
        <v>478</v>
      </c>
      <c r="S5" s="668"/>
      <c r="T5" s="668"/>
      <c r="U5" s="1579"/>
      <c r="V5" s="1579"/>
      <c r="W5" s="668"/>
      <c r="X5" s="668"/>
    </row>
    <row r="6" spans="1:24" s="65" customFormat="1" ht="158.25" customHeight="1">
      <c r="A6" s="293" t="s">
        <v>483</v>
      </c>
      <c r="B6" s="294" t="s">
        <v>484</v>
      </c>
      <c r="C6" s="295" t="s">
        <v>485</v>
      </c>
      <c r="D6" s="296" t="s">
        <v>569</v>
      </c>
      <c r="E6"/>
      <c r="F6" s="793" t="s">
        <v>570</v>
      </c>
      <c r="G6" s="794" t="str">
        <f>IF(A7=0,"",IF('Syn pf Bénéficiaire'!A8&gt;50000,"Montant maximum dépassé, les dépenses ne sont pas éligibles","Montant maximum respecté"))</f>
        <v>Montant maximum respecté</v>
      </c>
      <c r="I6" s="692"/>
      <c r="K6" s="259" t="s">
        <v>486</v>
      </c>
      <c r="L6" s="259" t="s">
        <v>487</v>
      </c>
      <c r="M6" s="259" t="s">
        <v>488</v>
      </c>
      <c r="N6" s="259" t="s">
        <v>316</v>
      </c>
      <c r="O6" s="259" t="s">
        <v>489</v>
      </c>
      <c r="P6" s="259" t="s">
        <v>490</v>
      </c>
      <c r="Q6" s="259" t="s">
        <v>491</v>
      </c>
      <c r="R6" s="687" t="s">
        <v>43</v>
      </c>
      <c r="S6" s="668"/>
      <c r="T6" s="668"/>
      <c r="U6" s="684"/>
      <c r="V6" s="684"/>
      <c r="W6" s="668"/>
      <c r="X6" s="668"/>
    </row>
    <row r="7" spans="1:24" s="65" customFormat="1" ht="59.45" customHeight="1" thickBot="1">
      <c r="A7" s="258">
        <f>'1.1-Investissements'!AY110+'1.2-Amortissements'!AF110+'2-Contributions en nature'!S110+'3-Frais de personnel'!AD110+'4-TF coûts indirects'!O21+'5-Déplacements &amp; hébergements'!BQ50+'6-Coûts participation agri'!AC53</f>
        <v>17645.385000000002</v>
      </c>
      <c r="B7" s="257">
        <f>'1.1-Investissements'!AZ110</f>
        <v>200</v>
      </c>
      <c r="C7" s="260">
        <f>A7+B7</f>
        <v>17845.385000000002</v>
      </c>
      <c r="D7" s="261">
        <f>'Syn pf Bénéficiaire'!C8-C7</f>
        <v>0</v>
      </c>
      <c r="E7"/>
      <c r="F7" s="1619" t="s">
        <v>488</v>
      </c>
      <c r="G7" s="1619"/>
      <c r="H7" s="1619"/>
      <c r="I7" s="1619"/>
      <c r="K7" s="664">
        <f>IF(G6="Montant maximum dépassé, les dépenses ne sont pas éligibles",0,'1.1-Investissements'!BA110)</f>
        <v>3200</v>
      </c>
      <c r="L7" s="665">
        <f>IF(G6="Montant maximum dépassé, les dépenses ne sont pas éligibles",0,'1.2-Amortissements'!AF110)</f>
        <v>3000</v>
      </c>
      <c r="M7" s="664">
        <f>IF(G6="Montant maximum dépassé, les dépenses ne sont pas éligibles",0,'2-Contributions en nature'!S110)</f>
        <v>4400</v>
      </c>
      <c r="N7" s="664">
        <f>IF(G6="Montant maximum dépassé, les dépenses ne sont pas éligibles",0,'3-Frais de personnel'!AD110)</f>
        <v>2514.9</v>
      </c>
      <c r="O7" s="664">
        <f>IF(G6="Montant maximum dépassé, les dépenses ne sont pas éligibles",0,'4-TF coûts indirects'!O21)</f>
        <v>377.23500000000001</v>
      </c>
      <c r="P7" s="666">
        <f>IF(G6="Montant maximum dépassé, les dépenses ne sont pas éligibles",0,'5-Déplacements &amp; hébergements'!BQ50)</f>
        <v>3205.25</v>
      </c>
      <c r="Q7" s="666">
        <f>IF(G6="Montant maximum dépassé, les dépenses ne sont pas éligibles",0,'6-Coûts participation agri'!AC53)</f>
        <v>1148</v>
      </c>
      <c r="R7" s="666">
        <f>IF(G6="Montant maximum dépassé, les dépenses ne sont pas éligibles",0,C7)</f>
        <v>17845.385000000002</v>
      </c>
      <c r="S7" s="668"/>
      <c r="T7" s="668"/>
      <c r="U7" s="685"/>
      <c r="V7" s="685"/>
      <c r="W7" s="668"/>
      <c r="X7" s="668"/>
    </row>
    <row r="8" spans="1:24" s="65" customFormat="1" ht="174" customHeight="1">
      <c r="F8" s="773" t="s">
        <v>571</v>
      </c>
      <c r="G8" s="963">
        <f>IF(A7=0,"",$D$27-$G$27)</f>
        <v>0</v>
      </c>
      <c r="H8" s="773" t="s">
        <v>572</v>
      </c>
      <c r="I8" s="774" t="str">
        <f>IF(D27=0,"",IF(D27&lt;G27+M7+G17,"Non, l'aide publique doit diminuer","Oui"))</f>
        <v>Non, l'aide publique doit diminuer</v>
      </c>
      <c r="J8" s="232"/>
      <c r="K8" s="668"/>
      <c r="L8" s="668"/>
      <c r="M8" s="668"/>
      <c r="N8" s="668"/>
      <c r="O8" s="668"/>
      <c r="P8" s="668"/>
      <c r="Q8" s="668"/>
      <c r="R8" s="668"/>
      <c r="S8" s="686"/>
      <c r="T8" s="668"/>
      <c r="U8" s="668"/>
      <c r="V8" s="668"/>
      <c r="W8" s="668"/>
      <c r="X8" s="668"/>
    </row>
    <row r="9" spans="1:24" s="65" customFormat="1" ht="228.95" customHeight="1">
      <c r="G9" s="668"/>
      <c r="H9" s="668"/>
      <c r="I9" s="668"/>
      <c r="J9" s="516"/>
      <c r="K9" s="670"/>
      <c r="L9" s="670"/>
      <c r="M9" s="670"/>
      <c r="N9" s="670"/>
      <c r="O9" s="670"/>
      <c r="P9" s="670"/>
      <c r="Q9" s="670"/>
      <c r="R9" s="681"/>
      <c r="S9" s="686"/>
      <c r="T9" s="668"/>
      <c r="U9" s="668"/>
      <c r="V9" s="668"/>
      <c r="W9" s="668"/>
      <c r="X9" s="668"/>
    </row>
    <row r="10" spans="1:24" s="65" customFormat="1" ht="117.95" customHeight="1" thickBot="1">
      <c r="D10" s="1608" t="s">
        <v>573</v>
      </c>
      <c r="E10" s="1608"/>
      <c r="F10" s="1608"/>
      <c r="G10" s="1608"/>
      <c r="H10" s="1608"/>
      <c r="J10" s="232"/>
      <c r="S10" s="238"/>
    </row>
    <row r="11" spans="1:24" s="65" customFormat="1" ht="30" customHeight="1" thickBot="1">
      <c r="D11" s="1620" t="s">
        <v>574</v>
      </c>
      <c r="E11" s="1621"/>
      <c r="F11" s="1621"/>
      <c r="G11" s="1621"/>
      <c r="H11" s="1621"/>
      <c r="I11" s="1622"/>
      <c r="J11" s="232"/>
      <c r="S11" s="238"/>
    </row>
    <row r="12" spans="1:24" s="65" customFormat="1" ht="177.95" customHeight="1">
      <c r="D12" s="1114" t="s">
        <v>575</v>
      </c>
      <c r="E12" s="1115" t="s">
        <v>576</v>
      </c>
      <c r="F12" s="1116" t="s">
        <v>577</v>
      </c>
      <c r="G12" s="1108" t="s">
        <v>471</v>
      </c>
      <c r="H12" s="1595" t="s">
        <v>472</v>
      </c>
      <c r="I12" s="1597" t="s">
        <v>473</v>
      </c>
      <c r="J12" s="232"/>
      <c r="K12" s="229"/>
      <c r="Q12" s="238"/>
      <c r="R12" s="238"/>
      <c r="S12" s="238"/>
    </row>
    <row r="13" spans="1:24" s="65" customFormat="1" ht="76.5" customHeight="1">
      <c r="D13" s="1117" t="s">
        <v>578</v>
      </c>
      <c r="E13" s="957"/>
      <c r="F13" s="1118"/>
      <c r="G13" s="1109" t="s">
        <v>480</v>
      </c>
      <c r="H13" s="1596"/>
      <c r="I13" s="1598"/>
      <c r="Q13" s="238"/>
      <c r="R13" s="238"/>
      <c r="S13" s="238"/>
    </row>
    <row r="14" spans="1:24" s="65" customFormat="1" ht="126.95" customHeight="1">
      <c r="D14" s="940">
        <f>IF('Syn pf Bénéficiaire'!M7=0,"",'Syn pf Bénéficiaire'!M7)</f>
        <v>2000</v>
      </c>
      <c r="E14" s="937" t="str">
        <f>IF('Syn pf Bénéficiaire'!N7=0,"",'Syn pf Bénéficiaire'!N7)</f>
        <v>Département</v>
      </c>
      <c r="F14" s="1110" t="str">
        <f>IF('Syn pf Bénéficiaire'!O7=0,"",'Syn pf Bénéficiaire'!O7)</f>
        <v>Oui</v>
      </c>
      <c r="G14" s="940">
        <f>IF('Syn pf Bénéficiaire'!P7=0,"",'Syn pf Bénéficiaire'!P7)</f>
        <v>1000</v>
      </c>
      <c r="H14" s="937" t="str">
        <f>IF('Syn pf Bénéficiaire'!Q7=0,"",'Syn pf Bénéficiaire'!Q7)</f>
        <v/>
      </c>
      <c r="I14" s="1110" t="str">
        <f>IF('Syn pf Bénéficiaire'!R7=0,"",'Syn pf Bénéficiaire'!R7)</f>
        <v/>
      </c>
      <c r="Q14" s="238"/>
      <c r="R14" s="238"/>
      <c r="S14" s="238"/>
    </row>
    <row r="15" spans="1:24" s="65" customFormat="1" ht="177.95" customHeight="1">
      <c r="D15" s="940" t="str">
        <f>IF('Syn pf Bénéficiaire'!M8=0,"",'Syn pf Bénéficiaire'!M8)</f>
        <v/>
      </c>
      <c r="E15" s="937" t="str">
        <f>IF('Syn pf Bénéficiaire'!N8=0,"",'Syn pf Bénéficiaire'!N8)</f>
        <v/>
      </c>
      <c r="F15" s="1110" t="str">
        <f>IF('Syn pf Bénéficiaire'!O8=0,"",'Syn pf Bénéficiaire'!O8)</f>
        <v/>
      </c>
      <c r="G15" s="940" t="str">
        <f>IF('Syn pf Bénéficiaire'!P8=0,"",'Syn pf Bénéficiaire'!P8)</f>
        <v/>
      </c>
      <c r="H15" s="937" t="str">
        <f>IF('Syn pf Bénéficiaire'!Q8=0,"",'Syn pf Bénéficiaire'!Q8)</f>
        <v/>
      </c>
      <c r="I15" s="1110" t="str">
        <f>IF('Syn pf Bénéficiaire'!R8=0,"",'Syn pf Bénéficiaire'!R8)</f>
        <v/>
      </c>
      <c r="Q15" s="238"/>
      <c r="R15" s="238"/>
      <c r="S15" s="238"/>
    </row>
    <row r="16" spans="1:24" s="65" customFormat="1" ht="68.25" customHeight="1" thickBot="1">
      <c r="D16" s="941" t="str">
        <f>IF('Syn pf Bénéficiaire'!M9=0,"",'Syn pf Bénéficiaire'!M9)</f>
        <v/>
      </c>
      <c r="E16" s="1111" t="str">
        <f>IF('Syn pf Bénéficiaire'!N9=0,"",'Syn pf Bénéficiaire'!N9)</f>
        <v/>
      </c>
      <c r="F16" s="1112" t="str">
        <f>IF('Syn pf Bénéficiaire'!O9=0,"",'Syn pf Bénéficiaire'!O9)</f>
        <v/>
      </c>
      <c r="G16" s="941" t="str">
        <f>IF('Syn pf Bénéficiaire'!P9=0,"",'Syn pf Bénéficiaire'!P9)</f>
        <v/>
      </c>
      <c r="H16" s="1111" t="str">
        <f>IF('Syn pf Bénéficiaire'!Q9=0,"",'Syn pf Bénéficiaire'!Q9)</f>
        <v/>
      </c>
      <c r="I16" s="1112" t="str">
        <f>IF('Syn pf Bénéficiaire'!R9=0,"",'Syn pf Bénéficiaire'!R9)</f>
        <v/>
      </c>
      <c r="J16" s="669"/>
      <c r="K16" s="669"/>
      <c r="L16" s="670"/>
      <c r="M16" s="671"/>
      <c r="N16" s="671"/>
      <c r="O16" s="256"/>
      <c r="P16" s="256"/>
      <c r="Q16" s="238"/>
      <c r="R16" s="238"/>
      <c r="S16" s="238"/>
    </row>
    <row r="17" spans="1:25" s="65" customFormat="1" ht="27.95" customHeight="1" thickBot="1">
      <c r="D17" s="1113">
        <f>IFERROR(SUM(D14:D16),0)</f>
        <v>2000</v>
      </c>
      <c r="E17" s="958"/>
      <c r="F17" s="959"/>
      <c r="G17" s="1113">
        <f>IFERROR(SUM(G14:G16),0)</f>
        <v>1000</v>
      </c>
      <c r="H17" s="1011"/>
      <c r="I17" s="47"/>
      <c r="J17" s="668"/>
      <c r="K17" s="668"/>
      <c r="M17" s="671"/>
      <c r="N17" s="671"/>
      <c r="O17" s="256"/>
      <c r="P17" s="256"/>
      <c r="Q17" s="238"/>
      <c r="R17" s="238"/>
      <c r="S17" s="238"/>
    </row>
    <row r="18" spans="1:25" s="65" customFormat="1" ht="115.5" customHeight="1">
      <c r="D18" s="1590"/>
      <c r="E18" s="1590"/>
      <c r="F18" s="1590"/>
      <c r="G18" s="960"/>
      <c r="H18" s="960"/>
      <c r="I18" s="668"/>
      <c r="J18" s="668"/>
      <c r="K18" s="668"/>
      <c r="M18" s="671"/>
      <c r="N18" s="671"/>
      <c r="O18" s="256"/>
      <c r="P18" s="256"/>
      <c r="Q18" s="238"/>
      <c r="R18" s="238"/>
      <c r="S18" s="238"/>
    </row>
    <row r="19" spans="1:25" s="65" customFormat="1" ht="98.45" customHeight="1">
      <c r="D19" s="668"/>
      <c r="E19" s="961"/>
      <c r="F19" s="961"/>
      <c r="G19" s="668"/>
      <c r="H19" s="668"/>
      <c r="I19" s="668"/>
      <c r="J19" s="1589"/>
      <c r="K19" s="1589"/>
      <c r="L19" s="1589"/>
      <c r="M19" s="668"/>
      <c r="N19" s="668"/>
      <c r="Q19" s="238"/>
      <c r="R19" s="238"/>
      <c r="S19" s="238"/>
      <c r="T19" s="668"/>
      <c r="U19" s="668"/>
      <c r="V19" s="668"/>
      <c r="W19" s="668"/>
    </row>
    <row r="20" spans="1:25" s="65" customFormat="1" ht="53.45" customHeight="1" thickBot="1">
      <c r="E20" s="668"/>
      <c r="F20" s="668"/>
      <c r="G20" s="668"/>
      <c r="H20" s="668"/>
      <c r="I20" s="668"/>
      <c r="M20" s="668"/>
      <c r="N20" s="668"/>
      <c r="Q20" s="47"/>
      <c r="T20" s="668"/>
      <c r="U20" s="668"/>
      <c r="V20" s="668"/>
      <c r="W20" s="668"/>
    </row>
    <row r="21" spans="1:25" ht="107.1" customHeight="1" thickBot="1">
      <c r="A21" s="1602" t="s">
        <v>579</v>
      </c>
      <c r="B21" s="1603"/>
      <c r="C21" s="1603"/>
      <c r="D21" s="1603"/>
      <c r="E21" s="1603"/>
      <c r="F21" s="1603"/>
      <c r="G21" s="1603"/>
      <c r="H21" s="1603"/>
      <c r="I21" s="1603"/>
      <c r="J21" s="1603"/>
      <c r="K21" s="1603"/>
      <c r="L21" s="1603"/>
      <c r="M21" s="1603"/>
      <c r="N21" s="1603"/>
      <c r="O21" s="1603"/>
      <c r="P21" s="1603"/>
      <c r="Q21" s="1603"/>
      <c r="R21" s="1603"/>
      <c r="S21" s="1603"/>
      <c r="T21" s="1603"/>
      <c r="U21" s="1603"/>
      <c r="V21" s="1604"/>
      <c r="W21" s="1158"/>
    </row>
    <row r="22" spans="1:25" s="66" customFormat="1" ht="132.75" customHeight="1" thickBot="1">
      <c r="A22" s="1628" t="s">
        <v>580</v>
      </c>
      <c r="B22" s="1629"/>
      <c r="C22" s="1629"/>
      <c r="D22" s="1629"/>
      <c r="E22" s="1629"/>
      <c r="F22" s="1629"/>
      <c r="G22" s="1629"/>
      <c r="H22" s="1629"/>
      <c r="I22" s="1629"/>
      <c r="J22" s="1629"/>
      <c r="K22" s="1630"/>
      <c r="L22" s="1631" t="s">
        <v>507</v>
      </c>
      <c r="M22" s="1632"/>
      <c r="N22" s="1632"/>
      <c r="O22" s="1632"/>
      <c r="P22" s="1632"/>
      <c r="Q22" s="1632"/>
      <c r="R22" s="1633"/>
      <c r="S22" s="1599" t="s">
        <v>508</v>
      </c>
      <c r="T22" s="1600"/>
      <c r="U22" s="1600"/>
      <c r="V22" s="1601"/>
      <c r="W22"/>
      <c r="X22" s="65"/>
      <c r="Y22" s="65"/>
    </row>
    <row r="23" spans="1:25" s="66" customFormat="1" ht="186" customHeight="1">
      <c r="A23" s="1634" t="s">
        <v>581</v>
      </c>
      <c r="B23" s="1583" t="s">
        <v>38</v>
      </c>
      <c r="C23" s="1585" t="s">
        <v>582</v>
      </c>
      <c r="D23" s="1178" t="s">
        <v>583</v>
      </c>
      <c r="E23" s="1587" t="s">
        <v>584</v>
      </c>
      <c r="F23" s="962" t="s">
        <v>585</v>
      </c>
      <c r="G23" s="1178" t="s">
        <v>586</v>
      </c>
      <c r="H23" s="1636" t="s">
        <v>587</v>
      </c>
      <c r="I23" s="1179" t="s">
        <v>588</v>
      </c>
      <c r="J23" s="1178" t="s">
        <v>589</v>
      </c>
      <c r="K23" s="1180" t="s">
        <v>517</v>
      </c>
      <c r="L23" s="1181" t="s">
        <v>518</v>
      </c>
      <c r="M23" s="1178" t="s">
        <v>519</v>
      </c>
      <c r="N23" s="1182" t="s">
        <v>520</v>
      </c>
      <c r="O23" s="1591" t="s">
        <v>521</v>
      </c>
      <c r="P23" s="1182" t="s">
        <v>522</v>
      </c>
      <c r="Q23" s="1182" t="s">
        <v>523</v>
      </c>
      <c r="R23" s="1593" t="s">
        <v>524</v>
      </c>
      <c r="S23" s="1183" t="s">
        <v>525</v>
      </c>
      <c r="T23" s="1178" t="s">
        <v>590</v>
      </c>
      <c r="U23" s="1591" t="s">
        <v>527</v>
      </c>
      <c r="V23" s="1593" t="s">
        <v>591</v>
      </c>
      <c r="W23"/>
      <c r="X23" s="65"/>
      <c r="Y23" s="65"/>
    </row>
    <row r="24" spans="1:25" ht="173.45" customHeight="1" thickBot="1">
      <c r="A24" s="1635"/>
      <c r="B24" s="1584"/>
      <c r="C24" s="1586"/>
      <c r="D24" s="1197" t="s">
        <v>528</v>
      </c>
      <c r="E24" s="1588"/>
      <c r="F24" s="1198" t="s">
        <v>592</v>
      </c>
      <c r="G24" s="1199" t="s">
        <v>593</v>
      </c>
      <c r="H24" s="1637"/>
      <c r="I24" s="1199" t="s">
        <v>594</v>
      </c>
      <c r="J24" s="1200" t="s">
        <v>595</v>
      </c>
      <c r="K24" s="1201" t="s">
        <v>532</v>
      </c>
      <c r="L24" s="1202" t="s">
        <v>533</v>
      </c>
      <c r="M24" s="1203" t="s">
        <v>535</v>
      </c>
      <c r="N24" s="1204" t="s">
        <v>535</v>
      </c>
      <c r="O24" s="1592"/>
      <c r="P24" s="1200" t="s">
        <v>596</v>
      </c>
      <c r="Q24" s="1205" t="s">
        <v>538</v>
      </c>
      <c r="R24" s="1594"/>
      <c r="S24" s="1206"/>
      <c r="T24" s="1205" t="s">
        <v>597</v>
      </c>
      <c r="U24" s="1592"/>
      <c r="V24" s="1594"/>
    </row>
    <row r="25" spans="1:25" ht="75.75" customHeight="1">
      <c r="A25" s="1162" t="s">
        <v>598</v>
      </c>
      <c r="B25" s="1623" t="s">
        <v>43</v>
      </c>
      <c r="C25" s="1184">
        <f>SUMIFS('1.1-Investissements'!$BA$10:$BA$109,'1.1-Investissements'!$AF$10:$AF$109,$B$25,'1.1-Investissements'!$AC$10:$AC$109,"Oui")+SUMIFS('1.2-Amortissements'!$AF$10:$AF$109,'1.2-Amortissements'!$R$10:$R$109,B25,'1.2-Amortissements'!$S$10:$S$109,"Oui")</f>
        <v>0</v>
      </c>
      <c r="D25" s="1185">
        <f>IF($G$6="Montant maximum respecté",C25,0)</f>
        <v>0</v>
      </c>
      <c r="E25" s="1186">
        <f>IF(D25=0,0,D25/$D$27)</f>
        <v>0</v>
      </c>
      <c r="F25" s="1186">
        <f>IF(C25=0,0,(F37+F43+F49+F55+F61+F67+F73+F79+F85+F91+F97)/(C37+C43+C49+C55+C61+C67+C73+C79+C85+C91+C97))</f>
        <v>0</v>
      </c>
      <c r="G25" s="1187">
        <f>D25*F25</f>
        <v>0</v>
      </c>
      <c r="H25" s="1186">
        <f>G25/$G$27</f>
        <v>0</v>
      </c>
      <c r="I25" s="1187">
        <f>IF(D25=0,0,IF($G$17+$M$7&gt;$G$8,G25-($G$17+$M$7-$G$8)*H25,G25))</f>
        <v>0</v>
      </c>
      <c r="J25" s="1188">
        <f>IF(H25=0,0,I25/D25)</f>
        <v>0</v>
      </c>
      <c r="K25" s="1627" t="str">
        <f>_xlfn.IFS($D$17="","Non concerné",$D$17&lt;(0.15*$I$27),"Non",$D$17=(0.15*$I$27),"Oui",$D$17&gt;(0.15*$I$27),"Oui")</f>
        <v>Oui</v>
      </c>
      <c r="L25" s="1189">
        <f>IF(E25=0,0,IF(K25="Oui",I25-($D$17*E25),I25*0.85))</f>
        <v>0</v>
      </c>
      <c r="M25" s="1625">
        <f>IFERROR(L27/I27,0)</f>
        <v>0.83929745845548354</v>
      </c>
      <c r="N25" s="1625">
        <f>IFERROR(O27/I27,0)</f>
        <v>0.15000018078990723</v>
      </c>
      <c r="O25" s="1190">
        <f>IF(L25="","",IF($K$25="Oui",0.15*I25,I25-L26))</f>
        <v>0</v>
      </c>
      <c r="P25" s="1191">
        <f>IF(H25=0,0,IF($K$25="Oui",O25,$D$17*H25))</f>
        <v>0</v>
      </c>
      <c r="Q25" s="1190">
        <f>IF(O25="","",O25-P25)</f>
        <v>0</v>
      </c>
      <c r="R25" s="1192">
        <f>IF($D$17="",0,E25*$D$17-P25)</f>
        <v>0</v>
      </c>
      <c r="S25" s="1193" t="s">
        <v>214</v>
      </c>
      <c r="T25" s="1190">
        <f>IF(D25="","",D25-L25-O25-R25)</f>
        <v>0</v>
      </c>
      <c r="U25" s="1194">
        <f>IF(OR(T25="",D25=0),0,(T25+E25)/D25)</f>
        <v>0</v>
      </c>
      <c r="V25" s="1195"/>
    </row>
    <row r="26" spans="1:25" ht="98.45" customHeight="1" thickBot="1">
      <c r="A26" s="1163" t="s">
        <v>599</v>
      </c>
      <c r="B26" s="1624"/>
      <c r="C26" s="1196">
        <f>SUMIFS('1.1-Investissements'!BA10:BA109,'1.1-Investissements'!AC10:AC109,"Non")+SUMIFS('1.2-Amortissements'!AF10:AF109,'1.2-Amortissements'!S10:S109,"Non")+SUM('2-Contributions en nature'!S10:S109)+SUM('3-Frais de personnel'!AD10:AD109)+SUM('4-TF coûts indirects'!O10:O20)+SUM('5-Déplacements &amp; hébergements'!BQ10:BQ49)+SUM('6-Coûts participation agri'!AC13:AC52)</f>
        <v>17845.385000000002</v>
      </c>
      <c r="D26" s="1164">
        <f>IF($G$6="Montant maximum respecté",C26,0)</f>
        <v>17845.385000000002</v>
      </c>
      <c r="E26" s="1165">
        <f>IF(D26=0,0,D26/$D$27)</f>
        <v>1</v>
      </c>
      <c r="F26" s="1165">
        <f>IF(C26=0,0,(F38+F44+F50+F56+F62+F68+F74+F80+F86+F92+F98)/(C38+C44+C50+C56+C62+C68+C74+C80+C86+C92+C98))</f>
        <v>1</v>
      </c>
      <c r="G26" s="1166">
        <f>D26*F26</f>
        <v>17845.385000000002</v>
      </c>
      <c r="H26" s="1165">
        <f>G26/$G$27</f>
        <v>1</v>
      </c>
      <c r="I26" s="1166">
        <f>IF(D26=0,0,IF($G$17+$M$7&gt;$G$8,G26-($G$17+$M$7-$G$8)*H26,G26))</f>
        <v>12445.385000000002</v>
      </c>
      <c r="J26" s="1167">
        <f>IF(H26=0,0,I26/D26)</f>
        <v>0.69740075655414557</v>
      </c>
      <c r="K26" s="1297"/>
      <c r="L26" s="1159">
        <f>IF(E26=0,0,IF(K25="Oui",I26-($D$17*E26),I26*0.85))</f>
        <v>10445.385000000002</v>
      </c>
      <c r="M26" s="1626"/>
      <c r="N26" s="1626"/>
      <c r="O26" s="1155">
        <f>IF(L26="","",IF($K$25="Oui",0.15*I26,I26-L27))</f>
        <v>1866.8077500000002</v>
      </c>
      <c r="P26" s="1160">
        <f>IF(H26=0,0,IF($K$25="Oui",O26,$D$17*H26))</f>
        <v>1866.8077500000002</v>
      </c>
      <c r="Q26" s="1155">
        <f>IF(O26="","",O26-P26)</f>
        <v>0</v>
      </c>
      <c r="R26" s="1161">
        <f>IF($D$17="",0,E26*$D$17-P26)</f>
        <v>133.19224999999983</v>
      </c>
      <c r="S26" s="1154">
        <f>M7</f>
        <v>4400</v>
      </c>
      <c r="T26" s="1155">
        <f>IF(D26="","",D26-L26-O26-R26-S26-$G$17)</f>
        <v>0</v>
      </c>
      <c r="U26" s="1156">
        <f>IF(OR(T26="",D26=0),0,(T26+E26)/D26)</f>
        <v>5.6036896934417489E-5</v>
      </c>
      <c r="V26" s="1157"/>
    </row>
    <row r="27" spans="1:25" s="1140" customFormat="1" ht="98.45" customHeight="1" thickBot="1">
      <c r="B27" s="1055" t="s">
        <v>542</v>
      </c>
      <c r="C27" s="1170">
        <f>SUM(C25:C26)</f>
        <v>17845.385000000002</v>
      </c>
      <c r="D27" s="1170">
        <f>IF(G6="Montant maximum dépassé, les dépenses ne sont pas éligibles",0,IF(G6="Montant maximum respecté",SUM(D25:D26),""))</f>
        <v>17845.385000000002</v>
      </c>
      <c r="E27" s="1171">
        <f>SUM(E25:E26)</f>
        <v>1</v>
      </c>
      <c r="F27" s="1168"/>
      <c r="G27" s="1172">
        <f>IF(C27=0,0,SUM(G25:G26))</f>
        <v>17845.385000000002</v>
      </c>
      <c r="H27" s="1173">
        <f>IFERROR(SUM(H25:H26),0)</f>
        <v>1</v>
      </c>
      <c r="I27" s="1174">
        <f>SUM(I25:I26)</f>
        <v>12445.385000000002</v>
      </c>
      <c r="J27" s="1171">
        <f>I27/D27</f>
        <v>0.69740075655414557</v>
      </c>
      <c r="K27" s="1169"/>
      <c r="L27" s="1175">
        <f>IF(H27=0,0,ROUNDDOWN(IF($K$25="Oui",I27-($D$17*H27),I27*0.85),2))</f>
        <v>10445.379999999999</v>
      </c>
      <c r="M27" s="1088"/>
      <c r="N27" s="1088"/>
      <c r="O27" s="1176">
        <f>IFERROR(ROUNDUP(SUM(O25:O26),2),0)</f>
        <v>1866.81</v>
      </c>
      <c r="P27" s="1174">
        <f>SUM(P25:P26)</f>
        <v>1866.8077500000002</v>
      </c>
      <c r="Q27" s="1174">
        <f>SUM(Q25:Q26)</f>
        <v>0</v>
      </c>
      <c r="R27" s="1174">
        <f>ROUNDUP(IF($D$17="",0,E27*$D$17-P27),2)</f>
        <v>133.19999999999999</v>
      </c>
      <c r="S27" s="1174">
        <f>SUM(S25:S26)</f>
        <v>4400</v>
      </c>
      <c r="T27" s="1174">
        <f>IFERROR(SUM(T25:T26),0)</f>
        <v>0</v>
      </c>
      <c r="U27" s="1177">
        <f>IF(E27=0,"- %",T27/D27)</f>
        <v>0</v>
      </c>
      <c r="V27" s="1169"/>
    </row>
    <row r="28" spans="1:25" ht="35.25" customHeight="1">
      <c r="T28" s="693"/>
      <c r="U28" s="96"/>
      <c r="V28" s="96"/>
    </row>
    <row r="29" spans="1:25" ht="24">
      <c r="E29" s="233"/>
      <c r="G29" s="1573"/>
      <c r="H29" s="96"/>
      <c r="I29" s="694"/>
      <c r="J29" s="694"/>
      <c r="K29" s="694"/>
      <c r="U29" s="795"/>
      <c r="V29" s="796"/>
      <c r="W29" s="244"/>
    </row>
    <row r="30" spans="1:25" s="96" customFormat="1" ht="21">
      <c r="A30" s="668"/>
      <c r="B30" s="668"/>
      <c r="C30" s="668"/>
      <c r="D30" s="668"/>
      <c r="E30" s="668"/>
      <c r="G30" s="1573"/>
      <c r="I30" s="694"/>
      <c r="J30" s="695"/>
      <c r="K30" s="695"/>
      <c r="M30" s="691"/>
    </row>
    <row r="31" spans="1:25" ht="26.1">
      <c r="G31" s="1574"/>
      <c r="H31" s="96"/>
      <c r="I31" s="964"/>
      <c r="J31" s="1575"/>
      <c r="K31" s="965"/>
      <c r="U31" s="96"/>
      <c r="V31" s="96"/>
    </row>
    <row r="32" spans="1:25" ht="26.1">
      <c r="G32" s="1574"/>
      <c r="H32" s="96"/>
      <c r="I32" s="964"/>
      <c r="J32" s="1575"/>
      <c r="K32" s="965"/>
      <c r="U32" s="96"/>
      <c r="V32" s="96"/>
    </row>
    <row r="33" spans="1:31" ht="21.95" thickBot="1">
      <c r="D33" s="96"/>
      <c r="E33" s="96"/>
      <c r="G33" s="966"/>
      <c r="H33" s="97"/>
      <c r="I33" s="693"/>
      <c r="J33" s="96"/>
      <c r="K33" s="693"/>
      <c r="L33"/>
      <c r="M33"/>
      <c r="U33" s="96"/>
      <c r="V33" s="96"/>
    </row>
    <row r="34" spans="1:31" ht="69.95" customHeight="1" thickBot="1">
      <c r="B34" s="1576" t="s">
        <v>543</v>
      </c>
      <c r="C34" s="1577"/>
      <c r="D34" s="1577"/>
      <c r="E34" s="1577"/>
      <c r="F34" s="1577"/>
      <c r="G34" s="1577"/>
      <c r="H34" s="1577"/>
      <c r="I34" s="1577"/>
      <c r="J34" s="1577"/>
      <c r="K34" s="1577"/>
      <c r="L34" s="1577"/>
      <c r="M34" s="1577"/>
      <c r="N34" s="1577"/>
      <c r="O34" s="1577"/>
      <c r="P34" s="1578"/>
      <c r="Q34"/>
      <c r="W34" s="1041"/>
      <c r="X34" s="1042"/>
      <c r="Y34" s="1042"/>
      <c r="Z34" s="1042"/>
      <c r="AA34" s="1042"/>
      <c r="AB34" s="1042"/>
      <c r="AC34" s="1042"/>
      <c r="AD34" s="1042"/>
      <c r="AE34" s="1042"/>
    </row>
    <row r="35" spans="1:31" ht="18" customHeight="1" thickBot="1">
      <c r="B35" s="1568" t="s">
        <v>11</v>
      </c>
      <c r="C35" s="1569"/>
      <c r="D35" s="1569"/>
      <c r="E35" s="1569"/>
      <c r="F35" s="1569"/>
      <c r="G35" s="1569"/>
      <c r="H35" s="1569"/>
      <c r="I35" s="1569"/>
      <c r="J35" s="1569"/>
      <c r="K35" s="1569"/>
      <c r="L35" s="1569"/>
      <c r="M35" s="1569"/>
      <c r="N35" s="1569"/>
      <c r="O35" s="1569"/>
      <c r="P35" s="1570"/>
      <c r="Q35"/>
      <c r="W35" s="1086"/>
      <c r="X35" s="1085"/>
      <c r="Y35" s="1042"/>
      <c r="Z35" s="1042"/>
      <c r="AA35" s="1042"/>
      <c r="AB35" s="1042"/>
      <c r="AC35" s="1042"/>
      <c r="AD35" s="1042"/>
      <c r="AE35" s="1042"/>
    </row>
    <row r="36" spans="1:31" ht="134.44999999999999" customHeight="1" thickBot="1">
      <c r="A36" s="1126" t="s">
        <v>544</v>
      </c>
      <c r="B36" s="1121" t="s">
        <v>38</v>
      </c>
      <c r="C36" s="1122" t="s">
        <v>228</v>
      </c>
      <c r="D36" s="1122" t="s">
        <v>545</v>
      </c>
      <c r="E36" s="1122" t="s">
        <v>546</v>
      </c>
      <c r="F36" s="1122" t="s">
        <v>547</v>
      </c>
      <c r="G36" s="1123" t="s">
        <v>548</v>
      </c>
      <c r="H36" s="1123" t="s">
        <v>549</v>
      </c>
      <c r="I36" s="1124" t="s">
        <v>550</v>
      </c>
      <c r="J36" s="1122" t="s">
        <v>518</v>
      </c>
      <c r="K36" s="1122" t="s">
        <v>551</v>
      </c>
      <c r="L36" s="1122" t="s">
        <v>522</v>
      </c>
      <c r="M36" s="1122" t="s">
        <v>523</v>
      </c>
      <c r="N36" s="1122" t="s">
        <v>524</v>
      </c>
      <c r="O36" s="1122" t="s">
        <v>552</v>
      </c>
      <c r="P36" s="1125" t="s">
        <v>553</v>
      </c>
      <c r="Q36"/>
      <c r="R36" s="1087"/>
      <c r="W36" s="1041"/>
      <c r="X36" s="1042"/>
      <c r="Y36" s="1042"/>
      <c r="Z36" s="1042"/>
      <c r="AA36" s="1042"/>
      <c r="AB36" s="1042"/>
      <c r="AC36" s="1042"/>
      <c r="AD36" s="1042"/>
      <c r="AE36" s="1042"/>
    </row>
    <row r="37" spans="1:31" ht="14.45" customHeight="1">
      <c r="A37" s="1136" t="s">
        <v>554</v>
      </c>
      <c r="B37" s="1571" t="s">
        <v>43</v>
      </c>
      <c r="C37" s="1130">
        <f>SUMIFS('1.1-Investissements'!$BA$10:$BA$109,'1.1-Investissements'!$AC$10:$AC$109,"Oui",'1.1-Investissements'!$B$10:$B$109,B35)+SUMIFS('1.2-Amortissements'!$AF$10:$AF$109,'1.2-Amortissements'!$D$10:$D$109,"Oui",'1.2-Amortissements'!$B$10:$B$109,B35)</f>
        <v>0</v>
      </c>
      <c r="D37" s="1026">
        <f>C37/$C$102</f>
        <v>0</v>
      </c>
      <c r="E37" s="1027">
        <v>0.8</v>
      </c>
      <c r="F37" s="1028">
        <f>IF(E37=0,"",C37*E37)</f>
        <v>0</v>
      </c>
      <c r="G37" s="1028">
        <f>IF(C37=0,0,IF($G$17*$D$39+$O$39&gt;($C$39-$F$39),F37-(($G$17*$D$39)+$O$39-($C$39-$F$39))*(F37/$F$39),F37))</f>
        <v>0</v>
      </c>
      <c r="H37" s="1029">
        <f>IF(C37=0,0,G37/C37)</f>
        <v>0</v>
      </c>
      <c r="I37" s="1246" t="str">
        <f>$K$25</f>
        <v>Oui</v>
      </c>
      <c r="J37" s="1030">
        <f>IF(G37=0,0,IF($I$37="Oui",G37-$D$17*((F37/$F$39)*$C$39/$C$102),G37*0.85))</f>
        <v>0</v>
      </c>
      <c r="K37" s="1030">
        <f>IF(G37=0,0,IF($I$37="Oui",0.15*G37,G37-J37))</f>
        <v>0</v>
      </c>
      <c r="L37" s="1030">
        <f>IF(C37=0,0,IF($I$37="Oui",K37,$D$17*(F37/$F$39*$C$39/$C$102)))</f>
        <v>0</v>
      </c>
      <c r="M37" s="1030">
        <f>IF(K37="",0,K37-L37)</f>
        <v>0</v>
      </c>
      <c r="N37" s="1030">
        <f>IF($F$39=0,0,IF($D$17=0,0,(F37/$F$39*$C$39/$C$102)*$D$17-L37))</f>
        <v>0</v>
      </c>
      <c r="O37" s="1030">
        <v>0</v>
      </c>
      <c r="P37" s="1031">
        <f>IFERROR(C37-J37-K37-N37-O37-($G$17*C37/$C$39*$C$39/$C$102),0)</f>
        <v>0</v>
      </c>
      <c r="Q37"/>
      <c r="W37" s="1041"/>
      <c r="X37" s="1042"/>
      <c r="Y37" s="1042"/>
      <c r="Z37" s="1042"/>
      <c r="AA37" s="1042"/>
      <c r="AB37" s="1042"/>
      <c r="AC37" s="1042"/>
      <c r="AD37" s="1042"/>
      <c r="AE37" s="1042"/>
    </row>
    <row r="38" spans="1:31" ht="33.950000000000003" customHeight="1" thickBot="1">
      <c r="A38" s="1137" t="s">
        <v>555</v>
      </c>
      <c r="B38" s="1572"/>
      <c r="C38" s="1133">
        <f>SUMIFS('1.1-Investissements'!$BA$10:$BA$109,'1.1-Investissements'!$AC$10:$AC$109,"Non",'1.1-Investissements'!$B$10:$B$109,B35)+SUMIFS('1.2-Amortissements'!$AF$10:$AF$109,'1.2-Amortissements'!$D$10:$D$109,"Non",'1.2-Amortissements'!$B$10:$B$109,B35)+SUMIFS('2-Contributions en nature'!$S$10:$S$109,'2-Contributions en nature'!$B$10:$B$109,B35)+SUMIFS('3-Frais de personnel'!$AD$10:$AD$109,'3-Frais de personnel'!$B$10:$B$109,B35)+SUMIFS('4-TF coûts indirects'!$O$10:$O$20,'4-TF coûts indirects'!$B$10:$B$20,B35)+SUMIFS('5-Déplacements &amp; hébergements'!$BQ$10:$BQ$49,'5-Déplacements &amp; hébergements'!$B$10:$B$49,B35)+SUMIFS('6-Coûts participation agri'!$AC$13:$AC$52,'6-Coûts participation agri'!$B$13:$B$52,B35)</f>
        <v>9117.1350000000002</v>
      </c>
      <c r="D38" s="1032">
        <f t="shared" ref="D38:D39" si="0">C38/$C$102</f>
        <v>0.51089595433217039</v>
      </c>
      <c r="E38" s="949">
        <v>1</v>
      </c>
      <c r="F38" s="950">
        <f t="shared" ref="F38" si="1">IF(E38=0,"",C38*E38)</f>
        <v>9117.1350000000002</v>
      </c>
      <c r="G38" s="950">
        <f>IF(C38=0,0,IF($G$17*$D$39+$O$39&gt;($C$39-$F$39),F38-(($G$17*$D$39)+$O$39-($C$39-$F$39))*(F38/$F$39),F38))</f>
        <v>4606.2390456678295</v>
      </c>
      <c r="H38" s="951">
        <f t="shared" ref="H38" si="2">IF(C38=0,0,G38/C38)</f>
        <v>0.50522878576085906</v>
      </c>
      <c r="I38" s="1247"/>
      <c r="J38" s="952">
        <f t="shared" ref="J38:J39" si="3">IF(G38=0,0,IF($I$37="Oui",G38-$D$17*((F38/$F$39)*$C$39/$C$102),G38*0.85))</f>
        <v>3584.4471370034889</v>
      </c>
      <c r="K38" s="952">
        <f>IF(G38=0,0,IF($I$37="Oui",0.15*G38,G38-J38))</f>
        <v>690.93585685017445</v>
      </c>
      <c r="L38" s="952">
        <f t="shared" ref="L38:L39" si="4">IF(C38=0,0,IF($I$37="Oui",K38,$D$17*(F38/$F$39*$C$39/$C$102)))</f>
        <v>690.93585685017445</v>
      </c>
      <c r="M38" s="952">
        <f t="shared" ref="M38" si="5">IF(K38="",0,K38-L38)</f>
        <v>0</v>
      </c>
      <c r="N38" s="952">
        <f t="shared" ref="N38:N39" si="6">IF($F$39=0,0,IF($D$17=0,0,(F38/$F$39*$C$39/$C$102)*$D$17-L38))</f>
        <v>330.85605181416634</v>
      </c>
      <c r="O38" s="952">
        <f>SUMIFS('2-Contributions en nature'!$S$10:$S$109,'2-Contributions en nature'!$B$10:$B$109,B35)</f>
        <v>4000</v>
      </c>
      <c r="P38" s="1033">
        <f t="shared" ref="P38:P39" si="7">IFERROR(C38-J38-K38-N38-O38-($G$17*C38/$C$39*$C$39/$C$102),0)</f>
        <v>-5.6843418860808015E-13</v>
      </c>
      <c r="Q38"/>
      <c r="W38" s="1041"/>
      <c r="X38" s="1042"/>
      <c r="Y38" s="1042"/>
      <c r="Z38" s="1042"/>
      <c r="AA38" s="1042"/>
      <c r="AB38" s="1042"/>
      <c r="AC38" s="1042"/>
      <c r="AD38" s="1042"/>
      <c r="AE38" s="1042"/>
    </row>
    <row r="39" spans="1:31" s="1034" customFormat="1" ht="48.6" customHeight="1" thickBot="1">
      <c r="B39" s="1035" t="s">
        <v>556</v>
      </c>
      <c r="C39" s="1036">
        <f>IF($A$7=0,"",SUM(C37:C38))</f>
        <v>9117.1350000000002</v>
      </c>
      <c r="D39" s="1134">
        <f t="shared" si="0"/>
        <v>0.51089595433217039</v>
      </c>
      <c r="E39" s="953"/>
      <c r="F39" s="954">
        <f>SUM(F37:F38)</f>
        <v>9117.1350000000002</v>
      </c>
      <c r="G39" s="954">
        <f>SUM(G37:G38)</f>
        <v>4606.2390456678295</v>
      </c>
      <c r="H39" s="955">
        <f>IF(C39=0,0,G39/C39)</f>
        <v>0.50522878576085906</v>
      </c>
      <c r="I39" s="1037"/>
      <c r="J39" s="956">
        <f t="shared" si="3"/>
        <v>3584.4471370034889</v>
      </c>
      <c r="K39" s="956">
        <f>IF(G39=0,0,IF($I$37="Oui",0.15*G39,G39-J39))</f>
        <v>690.93585685017445</v>
      </c>
      <c r="L39" s="956">
        <f t="shared" si="4"/>
        <v>690.93585685017445</v>
      </c>
      <c r="M39" s="956">
        <f>SUM(M37:M38)</f>
        <v>0</v>
      </c>
      <c r="N39" s="956">
        <f t="shared" si="6"/>
        <v>330.85605181416634</v>
      </c>
      <c r="O39" s="956">
        <f>SUM(O37:O38)</f>
        <v>4000</v>
      </c>
      <c r="P39" s="1135">
        <f t="shared" si="7"/>
        <v>-5.6843418860808015E-13</v>
      </c>
    </row>
    <row r="40" spans="1:31" ht="15.95" thickBot="1">
      <c r="B40"/>
      <c r="K40"/>
      <c r="L40"/>
      <c r="M40"/>
      <c r="N40"/>
      <c r="O40"/>
      <c r="P40"/>
      <c r="Q40"/>
      <c r="R40" s="1034"/>
    </row>
    <row r="41" spans="1:31" s="346" customFormat="1" ht="15.95" customHeight="1" thickBot="1">
      <c r="B41" s="1568" t="s">
        <v>12</v>
      </c>
      <c r="C41" s="1569"/>
      <c r="D41" s="1569"/>
      <c r="E41" s="1569"/>
      <c r="F41" s="1569"/>
      <c r="G41" s="1569"/>
      <c r="H41" s="1569"/>
      <c r="I41" s="1569"/>
      <c r="J41" s="1569"/>
      <c r="K41" s="1569"/>
      <c r="L41" s="1569"/>
      <c r="M41" s="1569"/>
      <c r="N41" s="1569"/>
      <c r="O41" s="1569"/>
      <c r="P41" s="1570"/>
      <c r="R41" s="1034"/>
      <c r="W41" s="1041"/>
      <c r="X41" s="1042"/>
      <c r="Y41" s="1042"/>
      <c r="Z41" s="1042"/>
      <c r="AA41" s="1042"/>
      <c r="AB41" s="1042"/>
      <c r="AC41" s="1042"/>
      <c r="AD41" s="1042"/>
      <c r="AE41" s="1042"/>
    </row>
    <row r="42" spans="1:31" s="346" customFormat="1" ht="134.44999999999999" customHeight="1" thickBot="1">
      <c r="A42" s="1126" t="s">
        <v>544</v>
      </c>
      <c r="B42" s="1121" t="s">
        <v>38</v>
      </c>
      <c r="C42" s="1122" t="s">
        <v>228</v>
      </c>
      <c r="D42" s="1122" t="s">
        <v>545</v>
      </c>
      <c r="E42" s="1122" t="s">
        <v>546</v>
      </c>
      <c r="F42" s="1122" t="s">
        <v>547</v>
      </c>
      <c r="G42" s="1123" t="s">
        <v>548</v>
      </c>
      <c r="H42" s="1123" t="s">
        <v>549</v>
      </c>
      <c r="I42" s="1124" t="s">
        <v>550</v>
      </c>
      <c r="J42" s="1122" t="s">
        <v>518</v>
      </c>
      <c r="K42" s="1122" t="s">
        <v>551</v>
      </c>
      <c r="L42" s="1122" t="s">
        <v>522</v>
      </c>
      <c r="M42" s="1122" t="s">
        <v>523</v>
      </c>
      <c r="N42" s="1122" t="s">
        <v>524</v>
      </c>
      <c r="O42" s="1122" t="s">
        <v>552</v>
      </c>
      <c r="P42" s="1125" t="s">
        <v>553</v>
      </c>
      <c r="R42" s="1034"/>
      <c r="W42" s="1041"/>
      <c r="X42" s="1042"/>
      <c r="Y42" s="1042"/>
      <c r="Z42" s="1042"/>
      <c r="AA42" s="1042"/>
      <c r="AB42" s="1042"/>
      <c r="AC42" s="1042"/>
      <c r="AD42" s="1042"/>
      <c r="AE42" s="1042"/>
    </row>
    <row r="43" spans="1:31" s="346" customFormat="1" ht="14.45" customHeight="1">
      <c r="A43" s="1136" t="s">
        <v>554</v>
      </c>
      <c r="B43" s="1571" t="s">
        <v>43</v>
      </c>
      <c r="C43" s="1138">
        <f>SUMIFS('1.1-Investissements'!$BA$10:$BA$109,'1.1-Investissements'!$AC$10:$AC$109,"Oui",'1.1-Investissements'!$B$10:$B$109,B41)+SUMIFS('1.2-Amortissements'!$AF$10:$AF$109,'1.2-Amortissements'!$D$10:$D$109,"Oui",'1.2-Amortissements'!$B$10:$B$109,B41)</f>
        <v>0</v>
      </c>
      <c r="D43" s="1026">
        <f>C43/$C$102</f>
        <v>0</v>
      </c>
      <c r="E43" s="1027">
        <v>0.8</v>
      </c>
      <c r="F43" s="1028">
        <f>IF(E43=0,"",C43*E43)</f>
        <v>0</v>
      </c>
      <c r="G43" s="1028">
        <f>IF(C43=0,0,IF($G$17*$D$45+$O$45&gt;($C$45-$F$45),F43-(($G$17*$D$45)+$O$45-($C$45-$F$45))*(F43/$F$45),F43))</f>
        <v>0</v>
      </c>
      <c r="H43" s="1029">
        <f>IF(C43=0,0,G43/C43)</f>
        <v>0</v>
      </c>
      <c r="I43" s="1246" t="str">
        <f>$K$25</f>
        <v>Oui</v>
      </c>
      <c r="J43" s="1030">
        <f>IF(G43=0,0,IF($I$43="Oui",G43-$D$17*((F43/$F$45)*$C$45/$C$102),G43*0.85))</f>
        <v>0</v>
      </c>
      <c r="K43" s="1030">
        <f>IF(G43=0,0,IF($I$43="Oui",0.15*G43,G43-J43))</f>
        <v>0</v>
      </c>
      <c r="L43" s="1030">
        <f>IF(C43=0,0,IF($I$43="Oui",K43,$D$17*(F43/$F$45*$C$45/$C$102)))</f>
        <v>0</v>
      </c>
      <c r="M43" s="1030">
        <f>IF(K43="",0,K43-L43)</f>
        <v>0</v>
      </c>
      <c r="N43" s="1030">
        <f>IF($F$45=0,0,IF($D$17=0,0,(F43/$F$45*$C$45/$C$102)*$D$17-L43))</f>
        <v>0</v>
      </c>
      <c r="O43" s="1030">
        <v>0</v>
      </c>
      <c r="P43" s="1031">
        <f>IFERROR(C43-J43-K43-N43-O43-($G$17*C43/$C$45*$C$45/$C$102),0)</f>
        <v>0</v>
      </c>
      <c r="R43" s="1034"/>
      <c r="W43" s="1041"/>
      <c r="X43" s="1042"/>
      <c r="Y43" s="1042"/>
      <c r="Z43" s="1042"/>
      <c r="AA43" s="1042"/>
      <c r="AB43" s="1042"/>
      <c r="AC43" s="1042"/>
      <c r="AD43" s="1042"/>
      <c r="AE43" s="1042"/>
    </row>
    <row r="44" spans="1:31" s="346" customFormat="1" ht="14.1" customHeight="1" thickBot="1">
      <c r="A44" s="1137" t="s">
        <v>555</v>
      </c>
      <c r="B44" s="1572"/>
      <c r="C44" s="1139">
        <f>SUMIFS('1.1-Investissements'!$BA$10:$BA$109,'1.1-Investissements'!$AC$10:$AC$109,"Non",'1.1-Investissements'!$B$10:$B$109,B41)+SUMIFS('1.2-Amortissements'!$AF$10:$AF$109,'1.2-Amortissements'!$D$10:$D$109,"Non",'1.2-Amortissements'!$B$10:$B$109,B41)+SUMIFS('2-Contributions en nature'!$S$10:$S$109,'2-Contributions en nature'!$B$10:$B$109,B41)+SUMIFS('3-Frais de personnel'!$AD$10:$AD$109,'3-Frais de personnel'!$B$10:$B$109,B41)+SUMIFS('4-TF coûts indirects'!$O$10:$O$20,'4-TF coûts indirects'!$B$10:$B$20,B41)+SUMIFS('5-Déplacements &amp; hébergements'!$BQ$10:$BQ$49,'5-Déplacements &amp; hébergements'!$B$10:$B$49,B41)+SUMIFS('6-Coûts participation agri'!$AC$13:$AC$52,'6-Coûts participation agri'!$B$13:$B$52,B41)</f>
        <v>3275</v>
      </c>
      <c r="D44" s="1032">
        <f t="shared" ref="D44:D45" si="8">C44/$C$102</f>
        <v>0.18352083746021727</v>
      </c>
      <c r="E44" s="949">
        <v>1</v>
      </c>
      <c r="F44" s="950">
        <f t="shared" ref="F44" si="9">IF(E44=0,"",C44*E44)</f>
        <v>3275</v>
      </c>
      <c r="G44" s="950">
        <f>IF(C44=0,0,IF($G$17*$D$45+$O$45&gt;($C$45-$F$45),F44-(($G$17*$D$45)+$O$45-($C$45-$F$45))*(F44/$F$45),F44))</f>
        <v>2691.4791625397829</v>
      </c>
      <c r="H44" s="951">
        <f t="shared" ref="H44" si="10">IF(C44=0,0,G44/C44)</f>
        <v>0.82182569848542986</v>
      </c>
      <c r="I44" s="1247"/>
      <c r="J44" s="952">
        <f t="shared" ref="J44:J45" si="11">IF(G44=0,0,IF($I$43="Oui",G44-$D$17*((F44/$F$45)*$C$45/$C$102),G44*0.85))</f>
        <v>2324.4374876193483</v>
      </c>
      <c r="K44" s="952">
        <f t="shared" ref="K44:K45" si="12">IF(G44=0,0,IF($I$43="Oui",0.15*G44,G44-J44))</f>
        <v>403.72187438096745</v>
      </c>
      <c r="L44" s="952">
        <f t="shared" ref="L44:L45" si="13">IF(C44=0,0,IF($I$43="Oui",K44,$D$17*(F44/$F$45*$C$45/$C$102)))</f>
        <v>403.72187438096745</v>
      </c>
      <c r="M44" s="952">
        <f t="shared" ref="M44" si="14">IF(K44="",0,K44-L44)</f>
        <v>0</v>
      </c>
      <c r="N44" s="952">
        <f t="shared" ref="N44:N45" si="15">IF($F$45=0,0,IF($D$17=0,0,(F44/$F$45*$C$45/$C$102)*$D$17-L44))</f>
        <v>-36.68019946053289</v>
      </c>
      <c r="O44" s="952">
        <f>SUMIFS('2-Contributions en nature'!$S$10:$S$109,'2-Contributions en nature'!$B$10:$B$109,B41)</f>
        <v>400</v>
      </c>
      <c r="P44" s="1033">
        <f t="shared" ref="P44:P45" si="16">IFERROR(C44-J44-K44-N44-O44-($G$17*C44/$C$45*$C$45/$C$102),0)</f>
        <v>-8.5265128291212022E-14</v>
      </c>
      <c r="R44" s="1034"/>
      <c r="W44" s="1041"/>
      <c r="X44" s="1042"/>
      <c r="Y44" s="1042"/>
      <c r="Z44" s="1042"/>
      <c r="AA44" s="1042"/>
      <c r="AB44" s="1042"/>
      <c r="AC44" s="1042"/>
      <c r="AD44" s="1042"/>
      <c r="AE44" s="1042"/>
    </row>
    <row r="45" spans="1:31" s="1034" customFormat="1" ht="48.6" customHeight="1" thickBot="1">
      <c r="B45" s="1035" t="s">
        <v>556</v>
      </c>
      <c r="C45" s="1036">
        <f>IF($A$7=0,"",SUM(C43:C44))</f>
        <v>3275</v>
      </c>
      <c r="D45" s="1134">
        <f t="shared" si="8"/>
        <v>0.18352083746021727</v>
      </c>
      <c r="E45" s="953"/>
      <c r="F45" s="954">
        <f>SUM(F43:F44)</f>
        <v>3275</v>
      </c>
      <c r="G45" s="954">
        <f>SUM(G43:G44)</f>
        <v>2691.4791625397829</v>
      </c>
      <c r="H45" s="955">
        <f>IF(C45=0,0,G45/C45)</f>
        <v>0.82182569848542986</v>
      </c>
      <c r="I45" s="1037"/>
      <c r="J45" s="956">
        <f t="shared" si="11"/>
        <v>2324.4374876193483</v>
      </c>
      <c r="K45" s="956">
        <f t="shared" si="12"/>
        <v>403.72187438096745</v>
      </c>
      <c r="L45" s="956">
        <f t="shared" si="13"/>
        <v>403.72187438096745</v>
      </c>
      <c r="M45" s="956">
        <f>SUM(M43:M44)</f>
        <v>0</v>
      </c>
      <c r="N45" s="956">
        <f t="shared" si="15"/>
        <v>-36.68019946053289</v>
      </c>
      <c r="O45" s="956">
        <f>SUM(O43:O44)</f>
        <v>400</v>
      </c>
      <c r="P45" s="1135">
        <f t="shared" si="16"/>
        <v>-8.5265128291212022E-14</v>
      </c>
    </row>
    <row r="46" spans="1:31" s="1140" customFormat="1" ht="20.100000000000001" thickBot="1">
      <c r="B46" s="1141"/>
      <c r="N46" s="1088"/>
      <c r="O46" s="1088"/>
      <c r="P46" s="1088"/>
      <c r="Q46" s="1088"/>
      <c r="R46" s="1088"/>
      <c r="S46" s="1088"/>
      <c r="T46" s="1088"/>
      <c r="U46" s="1088"/>
    </row>
    <row r="47" spans="1:31" s="346" customFormat="1" ht="15.95" customHeight="1" thickBot="1">
      <c r="B47" s="1568" t="s">
        <v>13</v>
      </c>
      <c r="C47" s="1569"/>
      <c r="D47" s="1569"/>
      <c r="E47" s="1569"/>
      <c r="F47" s="1569"/>
      <c r="G47" s="1569"/>
      <c r="H47" s="1569"/>
      <c r="I47" s="1569"/>
      <c r="J47" s="1569"/>
      <c r="K47" s="1569"/>
      <c r="L47" s="1569"/>
      <c r="M47" s="1569"/>
      <c r="N47" s="1569"/>
      <c r="O47" s="1569"/>
      <c r="P47" s="1570"/>
      <c r="W47" s="1041"/>
      <c r="X47" s="1042"/>
      <c r="Y47" s="1042"/>
      <c r="Z47" s="1042"/>
      <c r="AA47" s="1042"/>
      <c r="AB47" s="1042"/>
      <c r="AC47" s="1042"/>
      <c r="AD47" s="1042"/>
      <c r="AE47" s="1042"/>
    </row>
    <row r="48" spans="1:31" s="346" customFormat="1" ht="134.44999999999999" customHeight="1" thickBot="1">
      <c r="A48" s="1126" t="s">
        <v>544</v>
      </c>
      <c r="B48" s="1121" t="s">
        <v>38</v>
      </c>
      <c r="C48" s="1122" t="s">
        <v>228</v>
      </c>
      <c r="D48" s="1122" t="s">
        <v>545</v>
      </c>
      <c r="E48" s="1122" t="s">
        <v>546</v>
      </c>
      <c r="F48" s="1122" t="s">
        <v>547</v>
      </c>
      <c r="G48" s="1123" t="s">
        <v>548</v>
      </c>
      <c r="H48" s="1123" t="s">
        <v>549</v>
      </c>
      <c r="I48" s="1124" t="s">
        <v>550</v>
      </c>
      <c r="J48" s="1122" t="s">
        <v>518</v>
      </c>
      <c r="K48" s="1122" t="s">
        <v>551</v>
      </c>
      <c r="L48" s="1122" t="s">
        <v>522</v>
      </c>
      <c r="M48" s="1122" t="s">
        <v>523</v>
      </c>
      <c r="N48" s="1122" t="s">
        <v>524</v>
      </c>
      <c r="O48" s="1122" t="s">
        <v>552</v>
      </c>
      <c r="P48" s="1125" t="s">
        <v>553</v>
      </c>
      <c r="W48" s="1041"/>
      <c r="X48" s="1042"/>
      <c r="Y48" s="1042"/>
      <c r="Z48" s="1042"/>
      <c r="AA48" s="1042"/>
      <c r="AB48" s="1042"/>
      <c r="AC48" s="1042"/>
      <c r="AD48" s="1042"/>
      <c r="AE48" s="1042"/>
    </row>
    <row r="49" spans="1:31" s="346" customFormat="1" ht="14.45" customHeight="1">
      <c r="A49" s="1136" t="s">
        <v>554</v>
      </c>
      <c r="B49" s="1571" t="s">
        <v>43</v>
      </c>
      <c r="C49" s="1138">
        <f>SUMIFS('1.1-Investissements'!$BA$10:$BA$109,'1.1-Investissements'!$AC$10:$AC$109,"Oui",'1.1-Investissements'!$B$10:$B$109,B47)+SUMIFS('1.2-Amortissements'!$AF$10:$AF$109,'1.2-Amortissements'!$D$10:$D$109,"Oui",'1.2-Amortissements'!$B$10:$B$109,B47)</f>
        <v>0</v>
      </c>
      <c r="D49" s="1026">
        <f>C49/$C$102</f>
        <v>0</v>
      </c>
      <c r="E49" s="1027">
        <v>0.8</v>
      </c>
      <c r="F49" s="1028">
        <f>IF(E49=0,"",C49*E49)</f>
        <v>0</v>
      </c>
      <c r="G49" s="1028">
        <f>IF(C49=0,0,IF($G$17*$D$51+$O$51&gt;($C$51-$F$51),F49-(($G$17*$D$51)+$O$51-($C$51-$F$51))*(F49/$F$51),F49))</f>
        <v>0</v>
      </c>
      <c r="H49" s="1029">
        <f>IF(C49=0,0,G49/C49)</f>
        <v>0</v>
      </c>
      <c r="I49" s="1246" t="str">
        <f>$K$25</f>
        <v>Oui</v>
      </c>
      <c r="J49" s="1030">
        <f>IF(G49=0,0,IF($I$49="Oui",G49-$D$17*((F49/$F$51)*$C$51/$C$102),G49*0.85))</f>
        <v>0</v>
      </c>
      <c r="K49" s="1030">
        <f>IF(G49=0,0,IF($I$49="Oui",0.15*G49,G49-J49))</f>
        <v>0</v>
      </c>
      <c r="L49" s="1030">
        <f>IF(C49=0,0,IF($I$49="Oui",K49,$D$17*(F49/$F$51*$C$51/$C$102)))</f>
        <v>0</v>
      </c>
      <c r="M49" s="1030">
        <f>IF(K49="",0,K49-L49)</f>
        <v>0</v>
      </c>
      <c r="N49" s="1030">
        <f>IF($F$51=0,0,IF($D$17=0,0,(F49/$F$51*$C$51/$C$102)*$D$17-L49))</f>
        <v>0</v>
      </c>
      <c r="O49" s="1030">
        <v>0</v>
      </c>
      <c r="P49" s="1031">
        <f>IFERROR(C49-J49-K49-N49-O49-($G$17*C49/$C$51*$C$51/$C$102),0)</f>
        <v>0</v>
      </c>
      <c r="W49" s="1041"/>
      <c r="X49" s="1042"/>
      <c r="Y49" s="1042"/>
      <c r="Z49" s="1042"/>
      <c r="AA49" s="1042"/>
      <c r="AB49" s="1042"/>
      <c r="AC49" s="1042"/>
      <c r="AD49" s="1042"/>
      <c r="AE49" s="1042"/>
    </row>
    <row r="50" spans="1:31" s="346" customFormat="1" ht="14.1" customHeight="1" thickBot="1">
      <c r="A50" s="1137" t="s">
        <v>555</v>
      </c>
      <c r="B50" s="1572"/>
      <c r="C50" s="1139">
        <f>SUMIFS('1.1-Investissements'!$BA$10:$BA$109,'1.1-Investissements'!$AC$10:$AC$109,"Non",'1.1-Investissements'!$B$10:$B$109,B47)+SUMIFS('1.2-Amortissements'!$AF$10:$AF$109,'1.2-Amortissements'!$D$10:$D$109,"Non",'1.2-Amortissements'!$B$10:$B$109,B47)+SUMIFS('2-Contributions en nature'!$S$10:$S$109,'2-Contributions en nature'!$B$10:$B$109,B47)+SUMIFS('3-Frais de personnel'!$AD$10:$AD$109,'3-Frais de personnel'!$B$10:$B$109,B47)+SUMIFS('4-TF coûts indirects'!$O$10:$O$20,'4-TF coûts indirects'!$B$10:$B$20,B47)+SUMIFS('5-Déplacements &amp; hébergements'!$BQ$10:$BQ$49,'5-Déplacements &amp; hébergements'!$B$10:$B$49,B47)+SUMIFS('6-Coûts participation agri'!$AC$13:$AC$52,'6-Coûts participation agri'!$B$13:$B$52,B47)</f>
        <v>1100</v>
      </c>
      <c r="D50" s="1032">
        <f t="shared" ref="D50:D51" si="17">C50/$C$102</f>
        <v>6.1640586627859241E-2</v>
      </c>
      <c r="E50" s="949">
        <v>1</v>
      </c>
      <c r="F50" s="950">
        <f t="shared" ref="F50" si="18">IF(E50=0,"",C50*E50)</f>
        <v>1100</v>
      </c>
      <c r="G50" s="950">
        <f>IF(C50=0,0,IF($G$17*$D$51+$O$51&gt;($C$51-$F$51),F50-(($G$17*$D$51)+$O$51-($C$51-$F$51))*(F50/$F$51),F50))</f>
        <v>1038.3594133721408</v>
      </c>
      <c r="H50" s="951">
        <f t="shared" ref="H50" si="19">IF(C50=0,0,G50/C50)</f>
        <v>0.94396310306558251</v>
      </c>
      <c r="I50" s="1247"/>
      <c r="J50" s="952">
        <f t="shared" ref="J50:J51" si="20">IF(G50=0,0,IF($I$49="Oui",G50-$D$17*((F50/$F$51)*$C$51/$C$102),G50*0.85))</f>
        <v>915.07824011642231</v>
      </c>
      <c r="K50" s="952">
        <f t="shared" ref="K50:K51" si="21">IF(G50=0,0,IF($I$49="Oui",0.15*G50,G50-J50))</f>
        <v>155.75391200582112</v>
      </c>
      <c r="L50" s="952">
        <f t="shared" ref="L50:L51" si="22">IF(C50=0,0,IF($I$49="Oui",K50,$D$17*(F50/$F$51*$C$51/$C$102)))</f>
        <v>155.75391200582112</v>
      </c>
      <c r="M50" s="952">
        <f t="shared" ref="M50" si="23">IF(K50="",0,K50-L50)</f>
        <v>0</v>
      </c>
      <c r="N50" s="952">
        <f t="shared" ref="N50:N51" si="24">IF($F$51=0,0,IF($D$17=0,0,(F50/$F$51*$C$51/$C$102)*$D$17-L50))</f>
        <v>-32.472738750102636</v>
      </c>
      <c r="O50" s="952">
        <f>SUMIFS('2-Contributions en nature'!$S$10:$S$109,'2-Contributions en nature'!$B$10:$B$109,B47)</f>
        <v>0</v>
      </c>
      <c r="P50" s="1033">
        <f t="shared" ref="P50:P51" si="25">IFERROR(C50-J50-K50-N50-O50-($G$17*C50/$C$51*$C$51/$C$102),0)</f>
        <v>-3.5527136788005009E-14</v>
      </c>
      <c r="W50" s="1041"/>
      <c r="X50" s="1042"/>
      <c r="Y50" s="1042"/>
      <c r="Z50" s="1042"/>
      <c r="AA50" s="1042"/>
      <c r="AB50" s="1042"/>
      <c r="AC50" s="1042"/>
      <c r="AD50" s="1042"/>
      <c r="AE50" s="1042"/>
    </row>
    <row r="51" spans="1:31" s="1034" customFormat="1" ht="48.6" customHeight="1" thickBot="1">
      <c r="B51" s="1035" t="s">
        <v>556</v>
      </c>
      <c r="C51" s="1036">
        <f>IF($A$7=0,"",SUM(C49:C50))</f>
        <v>1100</v>
      </c>
      <c r="D51" s="1134">
        <f t="shared" si="17"/>
        <v>6.1640586627859241E-2</v>
      </c>
      <c r="E51" s="953"/>
      <c r="F51" s="954">
        <f>SUM(F49:F50)</f>
        <v>1100</v>
      </c>
      <c r="G51" s="954">
        <f>SUM(G49:G50)</f>
        <v>1038.3594133721408</v>
      </c>
      <c r="H51" s="955">
        <f>IF(C51=0,0,G51/C51)</f>
        <v>0.94396310306558251</v>
      </c>
      <c r="I51" s="1037"/>
      <c r="J51" s="956">
        <f t="shared" si="20"/>
        <v>915.07824011642231</v>
      </c>
      <c r="K51" s="956">
        <f t="shared" si="21"/>
        <v>155.75391200582112</v>
      </c>
      <c r="L51" s="956">
        <f t="shared" si="22"/>
        <v>155.75391200582112</v>
      </c>
      <c r="M51" s="956">
        <f>SUM(M49:M50)</f>
        <v>0</v>
      </c>
      <c r="N51" s="956">
        <f t="shared" si="24"/>
        <v>-32.472738750102636</v>
      </c>
      <c r="O51" s="956">
        <f>SUM(O49:O50)</f>
        <v>0</v>
      </c>
      <c r="P51" s="1135">
        <f t="shared" si="25"/>
        <v>-3.5527136788005009E-14</v>
      </c>
    </row>
    <row r="52" spans="1:31" s="1140" customFormat="1" ht="20.100000000000001" thickBot="1">
      <c r="B52" s="1141"/>
      <c r="N52" s="1088"/>
      <c r="O52" s="1088"/>
      <c r="P52" s="1088"/>
      <c r="Q52" s="1088"/>
      <c r="R52" s="1088"/>
      <c r="S52" s="1088"/>
      <c r="T52" s="1088"/>
      <c r="U52" s="1088"/>
    </row>
    <row r="53" spans="1:31" s="346" customFormat="1" ht="15.95" customHeight="1" thickBot="1">
      <c r="B53" s="1568" t="s">
        <v>14</v>
      </c>
      <c r="C53" s="1569"/>
      <c r="D53" s="1569"/>
      <c r="E53" s="1569"/>
      <c r="F53" s="1569"/>
      <c r="G53" s="1569"/>
      <c r="H53" s="1569"/>
      <c r="I53" s="1569"/>
      <c r="J53" s="1569"/>
      <c r="K53" s="1569"/>
      <c r="L53" s="1569"/>
      <c r="M53" s="1569"/>
      <c r="N53" s="1569"/>
      <c r="O53" s="1569"/>
      <c r="P53" s="1570"/>
      <c r="W53" s="1041"/>
      <c r="X53" s="1042"/>
      <c r="Y53" s="1042"/>
      <c r="Z53" s="1042"/>
      <c r="AA53" s="1042"/>
      <c r="AB53" s="1042"/>
      <c r="AC53" s="1042"/>
      <c r="AD53" s="1042"/>
      <c r="AE53" s="1042"/>
    </row>
    <row r="54" spans="1:31" s="346" customFormat="1" ht="134.44999999999999" customHeight="1" thickBot="1">
      <c r="A54" s="1126" t="s">
        <v>544</v>
      </c>
      <c r="B54" s="1121" t="s">
        <v>38</v>
      </c>
      <c r="C54" s="1122" t="s">
        <v>228</v>
      </c>
      <c r="D54" s="1122" t="s">
        <v>545</v>
      </c>
      <c r="E54" s="1122" t="s">
        <v>546</v>
      </c>
      <c r="F54" s="1122" t="s">
        <v>547</v>
      </c>
      <c r="G54" s="1123" t="s">
        <v>548</v>
      </c>
      <c r="H54" s="1123" t="s">
        <v>549</v>
      </c>
      <c r="I54" s="1124" t="s">
        <v>550</v>
      </c>
      <c r="J54" s="1122" t="s">
        <v>518</v>
      </c>
      <c r="K54" s="1122" t="s">
        <v>551</v>
      </c>
      <c r="L54" s="1122" t="s">
        <v>522</v>
      </c>
      <c r="M54" s="1122" t="s">
        <v>523</v>
      </c>
      <c r="N54" s="1122" t="s">
        <v>524</v>
      </c>
      <c r="O54" s="1122" t="s">
        <v>552</v>
      </c>
      <c r="P54" s="1125" t="s">
        <v>553</v>
      </c>
      <c r="W54" s="1041"/>
      <c r="X54" s="1042"/>
      <c r="Y54" s="1042"/>
      <c r="Z54" s="1042"/>
      <c r="AA54" s="1042"/>
      <c r="AB54" s="1042"/>
      <c r="AC54" s="1042"/>
      <c r="AD54" s="1042"/>
      <c r="AE54" s="1042"/>
    </row>
    <row r="55" spans="1:31" s="346" customFormat="1" ht="14.45" customHeight="1">
      <c r="A55" s="1136" t="s">
        <v>554</v>
      </c>
      <c r="B55" s="1571" t="s">
        <v>43</v>
      </c>
      <c r="C55" s="1138">
        <f>SUMIFS('1.1-Investissements'!$BA$10:$BA$109,'1.1-Investissements'!$AC$10:$AC$109,"Oui",'1.1-Investissements'!$B$10:$B$109,B53)+SUMIFS('1.2-Amortissements'!$AF$10:$AF$109,'1.2-Amortissements'!$D$10:$D$109,"Oui",'1.2-Amortissements'!$B$10:$B$109,B53)</f>
        <v>0</v>
      </c>
      <c r="D55" s="1026">
        <f>C55/$C$102</f>
        <v>0</v>
      </c>
      <c r="E55" s="1027">
        <v>0.8</v>
      </c>
      <c r="F55" s="1028">
        <f>IF(E55=0,"",C55*E55)</f>
        <v>0</v>
      </c>
      <c r="G55" s="1028">
        <f>IF(C55=0,0,IF($G$17*$D$57+$O$57&gt;($C$57-$F$57),F55-(($G$17*$D$57)+$O$57-($C$57-$F$57))*(F55/$F$57),F55))</f>
        <v>0</v>
      </c>
      <c r="H55" s="1029">
        <f>IF(C55=0,0,G55/C55)</f>
        <v>0</v>
      </c>
      <c r="I55" s="1246" t="str">
        <f>$K$25</f>
        <v>Oui</v>
      </c>
      <c r="J55" s="1030">
        <f>IF(G55=0,0,IF($I$55="Oui",G55-$D$17*((F55/$F$57)*$C$57/$C$102),G55*0.85))</f>
        <v>0</v>
      </c>
      <c r="K55" s="1030">
        <f>IF(G55=0,0,IF($I$55="Oui",0.15*G55,G55-J55))</f>
        <v>0</v>
      </c>
      <c r="L55" s="1030">
        <f>IF(C55=0,0,IF($I$55="Oui",K55,$D$17*(F55/$F$57*$C$57/$C$102)))</f>
        <v>0</v>
      </c>
      <c r="M55" s="1030">
        <f>IF(K55="",0,K55-L55)</f>
        <v>0</v>
      </c>
      <c r="N55" s="1030">
        <f>IF($F$57=0,0,IF($D$17=0,0,(F55/$F$57*$C$57/$C$102)*$D$17-L55))</f>
        <v>0</v>
      </c>
      <c r="O55" s="1030">
        <v>0</v>
      </c>
      <c r="P55" s="1031">
        <f>IFERROR(C55-J55-K55-N55-O55-($G$17*C55/$C$57*$C$57/$C$102),0)</f>
        <v>0</v>
      </c>
      <c r="W55" s="1041"/>
      <c r="X55" s="1042"/>
      <c r="Y55" s="1042"/>
      <c r="Z55" s="1042"/>
      <c r="AA55" s="1042"/>
      <c r="AB55" s="1042"/>
      <c r="AC55" s="1042"/>
      <c r="AD55" s="1042"/>
      <c r="AE55" s="1042"/>
    </row>
    <row r="56" spans="1:31" s="346" customFormat="1" ht="14.1" customHeight="1" thickBot="1">
      <c r="A56" s="1137" t="s">
        <v>555</v>
      </c>
      <c r="B56" s="1572"/>
      <c r="C56" s="1139">
        <f>SUMIFS('1.1-Investissements'!$BA$10:$BA$109,'1.1-Investissements'!$AC$10:$AC$109,"Non",'1.1-Investissements'!$B$10:$B$109,B53)+SUMIFS('1.2-Amortissements'!$AF$10:$AF$109,'1.2-Amortissements'!$D$10:$D$109,"Non",'1.2-Amortissements'!$B$10:$B$109,B53)+SUMIFS('2-Contributions en nature'!$S$10:$S$109,'2-Contributions en nature'!$B$10:$B$109,B53)+SUMIFS('3-Frais de personnel'!$AD$10:$AD$109,'3-Frais de personnel'!$B$10:$B$109,B53)+SUMIFS('4-TF coûts indirects'!$O$10:$O$20,'4-TF coûts indirects'!$B$10:$B$20,B53)+SUMIFS('5-Déplacements &amp; hébergements'!$BQ$10:$BQ$49,'5-Déplacements &amp; hébergements'!$B$10:$B$49,B53)+SUMIFS('6-Coûts participation agri'!$AC$13:$AC$52,'6-Coûts participation agri'!$B$13:$B$52,B53)</f>
        <v>0</v>
      </c>
      <c r="D56" s="1032">
        <f t="shared" ref="D56:D57" si="26">C56/$C$102</f>
        <v>0</v>
      </c>
      <c r="E56" s="949">
        <v>1</v>
      </c>
      <c r="F56" s="950">
        <f t="shared" ref="F56" si="27">IF(E56=0,"",C56*E56)</f>
        <v>0</v>
      </c>
      <c r="G56" s="950">
        <f>IF(C56=0,0,IF($G$17*$D$57+$O$57&gt;($C$57-$F$57),F56-(($G$17*$D$57)+$O$57-($C$57-$F$57))*(F56/$F$57),F56))</f>
        <v>0</v>
      </c>
      <c r="H56" s="951">
        <f t="shared" ref="H56" si="28">IF(C56=0,0,G56/C56)</f>
        <v>0</v>
      </c>
      <c r="I56" s="1247"/>
      <c r="J56" s="952">
        <f t="shared" ref="J56:J57" si="29">IF(G56=0,0,IF($I$55="Oui",G56-$D$17*((F56/$F$57)*$C$57/$C$102),G56*0.85))</f>
        <v>0</v>
      </c>
      <c r="K56" s="952">
        <f t="shared" ref="K56:K57" si="30">IF(G56=0,0,IF($I$55="Oui",0.15*G56,G56-J56))</f>
        <v>0</v>
      </c>
      <c r="L56" s="952">
        <f t="shared" ref="L56:L57" si="31">IF(C56=0,0,IF($I$55="Oui",K56,$D$17*(F56/$F$57*$C$57/$C$102)))</f>
        <v>0</v>
      </c>
      <c r="M56" s="952">
        <f t="shared" ref="M56" si="32">IF(K56="",0,K56-L56)</f>
        <v>0</v>
      </c>
      <c r="N56" s="952">
        <f t="shared" ref="N56:N57" si="33">IF($F$57=0,0,IF($D$17=0,0,(F56/$F$57*$C$57/$C$102)*$D$17-L56))</f>
        <v>0</v>
      </c>
      <c r="O56" s="952">
        <f>SUMIFS('2-Contributions en nature'!$S$10:$S$109,'2-Contributions en nature'!$B$10:$B$109,B53)</f>
        <v>0</v>
      </c>
      <c r="P56" s="1033">
        <f t="shared" ref="P56:P57" si="34">IFERROR(C56-J56-K56-N56-O56-($G$17*C56/$C$57*$C$57/$C$102),0)</f>
        <v>0</v>
      </c>
      <c r="W56" s="1041"/>
      <c r="X56" s="1042"/>
      <c r="Y56" s="1042"/>
      <c r="Z56" s="1042"/>
      <c r="AA56" s="1042"/>
      <c r="AB56" s="1042"/>
      <c r="AC56" s="1042"/>
      <c r="AD56" s="1042"/>
      <c r="AE56" s="1042"/>
    </row>
    <row r="57" spans="1:31" s="1034" customFormat="1" ht="48.6" customHeight="1" thickBot="1">
      <c r="B57" s="1035" t="s">
        <v>556</v>
      </c>
      <c r="C57" s="1036">
        <f>IF($A$7=0,"",SUM(C55:C56))</f>
        <v>0</v>
      </c>
      <c r="D57" s="1134">
        <f t="shared" si="26"/>
        <v>0</v>
      </c>
      <c r="E57" s="953"/>
      <c r="F57" s="954">
        <f>SUM(F55:F56)</f>
        <v>0</v>
      </c>
      <c r="G57" s="954">
        <f>SUM(G55:G56)</f>
        <v>0</v>
      </c>
      <c r="H57" s="955">
        <f>IF(C57=0,0,G57/C57)</f>
        <v>0</v>
      </c>
      <c r="I57" s="1037"/>
      <c r="J57" s="956">
        <f t="shared" si="29"/>
        <v>0</v>
      </c>
      <c r="K57" s="956">
        <f t="shared" si="30"/>
        <v>0</v>
      </c>
      <c r="L57" s="956">
        <f t="shared" si="31"/>
        <v>0</v>
      </c>
      <c r="M57" s="956">
        <f>SUM(M55:M56)</f>
        <v>0</v>
      </c>
      <c r="N57" s="956">
        <f t="shared" si="33"/>
        <v>0</v>
      </c>
      <c r="O57" s="956">
        <f>SUM(O55:O56)</f>
        <v>0</v>
      </c>
      <c r="P57" s="1135">
        <f t="shared" si="34"/>
        <v>0</v>
      </c>
    </row>
    <row r="58" spans="1:31" s="65" customFormat="1" ht="20.100000000000001" thickBot="1">
      <c r="B58" s="667"/>
      <c r="N58" s="47"/>
      <c r="O58" s="47"/>
      <c r="P58" s="47"/>
      <c r="Q58" s="47"/>
      <c r="R58" s="47"/>
      <c r="S58" s="47"/>
      <c r="T58" s="47"/>
      <c r="U58" s="47"/>
    </row>
    <row r="59" spans="1:31" ht="15.95" customHeight="1" thickBot="1">
      <c r="A59" s="346"/>
      <c r="B59" s="1568" t="s">
        <v>15</v>
      </c>
      <c r="C59" s="1569"/>
      <c r="D59" s="1569"/>
      <c r="E59" s="1569"/>
      <c r="F59" s="1569"/>
      <c r="G59" s="1569"/>
      <c r="H59" s="1569"/>
      <c r="I59" s="1569"/>
      <c r="J59" s="1569"/>
      <c r="K59" s="1569"/>
      <c r="L59" s="1569"/>
      <c r="M59" s="1569"/>
      <c r="N59" s="1569"/>
      <c r="O59" s="1569"/>
      <c r="P59" s="1570"/>
      <c r="Q59"/>
      <c r="W59" s="1041"/>
      <c r="X59" s="1042"/>
      <c r="Y59" s="1042"/>
      <c r="Z59" s="1042"/>
      <c r="AA59" s="1042"/>
      <c r="AB59" s="1042"/>
      <c r="AC59" s="1042"/>
      <c r="AD59" s="1042"/>
      <c r="AE59" s="1042"/>
    </row>
    <row r="60" spans="1:31" ht="134.44999999999999" customHeight="1" thickBot="1">
      <c r="A60" s="1126" t="s">
        <v>544</v>
      </c>
      <c r="B60" s="1121" t="s">
        <v>38</v>
      </c>
      <c r="C60" s="1122" t="s">
        <v>228</v>
      </c>
      <c r="D60" s="1122" t="s">
        <v>545</v>
      </c>
      <c r="E60" s="1122" t="s">
        <v>546</v>
      </c>
      <c r="F60" s="1122" t="s">
        <v>547</v>
      </c>
      <c r="G60" s="1123" t="s">
        <v>548</v>
      </c>
      <c r="H60" s="1123" t="s">
        <v>549</v>
      </c>
      <c r="I60" s="1124" t="s">
        <v>550</v>
      </c>
      <c r="J60" s="1122" t="s">
        <v>518</v>
      </c>
      <c r="K60" s="1122" t="s">
        <v>551</v>
      </c>
      <c r="L60" s="1122" t="s">
        <v>522</v>
      </c>
      <c r="M60" s="1122" t="s">
        <v>523</v>
      </c>
      <c r="N60" s="1122" t="s">
        <v>524</v>
      </c>
      <c r="O60" s="1122" t="s">
        <v>552</v>
      </c>
      <c r="P60" s="1125" t="s">
        <v>553</v>
      </c>
      <c r="Q60"/>
      <c r="W60" s="1041"/>
      <c r="X60" s="1042"/>
      <c r="Y60" s="1042"/>
      <c r="Z60" s="1042"/>
      <c r="AA60" s="1042"/>
      <c r="AB60" s="1042"/>
      <c r="AC60" s="1042"/>
      <c r="AD60" s="1042"/>
      <c r="AE60" s="1042"/>
    </row>
    <row r="61" spans="1:31" ht="14.45" customHeight="1">
      <c r="A61" s="1136" t="s">
        <v>554</v>
      </c>
      <c r="B61" s="1571" t="s">
        <v>43</v>
      </c>
      <c r="C61" s="1138">
        <f>SUMIFS('1.1-Investissements'!$BA$10:$BA$109,'1.1-Investissements'!$AC$10:$AC$109,"Oui",'1.1-Investissements'!$B$10:$B$109,B59)+SUMIFS('1.2-Amortissements'!$AF$10:$AF$109,'1.2-Amortissements'!$D$10:$D$109,"Oui",'1.2-Amortissements'!$B$10:$B$109,B59)</f>
        <v>0</v>
      </c>
      <c r="D61" s="1026">
        <f>C61/$C$102</f>
        <v>0</v>
      </c>
      <c r="E61" s="1027">
        <v>0.8</v>
      </c>
      <c r="F61" s="1028">
        <f>IF(E61=0,"",C61*E61)</f>
        <v>0</v>
      </c>
      <c r="G61" s="1028">
        <f>IF(C61=0,0,IF($G$17*$D$63+$O$63&gt;($C$63-$F$63),F61-(($G$17*$D$63)+$O$63-($C$63-$F$63))*(F61/$F$63),F61))</f>
        <v>0</v>
      </c>
      <c r="H61" s="1029">
        <f>IF(C61=0,0,G61/C61)</f>
        <v>0</v>
      </c>
      <c r="I61" s="1246" t="str">
        <f>$K$25</f>
        <v>Oui</v>
      </c>
      <c r="J61" s="1030">
        <f>IF(G61=0,0,IF($I$61="Oui",G61-$D$17*((F61/$F$63)*$C$63/$C$102),G61*0.85))</f>
        <v>0</v>
      </c>
      <c r="K61" s="1030">
        <f>IF(G61=0,0,IF($I$61="Oui",0.15*G61,G61-J61))</f>
        <v>0</v>
      </c>
      <c r="L61" s="1030">
        <f>IF(C61=0,0,IF($I$61="Oui",K61,$D$17*(F61/$F$63*$C$63/$C$102)))</f>
        <v>0</v>
      </c>
      <c r="M61" s="1030">
        <f>IF(K61="",0,K61-L61)</f>
        <v>0</v>
      </c>
      <c r="N61" s="1030">
        <f>IF($F$63=0,0,IF($D$17=0,0,(F61/$F$63*$C$63/$C$102)*$D$17-L61))</f>
        <v>0</v>
      </c>
      <c r="O61" s="1030">
        <v>0</v>
      </c>
      <c r="P61" s="1031">
        <f>IFERROR(C61-J61-K61-N61-O61-($G$17*C61/$C$63*$C$63/$C$102),0)</f>
        <v>0</v>
      </c>
      <c r="Q61"/>
      <c r="W61" s="1041"/>
      <c r="X61" s="1042"/>
      <c r="Y61" s="1042"/>
      <c r="Z61" s="1042"/>
      <c r="AA61" s="1042"/>
      <c r="AB61" s="1042"/>
      <c r="AC61" s="1042"/>
      <c r="AD61" s="1042"/>
      <c r="AE61" s="1042"/>
    </row>
    <row r="62" spans="1:31" ht="14.1" customHeight="1" thickBot="1">
      <c r="A62" s="1137" t="s">
        <v>555</v>
      </c>
      <c r="B62" s="1572"/>
      <c r="C62" s="1139">
        <f>SUMIFS('1.1-Investissements'!$BA$10:$BA$109,'1.1-Investissements'!$AC$10:$AC$109,"Non",'1.1-Investissements'!$B$10:$B$109,B59)+SUMIFS('1.2-Amortissements'!$AF$10:$AF$109,'1.2-Amortissements'!$D$10:$D$109,"Non",'1.2-Amortissements'!$B$10:$B$109,B59)+SUMIFS('2-Contributions en nature'!$S$10:$S$109,'2-Contributions en nature'!$B$10:$B$109,B59)+SUMIFS('3-Frais de personnel'!$AD$10:$AD$109,'3-Frais de personnel'!$B$10:$B$109,B59)+SUMIFS('4-TF coûts indirects'!$O$10:$O$20,'4-TF coûts indirects'!$B$10:$B$20,B59)+SUMIFS('5-Déplacements &amp; hébergements'!$BQ$10:$BQ$49,'5-Déplacements &amp; hébergements'!$B$10:$B$49,B59)+SUMIFS('6-Coûts participation agri'!$AC$13:$AC$52,'6-Coûts participation agri'!$B$13:$B$52,B59)</f>
        <v>0</v>
      </c>
      <c r="D62" s="1032">
        <f t="shared" ref="D62:D63" si="35">C62/$C$102</f>
        <v>0</v>
      </c>
      <c r="E62" s="949">
        <v>1</v>
      </c>
      <c r="F62" s="950">
        <f t="shared" ref="F62" si="36">IF(E62=0,"",C62*E62)</f>
        <v>0</v>
      </c>
      <c r="G62" s="950">
        <f>IF(C62=0,0,IF($G$17*$D$63+$O$63&gt;($C$63-$F$63),F62-(($G$17*$D$63)+$O$63-($C$63-$F$63))*(F62/$F$63),F62))</f>
        <v>0</v>
      </c>
      <c r="H62" s="951">
        <f t="shared" ref="H62" si="37">IF(C62=0,0,G62/C62)</f>
        <v>0</v>
      </c>
      <c r="I62" s="1247"/>
      <c r="J62" s="952">
        <f t="shared" ref="J62:J63" si="38">IF(G62=0,0,IF($I$61="Oui",G62-$D$17*((F62/$F$63)*$C$63/$C$102),G62*0.85))</f>
        <v>0</v>
      </c>
      <c r="K62" s="952">
        <f t="shared" ref="K62:K63" si="39">IF(G62=0,0,IF($I$61="Oui",0.15*G62,G62-J62))</f>
        <v>0</v>
      </c>
      <c r="L62" s="952">
        <f t="shared" ref="L62:L63" si="40">IF(C62=0,0,IF($I$61="Oui",K62,$D$17*(F62/$F$63*$C$63/$C$102)))</f>
        <v>0</v>
      </c>
      <c r="M62" s="952">
        <f t="shared" ref="M62" si="41">IF(K62="",0,K62-L62)</f>
        <v>0</v>
      </c>
      <c r="N62" s="952">
        <f t="shared" ref="N62:N63" si="42">IF($F$63=0,0,IF($D$17=0,0,(F62/$F$63*$C$63/$C$102)*$D$17-L62))</f>
        <v>0</v>
      </c>
      <c r="O62" s="952">
        <f>SUMIFS('2-Contributions en nature'!$S$10:$S$109,'2-Contributions en nature'!$B$10:$B$109,B59)</f>
        <v>0</v>
      </c>
      <c r="P62" s="1033">
        <f t="shared" ref="P62:P63" si="43">IFERROR(C62-J62-K62-N62-O62-($G$17*C62/$C$63*$C$63/$C$102),0)</f>
        <v>0</v>
      </c>
      <c r="Q62"/>
      <c r="W62" s="1041"/>
      <c r="X62" s="1042"/>
      <c r="Y62" s="1042"/>
      <c r="Z62" s="1042"/>
      <c r="AA62" s="1042"/>
      <c r="AB62" s="1042"/>
      <c r="AC62" s="1042"/>
      <c r="AD62" s="1042"/>
      <c r="AE62" s="1042"/>
    </row>
    <row r="63" spans="1:31" s="1034" customFormat="1" ht="48.6" customHeight="1" thickBot="1">
      <c r="B63" s="1035" t="s">
        <v>556</v>
      </c>
      <c r="C63" s="1036">
        <f>IF($A$7=0,"",SUM(C61:C62))</f>
        <v>0</v>
      </c>
      <c r="D63" s="1134">
        <f t="shared" si="35"/>
        <v>0</v>
      </c>
      <c r="E63" s="953"/>
      <c r="F63" s="954">
        <f>SUM(F61:F62)</f>
        <v>0</v>
      </c>
      <c r="G63" s="954">
        <f>SUM(G61:G62)</f>
        <v>0</v>
      </c>
      <c r="H63" s="955">
        <f>IF(C63=0,0,G63/C63)</f>
        <v>0</v>
      </c>
      <c r="I63" s="1037"/>
      <c r="J63" s="956">
        <f t="shared" si="38"/>
        <v>0</v>
      </c>
      <c r="K63" s="956">
        <f t="shared" si="39"/>
        <v>0</v>
      </c>
      <c r="L63" s="956">
        <f t="shared" si="40"/>
        <v>0</v>
      </c>
      <c r="M63" s="956">
        <f>SUM(M61:M62)</f>
        <v>0</v>
      </c>
      <c r="N63" s="956">
        <f t="shared" si="42"/>
        <v>0</v>
      </c>
      <c r="O63" s="956">
        <f>SUM(O61:O62)</f>
        <v>0</v>
      </c>
      <c r="P63" s="1135">
        <f t="shared" si="43"/>
        <v>0</v>
      </c>
    </row>
    <row r="64" spans="1:31" s="65" customFormat="1" ht="20.100000000000001" thickBot="1">
      <c r="B64" s="667"/>
      <c r="N64" s="47"/>
      <c r="O64" s="47"/>
      <c r="P64" s="47"/>
      <c r="Q64" s="47"/>
      <c r="R64" s="47"/>
      <c r="S64" s="47"/>
      <c r="T64" s="47"/>
      <c r="U64" s="47"/>
    </row>
    <row r="65" spans="1:31" ht="15.95" customHeight="1" thickBot="1">
      <c r="A65" s="346"/>
      <c r="B65" s="1568" t="s">
        <v>16</v>
      </c>
      <c r="C65" s="1569"/>
      <c r="D65" s="1569"/>
      <c r="E65" s="1569"/>
      <c r="F65" s="1569"/>
      <c r="G65" s="1569"/>
      <c r="H65" s="1569"/>
      <c r="I65" s="1569"/>
      <c r="J65" s="1569"/>
      <c r="K65" s="1569"/>
      <c r="L65" s="1569"/>
      <c r="M65" s="1569"/>
      <c r="N65" s="1569"/>
      <c r="O65" s="1569"/>
      <c r="P65" s="1570"/>
      <c r="Q65"/>
      <c r="W65" s="1041"/>
      <c r="X65" s="1042"/>
      <c r="Y65" s="1042"/>
      <c r="Z65" s="1042"/>
      <c r="AA65" s="1042"/>
      <c r="AB65" s="1042"/>
      <c r="AC65" s="1042"/>
      <c r="AD65" s="1042"/>
      <c r="AE65" s="1042"/>
    </row>
    <row r="66" spans="1:31" ht="134.44999999999999" customHeight="1" thickBot="1">
      <c r="A66" s="1126" t="s">
        <v>544</v>
      </c>
      <c r="B66" s="1121" t="s">
        <v>38</v>
      </c>
      <c r="C66" s="1122" t="s">
        <v>228</v>
      </c>
      <c r="D66" s="1122" t="s">
        <v>545</v>
      </c>
      <c r="E66" s="1122" t="s">
        <v>546</v>
      </c>
      <c r="F66" s="1122" t="s">
        <v>547</v>
      </c>
      <c r="G66" s="1123" t="s">
        <v>548</v>
      </c>
      <c r="H66" s="1123" t="s">
        <v>549</v>
      </c>
      <c r="I66" s="1124" t="s">
        <v>550</v>
      </c>
      <c r="J66" s="1122" t="s">
        <v>518</v>
      </c>
      <c r="K66" s="1122" t="s">
        <v>551</v>
      </c>
      <c r="L66" s="1122" t="s">
        <v>522</v>
      </c>
      <c r="M66" s="1122" t="s">
        <v>523</v>
      </c>
      <c r="N66" s="1122" t="s">
        <v>524</v>
      </c>
      <c r="O66" s="1122" t="s">
        <v>552</v>
      </c>
      <c r="P66" s="1125" t="s">
        <v>553</v>
      </c>
      <c r="Q66"/>
      <c r="W66" s="1041"/>
      <c r="X66" s="1042"/>
      <c r="Y66" s="1042"/>
      <c r="Z66" s="1042"/>
      <c r="AA66" s="1042"/>
      <c r="AB66" s="1042"/>
      <c r="AC66" s="1042"/>
      <c r="AD66" s="1042"/>
      <c r="AE66" s="1042"/>
    </row>
    <row r="67" spans="1:31" ht="14.45" customHeight="1">
      <c r="A67" s="1136" t="s">
        <v>554</v>
      </c>
      <c r="B67" s="1571" t="s">
        <v>43</v>
      </c>
      <c r="C67" s="1138">
        <f>SUMIFS('1.1-Investissements'!$BA$10:$BA$109,'1.1-Investissements'!$AC$10:$AC$109,"Oui",'1.1-Investissements'!$B$10:$B$109,B65)+SUMIFS('1.2-Amortissements'!$AF$10:$AF$109,'1.2-Amortissements'!$D$10:$D$109,"Oui",'1.2-Amortissements'!$B$10:$B$109,B65)</f>
        <v>0</v>
      </c>
      <c r="D67" s="1026">
        <f>C67/$C$102</f>
        <v>0</v>
      </c>
      <c r="E67" s="1027">
        <v>0.8</v>
      </c>
      <c r="F67" s="1028">
        <f>IF(E67=0,"",C67*E67)</f>
        <v>0</v>
      </c>
      <c r="G67" s="1028">
        <f>IF(C67=0,0,IF($G$17*$D$69+$O$69&gt;($C$69-$F$69),F67-(($G$17*$D$69)+$O$69-($C$69-$F$69))*(F67/$F$69),F67))</f>
        <v>0</v>
      </c>
      <c r="H67" s="1029">
        <f>IF(C67=0,0,G67/C67)</f>
        <v>0</v>
      </c>
      <c r="I67" s="1246" t="str">
        <f>$K$25</f>
        <v>Oui</v>
      </c>
      <c r="J67" s="1030">
        <f>IF(G67=0,0,IF($I$67="Oui",G67-$D$17*((F67/$F$69)*$C$69/$C$102),G67*0.85))</f>
        <v>0</v>
      </c>
      <c r="K67" s="1030">
        <f>IF(G67=0,0,IF($I$67="Oui",0.15*G67,G67-J67))</f>
        <v>0</v>
      </c>
      <c r="L67" s="1030">
        <f>IF(C67=0,0,IF($I$67="Oui",K67,$D$17*(F67/$F$69*$C$69/$C$102)))</f>
        <v>0</v>
      </c>
      <c r="M67" s="1030">
        <f>IF(K67="",0,K67-L67)</f>
        <v>0</v>
      </c>
      <c r="N67" s="1030">
        <f>IF($F$69=0,0,IF($D$17=0,0,(F67/$F$69*$C$69/$C$102)*$D$17-L67))</f>
        <v>0</v>
      </c>
      <c r="O67" s="1030">
        <v>0</v>
      </c>
      <c r="P67" s="1031">
        <f>IFERROR(C67-J67-K67-N67-O67-($G$17*C67/$C$69*$C$69/$C$102),0)</f>
        <v>0</v>
      </c>
      <c r="Q67"/>
      <c r="W67" s="1041"/>
      <c r="X67" s="1042"/>
      <c r="Y67" s="1042"/>
      <c r="Z67" s="1042"/>
      <c r="AA67" s="1042"/>
      <c r="AB67" s="1042"/>
      <c r="AC67" s="1042"/>
      <c r="AD67" s="1042"/>
      <c r="AE67" s="1042"/>
    </row>
    <row r="68" spans="1:31" ht="14.1" customHeight="1" thickBot="1">
      <c r="A68" s="1137" t="s">
        <v>555</v>
      </c>
      <c r="B68" s="1572"/>
      <c r="C68" s="1139">
        <f>SUMIFS('1.1-Investissements'!$BA$10:$BA$109,'1.1-Investissements'!$AC$10:$AC$109,"Non",'1.1-Investissements'!$B$10:$B$109,B65)+SUMIFS('1.2-Amortissements'!$AF$10:$AF$109,'1.2-Amortissements'!$D$10:$D$109,"Non",'1.2-Amortissements'!$B$10:$B$109,B65)+SUMIFS('2-Contributions en nature'!$S$10:$S$109,'2-Contributions en nature'!$B$10:$B$109,B65)+SUMIFS('3-Frais de personnel'!$AD$10:$AD$109,'3-Frais de personnel'!$B$10:$B$109,B65)+SUMIFS('4-TF coûts indirects'!$O$10:$O$20,'4-TF coûts indirects'!$B$10:$B$20,B65)+SUMIFS('5-Déplacements &amp; hébergements'!$BQ$10:$BQ$49,'5-Déplacements &amp; hébergements'!$B$10:$B$49,B65)+SUMIFS('6-Coûts participation agri'!$AC$13:$AC$52,'6-Coûts participation agri'!$B$13:$B$52,B65)</f>
        <v>0</v>
      </c>
      <c r="D68" s="1032">
        <f t="shared" ref="D68:D69" si="44">C68/$C$102</f>
        <v>0</v>
      </c>
      <c r="E68" s="949">
        <v>1</v>
      </c>
      <c r="F68" s="950">
        <f t="shared" ref="F68" si="45">IF(E68=0,"",C68*E68)</f>
        <v>0</v>
      </c>
      <c r="G68" s="950">
        <f>IF(C68=0,0,IF($G$17*$D$69+$O$69&gt;($C$69-$F$69),F68-(($G$17*$D$69)+$O$69-($C$69-$F$69))*(F68/$F$69),F68))</f>
        <v>0</v>
      </c>
      <c r="H68" s="951">
        <f t="shared" ref="H68" si="46">IF(C68=0,0,G68/C68)</f>
        <v>0</v>
      </c>
      <c r="I68" s="1247"/>
      <c r="J68" s="952">
        <f t="shared" ref="J68:J69" si="47">IF(G68=0,0,IF($I$67="Oui",G68-$D$17*((F68/$F$69)*$C$69/$C$102),G68*0.85))</f>
        <v>0</v>
      </c>
      <c r="K68" s="952">
        <f t="shared" ref="K68:K69" si="48">IF(G68=0,0,IF($I$67="Oui",0.15*G68,G68-J68))</f>
        <v>0</v>
      </c>
      <c r="L68" s="952">
        <f t="shared" ref="L68:L69" si="49">IF(C68=0,0,IF($I$67="Oui",K68,$D$17*(F68/$F$69*$C$69/$C$102)))</f>
        <v>0</v>
      </c>
      <c r="M68" s="952">
        <f t="shared" ref="M68" si="50">IF(K68="",0,K68-L68)</f>
        <v>0</v>
      </c>
      <c r="N68" s="952">
        <f t="shared" ref="N68:N69" si="51">IF($F$69=0,0,IF($D$17=0,0,(F68/$F$69*$C$69/$C$102)*$D$17-L68))</f>
        <v>0</v>
      </c>
      <c r="O68" s="952">
        <f>SUMIFS('2-Contributions en nature'!$S$10:$S$109,'2-Contributions en nature'!$B$10:$B$109,B65)</f>
        <v>0</v>
      </c>
      <c r="P68" s="1033">
        <f t="shared" ref="P68:P69" si="52">IFERROR(C68-J68-K68-N68-O68-($G$17*C68/$C$69*$C$69/$C$102),0)</f>
        <v>0</v>
      </c>
      <c r="Q68"/>
      <c r="W68" s="1041"/>
      <c r="X68" s="1042"/>
      <c r="Y68" s="1042"/>
      <c r="Z68" s="1042"/>
      <c r="AA68" s="1042"/>
      <c r="AB68" s="1042"/>
      <c r="AC68" s="1042"/>
      <c r="AD68" s="1042"/>
      <c r="AE68" s="1042"/>
    </row>
    <row r="69" spans="1:31" s="1034" customFormat="1" ht="48.6" customHeight="1" thickBot="1">
      <c r="B69" s="1035" t="s">
        <v>556</v>
      </c>
      <c r="C69" s="1036">
        <f>IF($A$7=0,"",SUM(C67:C68))</f>
        <v>0</v>
      </c>
      <c r="D69" s="1134">
        <f t="shared" si="44"/>
        <v>0</v>
      </c>
      <c r="E69" s="953"/>
      <c r="F69" s="954">
        <f>SUM(F67:F68)</f>
        <v>0</v>
      </c>
      <c r="G69" s="954">
        <f>SUM(G67:G68)</f>
        <v>0</v>
      </c>
      <c r="H69" s="955">
        <f>IF(C69=0,0,G69/C69)</f>
        <v>0</v>
      </c>
      <c r="I69" s="1037"/>
      <c r="J69" s="956">
        <f t="shared" si="47"/>
        <v>0</v>
      </c>
      <c r="K69" s="956">
        <f t="shared" si="48"/>
        <v>0</v>
      </c>
      <c r="L69" s="956">
        <f t="shared" si="49"/>
        <v>0</v>
      </c>
      <c r="M69" s="956">
        <f>SUM(M67:M68)</f>
        <v>0</v>
      </c>
      <c r="N69" s="956">
        <f t="shared" si="51"/>
        <v>0</v>
      </c>
      <c r="O69" s="956">
        <f>SUM(O67:O68)</f>
        <v>0</v>
      </c>
      <c r="P69" s="1135">
        <f t="shared" si="52"/>
        <v>0</v>
      </c>
    </row>
    <row r="70" spans="1:31" s="65" customFormat="1" ht="20.100000000000001" thickBot="1">
      <c r="B70" s="667"/>
      <c r="N70" s="47"/>
      <c r="O70" s="47"/>
      <c r="P70" s="47"/>
      <c r="Q70" s="47"/>
      <c r="R70" s="47"/>
      <c r="S70" s="47"/>
      <c r="T70" s="47"/>
      <c r="U70" s="47"/>
    </row>
    <row r="71" spans="1:31" ht="15.95" customHeight="1" thickBot="1">
      <c r="A71" s="346"/>
      <c r="B71" s="1568" t="s">
        <v>17</v>
      </c>
      <c r="C71" s="1569"/>
      <c r="D71" s="1569"/>
      <c r="E71" s="1569"/>
      <c r="F71" s="1569"/>
      <c r="G71" s="1569"/>
      <c r="H71" s="1569"/>
      <c r="I71" s="1569"/>
      <c r="J71" s="1569"/>
      <c r="K71" s="1569"/>
      <c r="L71" s="1569"/>
      <c r="M71" s="1569"/>
      <c r="N71" s="1569"/>
      <c r="O71" s="1569"/>
      <c r="P71" s="1570"/>
      <c r="Q71"/>
      <c r="W71" s="1041"/>
      <c r="X71" s="1042"/>
      <c r="Y71" s="1042"/>
      <c r="Z71" s="1042"/>
      <c r="AA71" s="1042"/>
      <c r="AB71" s="1042"/>
      <c r="AC71" s="1042"/>
      <c r="AD71" s="1042"/>
      <c r="AE71" s="1042"/>
    </row>
    <row r="72" spans="1:31" ht="134.44999999999999" customHeight="1" thickBot="1">
      <c r="A72" s="1126" t="s">
        <v>544</v>
      </c>
      <c r="B72" s="1121" t="s">
        <v>38</v>
      </c>
      <c r="C72" s="1122" t="s">
        <v>228</v>
      </c>
      <c r="D72" s="1122" t="s">
        <v>545</v>
      </c>
      <c r="E72" s="1122" t="s">
        <v>546</v>
      </c>
      <c r="F72" s="1122" t="s">
        <v>547</v>
      </c>
      <c r="G72" s="1123" t="s">
        <v>548</v>
      </c>
      <c r="H72" s="1123" t="s">
        <v>549</v>
      </c>
      <c r="I72" s="1124" t="s">
        <v>550</v>
      </c>
      <c r="J72" s="1122" t="s">
        <v>518</v>
      </c>
      <c r="K72" s="1122" t="s">
        <v>551</v>
      </c>
      <c r="L72" s="1122" t="s">
        <v>522</v>
      </c>
      <c r="M72" s="1122" t="s">
        <v>523</v>
      </c>
      <c r="N72" s="1122" t="s">
        <v>524</v>
      </c>
      <c r="O72" s="1122" t="s">
        <v>552</v>
      </c>
      <c r="P72" s="1125" t="s">
        <v>553</v>
      </c>
      <c r="Q72"/>
      <c r="W72" s="1041"/>
      <c r="X72" s="1042"/>
      <c r="Y72" s="1042"/>
      <c r="Z72" s="1042"/>
      <c r="AA72" s="1042"/>
      <c r="AB72" s="1042"/>
      <c r="AC72" s="1042"/>
      <c r="AD72" s="1042"/>
      <c r="AE72" s="1042"/>
    </row>
    <row r="73" spans="1:31" ht="14.45" customHeight="1">
      <c r="A73" s="1136" t="s">
        <v>554</v>
      </c>
      <c r="B73" s="1571" t="s">
        <v>43</v>
      </c>
      <c r="C73" s="1138">
        <f>SUMIFS('1.1-Investissements'!$BA$10:$BA$109,'1.1-Investissements'!$AC$10:$AC$109,"Oui",'1.1-Investissements'!$B$10:$B$109,B71)+SUMIFS('1.2-Amortissements'!$AF$10:$AF$109,'1.2-Amortissements'!$D$10:$D$109,"Oui",'1.2-Amortissements'!$B$10:$B$109,B71)</f>
        <v>0</v>
      </c>
      <c r="D73" s="1026">
        <f>C73/$C$102</f>
        <v>0</v>
      </c>
      <c r="E73" s="1027">
        <v>0.8</v>
      </c>
      <c r="F73" s="1028">
        <f>IF(E73=0,"",C73*E73)</f>
        <v>0</v>
      </c>
      <c r="G73" s="1028">
        <f>IF(C73=0,0,IF($G$17*$D$75+$O$75&gt;($C$75-$F$75),F73-(($G$17*$D$75)+$O$75-($C$75-$F$75))*(F73/$F$75),F73))</f>
        <v>0</v>
      </c>
      <c r="H73" s="1029">
        <f>IF(C73=0,0,G73/C73)</f>
        <v>0</v>
      </c>
      <c r="I73" s="1246" t="str">
        <f>$K$25</f>
        <v>Oui</v>
      </c>
      <c r="J73" s="1030">
        <f>IF(G73=0,0,IF($I$73="Oui",G73-$D$17*((F73/$F$75)*$C$75/$C$102),G73*0.85))</f>
        <v>0</v>
      </c>
      <c r="K73" s="1030">
        <f>IF(G73=0,0,IF($I$73="Oui",0.15*G73,G73-J73))</f>
        <v>0</v>
      </c>
      <c r="L73" s="1030">
        <f>IF(C73=0,0,IF($I$73="Oui",K73,$D$17*(F73/$F$75*$C$75/$C$102)))</f>
        <v>0</v>
      </c>
      <c r="M73" s="1030">
        <f>IF(K73="",0,K73-L73)</f>
        <v>0</v>
      </c>
      <c r="N73" s="1030">
        <f>IF($F$75=0,0,IF($D$17=0,0,(F73/$F$75*$C$75/$C$102)*$D$17-L73))</f>
        <v>0</v>
      </c>
      <c r="O73" s="1030">
        <v>0</v>
      </c>
      <c r="P73" s="1031">
        <f>IFERROR(C73-J73-K73-N73-O73-($G$17*C73/$C$75*$C$75/$C$102),0)</f>
        <v>0</v>
      </c>
      <c r="Q73"/>
      <c r="W73" s="1041"/>
      <c r="X73" s="1042"/>
      <c r="Y73" s="1042"/>
      <c r="Z73" s="1042"/>
      <c r="AA73" s="1042"/>
      <c r="AB73" s="1042"/>
      <c r="AC73" s="1042"/>
      <c r="AD73" s="1042"/>
      <c r="AE73" s="1042"/>
    </row>
    <row r="74" spans="1:31" ht="14.1" customHeight="1" thickBot="1">
      <c r="A74" s="1137" t="s">
        <v>555</v>
      </c>
      <c r="B74" s="1572"/>
      <c r="C74" s="1139">
        <f>SUMIFS('1.1-Investissements'!$BA$10:$BA$109,'1.1-Investissements'!$AC$10:$AC$109,"Non",'1.1-Investissements'!$B$10:$B$109,B71)+SUMIFS('1.2-Amortissements'!$AF$10:$AF$109,'1.2-Amortissements'!$D$10:$D$109,"Non",'1.2-Amortissements'!$B$10:$B$109,B71)+SUMIFS('2-Contributions en nature'!$S$10:$S$109,'2-Contributions en nature'!$B$10:$B$109,B71)+SUMIFS('3-Frais de personnel'!$AD$10:$AD$109,'3-Frais de personnel'!$B$10:$B$109,B71)+SUMIFS('4-TF coûts indirects'!$O$10:$O$20,'4-TF coûts indirects'!$B$10:$B$20,B71)+SUMIFS('5-Déplacements &amp; hébergements'!$BQ$10:$BQ$49,'5-Déplacements &amp; hébergements'!$B$10:$B$49,B71)+SUMIFS('6-Coûts participation agri'!$AC$13:$AC$52,'6-Coûts participation agri'!$B$13:$B$52,B71)</f>
        <v>3205.25</v>
      </c>
      <c r="D74" s="1032">
        <f t="shared" ref="D74:D75" si="53">C74/$C$102</f>
        <v>0.17961226389904167</v>
      </c>
      <c r="E74" s="949">
        <v>1</v>
      </c>
      <c r="F74" s="950">
        <f t="shared" ref="F74" si="54">IF(E74=0,"",C74*E74)</f>
        <v>3205.25</v>
      </c>
      <c r="G74" s="950">
        <f>IF(C74=0,0,IF($G$17*$D$75+$O$75&gt;($C$75-$F$75),F74-(($G$17*$D$75)+$O$75-($C$75-$F$75))*(F74/$F$75),F74))</f>
        <v>3025.6377361009581</v>
      </c>
      <c r="H74" s="951">
        <f t="shared" ref="H74" si="55">IF(C74=0,0,G74/C74)</f>
        <v>0.9439631030655824</v>
      </c>
      <c r="I74" s="1247"/>
      <c r="J74" s="952">
        <f t="shared" ref="J74:J75" si="56">IF(G74=0,0,IF($I$73="Oui",G74-$D$17*((F74/$F$75)*$C$75/$C$102),G74*0.85))</f>
        <v>2666.4132083028749</v>
      </c>
      <c r="K74" s="952">
        <f t="shared" ref="K74:K75" si="57">IF(G74=0,0,IF($I$73="Oui",0.15*G74,G74-J74))</f>
        <v>453.8456604151437</v>
      </c>
      <c r="L74" s="952">
        <f t="shared" ref="L74:L75" si="58">IF(C74=0,0,IF($I$73="Oui",K74,$D$17*(F74/$F$75*$C$75/$C$102)))</f>
        <v>453.8456604151437</v>
      </c>
      <c r="M74" s="952">
        <f t="shared" ref="M74" si="59">IF(K74="",0,K74-L74)</f>
        <v>0</v>
      </c>
      <c r="N74" s="952">
        <f t="shared" ref="N74:N75" si="60">IF($F$75=0,0,IF($D$17=0,0,(F74/$F$75*$C$75/$C$102)*$D$17-L74))</f>
        <v>-94.621132617060368</v>
      </c>
      <c r="O74" s="952">
        <f>SUMIFS('2-Contributions en nature'!$S$10:$S$109,'2-Contributions en nature'!$B$10:$B$109,B71)</f>
        <v>0</v>
      </c>
      <c r="P74" s="1033">
        <f t="shared" ref="P74:P75" si="61">IFERROR(C74-J74-K74-N74-O74-($G$17*C74/$C$75*$C$75/$C$102),0)</f>
        <v>1.4210854715202004E-13</v>
      </c>
      <c r="Q74"/>
      <c r="W74" s="1041"/>
      <c r="X74" s="1042"/>
      <c r="Y74" s="1042"/>
      <c r="Z74" s="1042"/>
      <c r="AA74" s="1042"/>
      <c r="AB74" s="1042"/>
      <c r="AC74" s="1042"/>
      <c r="AD74" s="1042"/>
      <c r="AE74" s="1042"/>
    </row>
    <row r="75" spans="1:31" s="1034" customFormat="1" ht="48.6" customHeight="1" thickBot="1">
      <c r="B75" s="1035" t="s">
        <v>556</v>
      </c>
      <c r="C75" s="1036">
        <f>IF($A$7=0,"",SUM(C73:C74))</f>
        <v>3205.25</v>
      </c>
      <c r="D75" s="1134">
        <f t="shared" si="53"/>
        <v>0.17961226389904167</v>
      </c>
      <c r="E75" s="953"/>
      <c r="F75" s="954">
        <f>SUM(F73:F74)</f>
        <v>3205.25</v>
      </c>
      <c r="G75" s="954">
        <f>SUM(G73:G74)</f>
        <v>3025.6377361009581</v>
      </c>
      <c r="H75" s="955">
        <f>IF(C75=0,0,G75/C75)</f>
        <v>0.9439631030655824</v>
      </c>
      <c r="I75" s="1037"/>
      <c r="J75" s="956">
        <f t="shared" si="56"/>
        <v>2666.4132083028749</v>
      </c>
      <c r="K75" s="956">
        <f t="shared" si="57"/>
        <v>453.8456604151437</v>
      </c>
      <c r="L75" s="956">
        <f t="shared" si="58"/>
        <v>453.8456604151437</v>
      </c>
      <c r="M75" s="956">
        <f>SUM(M73:M74)</f>
        <v>0</v>
      </c>
      <c r="N75" s="956">
        <f t="shared" si="60"/>
        <v>-94.621132617060368</v>
      </c>
      <c r="O75" s="956">
        <f>SUM(O73:O74)</f>
        <v>0</v>
      </c>
      <c r="P75" s="1135">
        <f t="shared" si="61"/>
        <v>1.4210854715202004E-13</v>
      </c>
    </row>
    <row r="76" spans="1:31" s="65" customFormat="1" ht="20.100000000000001" thickBot="1">
      <c r="B76" s="667"/>
      <c r="N76" s="47"/>
      <c r="O76" s="47"/>
      <c r="P76" s="47"/>
      <c r="Q76" s="47"/>
      <c r="R76" s="47"/>
      <c r="S76" s="47"/>
      <c r="T76" s="47"/>
      <c r="U76" s="47"/>
    </row>
    <row r="77" spans="1:31" ht="15.95" customHeight="1" thickBot="1">
      <c r="A77" s="346"/>
      <c r="B77" s="1568" t="s">
        <v>18</v>
      </c>
      <c r="C77" s="1569"/>
      <c r="D77" s="1569"/>
      <c r="E77" s="1569"/>
      <c r="F77" s="1569"/>
      <c r="G77" s="1569"/>
      <c r="H77" s="1569"/>
      <c r="I77" s="1569"/>
      <c r="J77" s="1569"/>
      <c r="K77" s="1569"/>
      <c r="L77" s="1569"/>
      <c r="M77" s="1569"/>
      <c r="N77" s="1569"/>
      <c r="O77" s="1569"/>
      <c r="P77" s="1570"/>
      <c r="Q77"/>
      <c r="W77" s="1041"/>
      <c r="X77" s="1042"/>
      <c r="Y77" s="1042"/>
      <c r="Z77" s="1042"/>
      <c r="AA77" s="1042"/>
      <c r="AB77" s="1042"/>
      <c r="AC77" s="1042"/>
      <c r="AD77" s="1042"/>
      <c r="AE77" s="1042"/>
    </row>
    <row r="78" spans="1:31" ht="134.44999999999999" customHeight="1" thickBot="1">
      <c r="A78" s="1126" t="s">
        <v>544</v>
      </c>
      <c r="B78" s="1121" t="s">
        <v>38</v>
      </c>
      <c r="C78" s="1122" t="s">
        <v>228</v>
      </c>
      <c r="D78" s="1122" t="s">
        <v>545</v>
      </c>
      <c r="E78" s="1122" t="s">
        <v>546</v>
      </c>
      <c r="F78" s="1122" t="s">
        <v>547</v>
      </c>
      <c r="G78" s="1123" t="s">
        <v>548</v>
      </c>
      <c r="H78" s="1123" t="s">
        <v>549</v>
      </c>
      <c r="I78" s="1124" t="s">
        <v>550</v>
      </c>
      <c r="J78" s="1122" t="s">
        <v>518</v>
      </c>
      <c r="K78" s="1122" t="s">
        <v>551</v>
      </c>
      <c r="L78" s="1122" t="s">
        <v>522</v>
      </c>
      <c r="M78" s="1122" t="s">
        <v>523</v>
      </c>
      <c r="N78" s="1122" t="s">
        <v>524</v>
      </c>
      <c r="O78" s="1122" t="s">
        <v>552</v>
      </c>
      <c r="P78" s="1125" t="s">
        <v>553</v>
      </c>
      <c r="Q78"/>
      <c r="W78" s="1041"/>
      <c r="X78" s="1042"/>
      <c r="Y78" s="1042"/>
      <c r="Z78" s="1042"/>
      <c r="AA78" s="1042"/>
      <c r="AB78" s="1042"/>
      <c r="AC78" s="1042"/>
      <c r="AD78" s="1042"/>
      <c r="AE78" s="1042"/>
    </row>
    <row r="79" spans="1:31" ht="14.45" customHeight="1">
      <c r="A79" s="1136" t="s">
        <v>554</v>
      </c>
      <c r="B79" s="1571" t="s">
        <v>43</v>
      </c>
      <c r="C79" s="1138">
        <f>SUMIFS('1.1-Investissements'!$BA$10:$BA$109,'1.1-Investissements'!$AC$10:$AC$109,"Oui",'1.1-Investissements'!$B$10:$B$109,B77)+SUMIFS('1.2-Amortissements'!$AF$10:$AF$109,'1.2-Amortissements'!$D$10:$D$109,"Oui",'1.2-Amortissements'!$B$10:$B$109,B77)</f>
        <v>0</v>
      </c>
      <c r="D79" s="1026">
        <f>C79/$C$102</f>
        <v>0</v>
      </c>
      <c r="E79" s="1027">
        <v>0.8</v>
      </c>
      <c r="F79" s="1028">
        <f>IF(E79=0,"",C79*E79)</f>
        <v>0</v>
      </c>
      <c r="G79" s="1028">
        <f>IF(C79=0,0,IF($G$17*$D$81+$O$81&gt;($C$81-$F$81),F79-(($G$17*$D$81)+$O$81-($C$81-$F$81))*(F79/$F$81),F79))</f>
        <v>0</v>
      </c>
      <c r="H79" s="1029">
        <f>IF(C79=0,0,G79/C79)</f>
        <v>0</v>
      </c>
      <c r="I79" s="1246" t="str">
        <f>$K$25</f>
        <v>Oui</v>
      </c>
      <c r="J79" s="1030">
        <f>IF(G79=0,0,IF($I$79="Oui",G79-$D$17*((F79/$F$81)*$C$81/$C$102),G79*0.85))</f>
        <v>0</v>
      </c>
      <c r="K79" s="1030">
        <f>IF(G79=0,0,IF($I$79="Oui",0.15*G79,G79-J79))</f>
        <v>0</v>
      </c>
      <c r="L79" s="1030">
        <f>IF(C79=0,0,IF($I$79="Oui",K79,$D$17*(F79/$F$81*$C$81/$C$102)))</f>
        <v>0</v>
      </c>
      <c r="M79" s="1030">
        <f>IF(K79="",0,K79-L79)</f>
        <v>0</v>
      </c>
      <c r="N79" s="1030">
        <f>IF($F$81=0,0,IF($D$17=0,0,(F79/$F$81*$C$81/$C$102)*$D$17-L79))</f>
        <v>0</v>
      </c>
      <c r="O79" s="1030">
        <v>0</v>
      </c>
      <c r="P79" s="1031">
        <f>IFERROR(C79-J79-K79-N79-O79-($G$17*C79/$C$81*$C$81/$C$102),0)</f>
        <v>0</v>
      </c>
      <c r="Q79"/>
      <c r="W79" s="1041"/>
      <c r="X79" s="1042"/>
      <c r="Y79" s="1042"/>
      <c r="Z79" s="1042"/>
      <c r="AA79" s="1042"/>
      <c r="AB79" s="1042"/>
      <c r="AC79" s="1042"/>
      <c r="AD79" s="1042"/>
      <c r="AE79" s="1042"/>
    </row>
    <row r="80" spans="1:31" ht="14.1" customHeight="1" thickBot="1">
      <c r="A80" s="1137" t="s">
        <v>555</v>
      </c>
      <c r="B80" s="1572"/>
      <c r="C80" s="1139">
        <f>SUMIFS('1.1-Investissements'!$BA$10:$BA$109,'1.1-Investissements'!$AC$10:$AC$109,"Non",'1.1-Investissements'!$B$10:$B$109,B77)+SUMIFS('1.2-Amortissements'!$AF$10:$AF$109,'1.2-Amortissements'!$D$10:$D$109,"Non",'1.2-Amortissements'!$B$10:$B$109,B77)+SUMIFS('2-Contributions en nature'!$S$10:$S$109,'2-Contributions en nature'!$B$10:$B$109,B77)+SUMIFS('3-Frais de personnel'!$AD$10:$AD$109,'3-Frais de personnel'!$B$10:$B$109,B77)+SUMIFS('4-TF coûts indirects'!$O$10:$O$20,'4-TF coûts indirects'!$B$10:$B$20,B77)+SUMIFS('5-Déplacements &amp; hébergements'!$BQ$10:$BQ$49,'5-Déplacements &amp; hébergements'!$B$10:$B$49,B77)+SUMIFS('6-Coûts participation agri'!$AC$13:$AC$52,'6-Coûts participation agri'!$B$13:$B$52,B77)</f>
        <v>0</v>
      </c>
      <c r="D80" s="1032">
        <f t="shared" ref="D80:D81" si="62">C80/$C$102</f>
        <v>0</v>
      </c>
      <c r="E80" s="949">
        <v>1</v>
      </c>
      <c r="F80" s="950">
        <f t="shared" ref="F80" si="63">IF(E80=0,"",C80*E80)</f>
        <v>0</v>
      </c>
      <c r="G80" s="950">
        <f>IF(C80=0,0,IF($G$17*$D$81+$O$81&gt;($C$81-$F$81),F80-(($G$17*$D$81)+$O$81-($C$81-$F$81))*(F80/$F$81),F80))</f>
        <v>0</v>
      </c>
      <c r="H80" s="951">
        <f t="shared" ref="H80" si="64">IF(C80=0,0,G80/C80)</f>
        <v>0</v>
      </c>
      <c r="I80" s="1247"/>
      <c r="J80" s="952">
        <f t="shared" ref="J80:J81" si="65">IF(G80=0,0,IF($I$79="Oui",G80-$D$17*((F80/$F$81)*$C$81/$C$102),G80*0.85))</f>
        <v>0</v>
      </c>
      <c r="K80" s="952">
        <f t="shared" ref="K80:K81" si="66">IF(G80=0,0,IF($I$79="Oui",0.15*G80,G80-J80))</f>
        <v>0</v>
      </c>
      <c r="L80" s="952">
        <f t="shared" ref="L80:L81" si="67">IF(C80=0,0,IF($I$79="Oui",K80,$D$17*(F80/$F$81*$C$81/$C$102)))</f>
        <v>0</v>
      </c>
      <c r="M80" s="952">
        <f t="shared" ref="M80" si="68">IF(K80="",0,K80-L80)</f>
        <v>0</v>
      </c>
      <c r="N80" s="952">
        <f t="shared" ref="N80:N81" si="69">IF($F$81=0,0,IF($D$17=0,0,(F80/$F$81*$C$81/$C$102)*$D$17-L80))</f>
        <v>0</v>
      </c>
      <c r="O80" s="952">
        <f>SUMIFS('2-Contributions en nature'!$S$10:$S$109,'2-Contributions en nature'!$B$10:$B$109,B77)</f>
        <v>0</v>
      </c>
      <c r="P80" s="1033">
        <f t="shared" ref="P80:P81" si="70">IFERROR(C80-J80-K80-N80-O80-($G$17*C80/$C$81*$C$81/$C$102),0)</f>
        <v>0</v>
      </c>
      <c r="Q80"/>
      <c r="W80" s="1041"/>
      <c r="X80" s="1042"/>
      <c r="Y80" s="1042"/>
      <c r="Z80" s="1042"/>
      <c r="AA80" s="1042"/>
      <c r="AB80" s="1042"/>
      <c r="AC80" s="1042"/>
      <c r="AD80" s="1042"/>
      <c r="AE80" s="1042"/>
    </row>
    <row r="81" spans="1:31" s="1034" customFormat="1" ht="48.6" customHeight="1" thickBot="1">
      <c r="B81" s="1035" t="s">
        <v>556</v>
      </c>
      <c r="C81" s="1036">
        <f>IF($A$7=0,"",SUM(C79:C80))</f>
        <v>0</v>
      </c>
      <c r="D81" s="1134">
        <f t="shared" si="62"/>
        <v>0</v>
      </c>
      <c r="E81" s="953"/>
      <c r="F81" s="954">
        <f>SUM(F79:F80)</f>
        <v>0</v>
      </c>
      <c r="G81" s="954">
        <f>SUM(G79:G80)</f>
        <v>0</v>
      </c>
      <c r="H81" s="955">
        <f>IF(C81=0,0,G81/C81)</f>
        <v>0</v>
      </c>
      <c r="I81" s="1037"/>
      <c r="J81" s="956">
        <f t="shared" si="65"/>
        <v>0</v>
      </c>
      <c r="K81" s="956">
        <f t="shared" si="66"/>
        <v>0</v>
      </c>
      <c r="L81" s="956">
        <f t="shared" si="67"/>
        <v>0</v>
      </c>
      <c r="M81" s="956">
        <f>SUM(M79:M80)</f>
        <v>0</v>
      </c>
      <c r="N81" s="956">
        <f t="shared" si="69"/>
        <v>0</v>
      </c>
      <c r="O81" s="956">
        <f>SUM(O79:O80)</f>
        <v>0</v>
      </c>
      <c r="P81" s="1135">
        <f t="shared" si="70"/>
        <v>0</v>
      </c>
    </row>
    <row r="82" spans="1:31" s="65" customFormat="1" ht="20.100000000000001" thickBot="1">
      <c r="B82" s="667"/>
      <c r="N82" s="47"/>
      <c r="O82" s="47"/>
      <c r="P82" s="47"/>
      <c r="Q82" s="47"/>
      <c r="R82" s="47"/>
      <c r="S82" s="47"/>
      <c r="T82" s="47"/>
      <c r="U82" s="47"/>
    </row>
    <row r="83" spans="1:31" ht="15.95" customHeight="1" thickBot="1">
      <c r="A83" s="346"/>
      <c r="B83" s="1568" t="s">
        <v>19</v>
      </c>
      <c r="C83" s="1569"/>
      <c r="D83" s="1569"/>
      <c r="E83" s="1569"/>
      <c r="F83" s="1569"/>
      <c r="G83" s="1569"/>
      <c r="H83" s="1569"/>
      <c r="I83" s="1569"/>
      <c r="J83" s="1569"/>
      <c r="K83" s="1569"/>
      <c r="L83" s="1569"/>
      <c r="M83" s="1569"/>
      <c r="N83" s="1569"/>
      <c r="O83" s="1569"/>
      <c r="P83" s="1570"/>
      <c r="Q83"/>
      <c r="W83" s="1041"/>
      <c r="X83" s="1042"/>
      <c r="Y83" s="1042"/>
      <c r="Z83" s="1042"/>
      <c r="AA83" s="1042"/>
      <c r="AB83" s="1042"/>
      <c r="AC83" s="1042"/>
      <c r="AD83" s="1042"/>
      <c r="AE83" s="1042"/>
    </row>
    <row r="84" spans="1:31" ht="134.44999999999999" customHeight="1" thickBot="1">
      <c r="A84" s="1126" t="s">
        <v>544</v>
      </c>
      <c r="B84" s="1121" t="s">
        <v>38</v>
      </c>
      <c r="C84" s="1122" t="s">
        <v>228</v>
      </c>
      <c r="D84" s="1122" t="s">
        <v>545</v>
      </c>
      <c r="E84" s="1122" t="s">
        <v>546</v>
      </c>
      <c r="F84" s="1122" t="s">
        <v>547</v>
      </c>
      <c r="G84" s="1123" t="s">
        <v>548</v>
      </c>
      <c r="H84" s="1123" t="s">
        <v>549</v>
      </c>
      <c r="I84" s="1124" t="s">
        <v>550</v>
      </c>
      <c r="J84" s="1122" t="s">
        <v>518</v>
      </c>
      <c r="K84" s="1122" t="s">
        <v>551</v>
      </c>
      <c r="L84" s="1122" t="s">
        <v>522</v>
      </c>
      <c r="M84" s="1122" t="s">
        <v>523</v>
      </c>
      <c r="N84" s="1122" t="s">
        <v>524</v>
      </c>
      <c r="O84" s="1122" t="s">
        <v>552</v>
      </c>
      <c r="P84" s="1125" t="s">
        <v>553</v>
      </c>
      <c r="Q84"/>
      <c r="W84" s="1041"/>
      <c r="X84" s="1042"/>
      <c r="Y84" s="1042"/>
      <c r="Z84" s="1042"/>
      <c r="AA84" s="1042"/>
      <c r="AB84" s="1042"/>
      <c r="AC84" s="1042"/>
      <c r="AD84" s="1042"/>
      <c r="AE84" s="1042"/>
    </row>
    <row r="85" spans="1:31" ht="14.45" customHeight="1">
      <c r="A85" s="1136" t="s">
        <v>554</v>
      </c>
      <c r="B85" s="1571" t="s">
        <v>43</v>
      </c>
      <c r="C85" s="1138">
        <f>SUMIFS('1.1-Investissements'!$BA$10:$BA$109,'1.1-Investissements'!$AC$10:$AC$109,"Oui",'1.1-Investissements'!$B$10:$B$109,B83)+SUMIFS('1.2-Amortissements'!$AF$10:$AF$109,'1.2-Amortissements'!$D$10:$D$109,"Oui",'1.2-Amortissements'!$B$10:$B$109,B83)</f>
        <v>0</v>
      </c>
      <c r="D85" s="1026">
        <f>C85/$C$102</f>
        <v>0</v>
      </c>
      <c r="E85" s="1027">
        <v>0.8</v>
      </c>
      <c r="F85" s="1028">
        <f>IF(E85=0,"",C85*E85)</f>
        <v>0</v>
      </c>
      <c r="G85" s="1028">
        <f>IF(C85=0,0,IF($G$17*$D$87+$O$87&gt;($C$87-$F$87),F85-(($G$17*$D$87)+$O$87-($C$87-$F$87))*(F85/$F$87),F85))</f>
        <v>0</v>
      </c>
      <c r="H85" s="1029">
        <f>IF(C85=0,0,G85/C85)</f>
        <v>0</v>
      </c>
      <c r="I85" s="1246" t="str">
        <f>$K$25</f>
        <v>Oui</v>
      </c>
      <c r="J85" s="1030">
        <f>IF(G85=0,0,IF($I$85="Oui",G85-$D$17*((F85/$F$87)*$C$87/$C$102),G85*0.85))</f>
        <v>0</v>
      </c>
      <c r="K85" s="1030">
        <f>IF(G85=0,0,IF($I$85="Oui",0.15*G85,G85-J85))</f>
        <v>0</v>
      </c>
      <c r="L85" s="1030">
        <f>IF(C85=0,0,IF($I$85="Oui",K85,$D$17*(F85/$F$87*$C$87/$C$102)))</f>
        <v>0</v>
      </c>
      <c r="M85" s="1030">
        <f>IF(K85="",0,K85-L85)</f>
        <v>0</v>
      </c>
      <c r="N85" s="1030">
        <f>IF($F$87=0,0,IF($D$17=0,0,(F85/$F$87*$C$87/$C$102)*$D$17-L85))</f>
        <v>0</v>
      </c>
      <c r="O85" s="1030">
        <v>0</v>
      </c>
      <c r="P85" s="1031">
        <f>IFERROR(C85-J85-K85-N85-O85-($G$17*C85/$C$87*$C$87/$C$102),0)</f>
        <v>0</v>
      </c>
      <c r="Q85"/>
      <c r="W85" s="1041"/>
      <c r="X85" s="1042"/>
      <c r="Y85" s="1042"/>
      <c r="Z85" s="1042"/>
      <c r="AA85" s="1042"/>
      <c r="AB85" s="1042"/>
      <c r="AC85" s="1042"/>
      <c r="AD85" s="1042"/>
      <c r="AE85" s="1042"/>
    </row>
    <row r="86" spans="1:31" ht="14.1" customHeight="1" thickBot="1">
      <c r="A86" s="1137" t="s">
        <v>555</v>
      </c>
      <c r="B86" s="1572"/>
      <c r="C86" s="1139">
        <f>SUMIFS('1.1-Investissements'!$BA$10:$BA$109,'1.1-Investissements'!$AC$10:$AC$109,"Non",'1.1-Investissements'!$B$10:$B$109,B83)+SUMIFS('1.2-Amortissements'!$AF$10:$AF$109,'1.2-Amortissements'!$D$10:$D$109,"Non",'1.2-Amortissements'!$B$10:$B$109,B83)+SUMIFS('2-Contributions en nature'!$S$10:$S$109,'2-Contributions en nature'!$B$10:$B$109,B83)+SUMIFS('3-Frais de personnel'!$AD$10:$AD$109,'3-Frais de personnel'!$B$10:$B$109,B83)+SUMIFS('4-TF coûts indirects'!$O$10:$O$20,'4-TF coûts indirects'!$B$10:$B$20,B83)+SUMIFS('5-Déplacements &amp; hébergements'!$BQ$10:$BQ$49,'5-Déplacements &amp; hébergements'!$B$10:$B$49,B83)+SUMIFS('6-Coûts participation agri'!$AC$13:$AC$52,'6-Coûts participation agri'!$B$13:$B$52,B83)</f>
        <v>1148</v>
      </c>
      <c r="D86" s="1032">
        <f t="shared" ref="D86:D87" si="71">C86/$C$102</f>
        <v>6.4330357680711284E-2</v>
      </c>
      <c r="E86" s="949">
        <v>1</v>
      </c>
      <c r="F86" s="950">
        <f t="shared" ref="F86" si="72">IF(E86=0,"",C86*E86)</f>
        <v>1148</v>
      </c>
      <c r="G86" s="950">
        <f>IF(C86=0,0,IF($G$17*$D$87+$O$87&gt;($C$87-$F$87),F86-(($G$17*$D$87)+$O$87-($C$87-$F$87))*(F86/$F$87),F86))</f>
        <v>1083.6696423192886</v>
      </c>
      <c r="H86" s="951">
        <f t="shared" ref="H86" si="73">IF(C86=0,0,G86/C86)</f>
        <v>0.9439631030655824</v>
      </c>
      <c r="I86" s="1247"/>
      <c r="J86" s="952">
        <f t="shared" ref="J86:J87" si="74">IF(G86=0,0,IF($I$85="Oui",G86-$D$17*((F86/$F$87)*$C$87/$C$102),G86*0.85))</f>
        <v>955.00892695786604</v>
      </c>
      <c r="K86" s="952">
        <f t="shared" ref="K86:K87" si="75">IF(G86=0,0,IF($I$85="Oui",0.15*G86,G86-J86))</f>
        <v>162.55044634789328</v>
      </c>
      <c r="L86" s="952">
        <f t="shared" ref="L86:L87" si="76">IF(C86=0,0,IF($I$85="Oui",K86,$D$17*(F86/$F$87*$C$87/$C$102)))</f>
        <v>162.55044634789328</v>
      </c>
      <c r="M86" s="952">
        <f t="shared" ref="M86" si="77">IF(K86="",0,K86-L86)</f>
        <v>0</v>
      </c>
      <c r="N86" s="952">
        <f t="shared" ref="N86:N87" si="78">IF($F$87=0,0,IF($D$17=0,0,(F86/$F$87*$C$87/$C$102)*$D$17-L86))</f>
        <v>-33.88973098647071</v>
      </c>
      <c r="O86" s="952">
        <f>SUMIFS('2-Contributions en nature'!$S$10:$S$109,'2-Contributions en nature'!$B$10:$B$109,B83)</f>
        <v>0</v>
      </c>
      <c r="P86" s="1033">
        <f t="shared" ref="P86:P87" si="79">IFERROR(C86-J86-K86-N86-O86-($G$17*C86/$C$87*$C$87/$C$102),0)</f>
        <v>1.1368683772161603E-13</v>
      </c>
      <c r="Q86"/>
      <c r="W86" s="1041"/>
      <c r="X86" s="1042"/>
      <c r="Y86" s="1042"/>
      <c r="Z86" s="1042"/>
      <c r="AA86" s="1042"/>
      <c r="AB86" s="1042"/>
      <c r="AC86" s="1042"/>
      <c r="AD86" s="1042"/>
      <c r="AE86" s="1042"/>
    </row>
    <row r="87" spans="1:31" s="1034" customFormat="1" ht="48.6" customHeight="1" thickBot="1">
      <c r="B87" s="1035" t="s">
        <v>556</v>
      </c>
      <c r="C87" s="1036">
        <f>IF($A$7=0,"",SUM(C85:C86))</f>
        <v>1148</v>
      </c>
      <c r="D87" s="1134">
        <f t="shared" si="71"/>
        <v>6.4330357680711284E-2</v>
      </c>
      <c r="E87" s="953"/>
      <c r="F87" s="954">
        <f>SUM(F85:F86)</f>
        <v>1148</v>
      </c>
      <c r="G87" s="954">
        <f>SUM(G85:G86)</f>
        <v>1083.6696423192886</v>
      </c>
      <c r="H87" s="955">
        <f>IF(C87=0,0,G87/C87)</f>
        <v>0.9439631030655824</v>
      </c>
      <c r="I87" s="1037"/>
      <c r="J87" s="956">
        <f t="shared" si="74"/>
        <v>955.00892695786604</v>
      </c>
      <c r="K87" s="956">
        <f t="shared" si="75"/>
        <v>162.55044634789328</v>
      </c>
      <c r="L87" s="956">
        <f t="shared" si="76"/>
        <v>162.55044634789328</v>
      </c>
      <c r="M87" s="956">
        <f>SUM(M85:M86)</f>
        <v>0</v>
      </c>
      <c r="N87" s="956">
        <f t="shared" si="78"/>
        <v>-33.88973098647071</v>
      </c>
      <c r="O87" s="956">
        <f>SUM(O85:O86)</f>
        <v>0</v>
      </c>
      <c r="P87" s="1135">
        <f t="shared" si="79"/>
        <v>1.1368683772161603E-13</v>
      </c>
    </row>
    <row r="88" spans="1:31" s="65" customFormat="1" ht="20.100000000000001" thickBot="1">
      <c r="B88" s="667"/>
      <c r="N88" s="47"/>
      <c r="O88" s="47"/>
      <c r="P88" s="47"/>
      <c r="Q88" s="47"/>
      <c r="R88" s="47"/>
      <c r="S88" s="47"/>
      <c r="T88" s="47"/>
      <c r="U88" s="47"/>
    </row>
    <row r="89" spans="1:31" ht="15.95" customHeight="1" thickBot="1">
      <c r="A89" s="346"/>
      <c r="B89" s="1568" t="s">
        <v>20</v>
      </c>
      <c r="C89" s="1569"/>
      <c r="D89" s="1569"/>
      <c r="E89" s="1569"/>
      <c r="F89" s="1569"/>
      <c r="G89" s="1569"/>
      <c r="H89" s="1569"/>
      <c r="I89" s="1569"/>
      <c r="J89" s="1569"/>
      <c r="K89" s="1569"/>
      <c r="L89" s="1569"/>
      <c r="M89" s="1569"/>
      <c r="N89" s="1569"/>
      <c r="O89" s="1569"/>
      <c r="P89" s="1570"/>
      <c r="Q89"/>
      <c r="W89" s="1041"/>
      <c r="X89" s="1042"/>
      <c r="Y89" s="1042"/>
      <c r="Z89" s="1042"/>
      <c r="AA89" s="1042"/>
      <c r="AB89" s="1042"/>
      <c r="AC89" s="1042"/>
      <c r="AD89" s="1042"/>
      <c r="AE89" s="1042"/>
    </row>
    <row r="90" spans="1:31" ht="134.44999999999999" customHeight="1" thickBot="1">
      <c r="A90" s="1126" t="s">
        <v>544</v>
      </c>
      <c r="B90" s="1121" t="s">
        <v>38</v>
      </c>
      <c r="C90" s="1122" t="s">
        <v>228</v>
      </c>
      <c r="D90" s="1122" t="s">
        <v>545</v>
      </c>
      <c r="E90" s="1122" t="s">
        <v>546</v>
      </c>
      <c r="F90" s="1122" t="s">
        <v>547</v>
      </c>
      <c r="G90" s="1123" t="s">
        <v>548</v>
      </c>
      <c r="H90" s="1123" t="s">
        <v>549</v>
      </c>
      <c r="I90" s="1124" t="s">
        <v>550</v>
      </c>
      <c r="J90" s="1122" t="s">
        <v>518</v>
      </c>
      <c r="K90" s="1122" t="s">
        <v>551</v>
      </c>
      <c r="L90" s="1122" t="s">
        <v>522</v>
      </c>
      <c r="M90" s="1122" t="s">
        <v>523</v>
      </c>
      <c r="N90" s="1122" t="s">
        <v>524</v>
      </c>
      <c r="O90" s="1122" t="s">
        <v>552</v>
      </c>
      <c r="P90" s="1125" t="s">
        <v>553</v>
      </c>
      <c r="Q90"/>
      <c r="W90" s="1041"/>
      <c r="X90" s="1042"/>
      <c r="Y90" s="1042"/>
      <c r="Z90" s="1042"/>
      <c r="AA90" s="1042"/>
      <c r="AB90" s="1042"/>
      <c r="AC90" s="1042"/>
      <c r="AD90" s="1042"/>
      <c r="AE90" s="1042"/>
    </row>
    <row r="91" spans="1:31" ht="14.45" customHeight="1">
      <c r="A91" s="1136" t="s">
        <v>554</v>
      </c>
      <c r="B91" s="1571" t="s">
        <v>43</v>
      </c>
      <c r="C91" s="1138">
        <f>SUMIFS('1.1-Investissements'!$BA$10:$BA$109,'1.1-Investissements'!$AC$10:$AC$109,"Oui",'1.1-Investissements'!$B$10:$B$109,B89)+SUMIFS('1.2-Amortissements'!$AF$10:$AF$109,'1.2-Amortissements'!$D$10:$D$109,"Oui",'1.2-Amortissements'!$B$10:$B$109,B89)</f>
        <v>0</v>
      </c>
      <c r="D91" s="1026">
        <f>C91/$C$102</f>
        <v>0</v>
      </c>
      <c r="E91" s="1027">
        <v>0.8</v>
      </c>
      <c r="F91" s="1028">
        <f>IF(E91=0,"",C91*E91)</f>
        <v>0</v>
      </c>
      <c r="G91" s="1028">
        <f>IF(C91=0,0,IF($G$17*$D$93+$O$93&gt;($C$93-$F$93),F91-(($G$17*$D$93)+$O$93-($C$93-$F$93))*(F91/$F$93),F91))</f>
        <v>0</v>
      </c>
      <c r="H91" s="1029">
        <f>IF(C91=0,0,G91/C91)</f>
        <v>0</v>
      </c>
      <c r="I91" s="1246" t="str">
        <f>$K$25</f>
        <v>Oui</v>
      </c>
      <c r="J91" s="1030">
        <f>IF(G91=0,0,IF($I$91="Oui",G91-$D$17*((F91/$F$93)*$C$93/$C$102),G91*0.85))</f>
        <v>0</v>
      </c>
      <c r="K91" s="1030">
        <f>IF(G91=0,0,IF($I$91="Oui",0.15*G91,G91-J91))</f>
        <v>0</v>
      </c>
      <c r="L91" s="1030">
        <f>IF(C91=0,0,IF($I$91="Oui",K91,$D$17*(F91/$F$93*$C$93/$C$102)))</f>
        <v>0</v>
      </c>
      <c r="M91" s="1030">
        <f>IF(K91="",0,K91-L91)</f>
        <v>0</v>
      </c>
      <c r="N91" s="1030">
        <f>IF($F$93=0,0,IF($D$17=0,0,(F91/$F$93*$C$93/$C$102)*$D$17-L91))</f>
        <v>0</v>
      </c>
      <c r="O91" s="1030">
        <v>0</v>
      </c>
      <c r="P91" s="1031">
        <f>IFERROR(C91-J91-K91-N91-O91-($G$17*C91/$C$93*$C$93/$C$102),0)</f>
        <v>0</v>
      </c>
      <c r="Q91"/>
      <c r="W91" s="1041"/>
      <c r="X91" s="1042"/>
      <c r="Y91" s="1042"/>
      <c r="Z91" s="1042"/>
      <c r="AA91" s="1042"/>
      <c r="AB91" s="1042"/>
      <c r="AC91" s="1042"/>
      <c r="AD91" s="1042"/>
      <c r="AE91" s="1042"/>
    </row>
    <row r="92" spans="1:31" ht="14.1" customHeight="1" thickBot="1">
      <c r="A92" s="1137" t="s">
        <v>555</v>
      </c>
      <c r="B92" s="1572"/>
      <c r="C92" s="1139">
        <f>SUMIFS('1.1-Investissements'!$BA$10:$BA$109,'1.1-Investissements'!$AC$10:$AC$109,"Non",'1.1-Investissements'!$B$10:$B$109,B89)+SUMIFS('1.2-Amortissements'!$AF$10:$AF$109,'1.2-Amortissements'!$D$10:$D$109,"Non",'1.2-Amortissements'!$B$10:$B$109,B89)+SUMIFS('2-Contributions en nature'!$S$10:$S$109,'2-Contributions en nature'!$B$10:$B$109,B89)+SUMIFS('3-Frais de personnel'!$AD$10:$AD$109,'3-Frais de personnel'!$B$10:$B$109,B89)+SUMIFS('4-TF coûts indirects'!$O$10:$O$20,'4-TF coûts indirects'!$B$10:$B$20,B89)+SUMIFS('5-Déplacements &amp; hébergements'!$BQ$10:$BQ$49,'5-Déplacements &amp; hébergements'!$B$10:$B$49,B89)+SUMIFS('6-Coûts participation agri'!$AC$13:$AC$52,'6-Coûts participation agri'!$B$13:$B$52,B89)</f>
        <v>0</v>
      </c>
      <c r="D92" s="1032">
        <f t="shared" ref="D92:D93" si="80">C92/$C$102</f>
        <v>0</v>
      </c>
      <c r="E92" s="949">
        <v>1</v>
      </c>
      <c r="F92" s="950">
        <f t="shared" ref="F92" si="81">IF(E92=0,"",C92*E92)</f>
        <v>0</v>
      </c>
      <c r="G92" s="950">
        <f>IF(C92=0,0,IF($G$17*$D$93+$O$93&gt;($C$93-$F$93),F92-(($G$17*$D$93)+$O$93-($C$93-$F$93))*(F92/$F$93),F92))</f>
        <v>0</v>
      </c>
      <c r="H92" s="951">
        <f t="shared" ref="H92" si="82">IF(C92=0,0,G92/C92)</f>
        <v>0</v>
      </c>
      <c r="I92" s="1247"/>
      <c r="J92" s="952">
        <f t="shared" ref="J92:J93" si="83">IF(G92=0,0,IF($I$91="Oui",G92-$D$17*((F92/$F$93)*$C$93/$C$102),G92*0.85))</f>
        <v>0</v>
      </c>
      <c r="K92" s="952">
        <f t="shared" ref="K92:K93" si="84">IF(G92=0,0,IF($I$91="Oui",0.15*G92,G92-J92))</f>
        <v>0</v>
      </c>
      <c r="L92" s="952">
        <f t="shared" ref="L92:L93" si="85">IF(C92=0,0,IF($I$91="Oui",K92,$D$17*(F92/$F$93*$C$93/$C$102)))</f>
        <v>0</v>
      </c>
      <c r="M92" s="952">
        <f t="shared" ref="M92" si="86">IF(K92="",0,K92-L92)</f>
        <v>0</v>
      </c>
      <c r="N92" s="952">
        <f t="shared" ref="N92:N93" si="87">IF($F$93=0,0,IF($D$17=0,0,(F92/$F$93*$C$93/$C$102)*$D$17-L92))</f>
        <v>0</v>
      </c>
      <c r="O92" s="952">
        <f>SUMIFS('2-Contributions en nature'!$S$10:$S$109,'2-Contributions en nature'!$B$10:$B$109,B89)</f>
        <v>0</v>
      </c>
      <c r="P92" s="1033">
        <f t="shared" ref="P92:P93" si="88">IFERROR(C92-J92-K92-N92-O92-($G$17*C92/$C$93*$C$93/$C$102),0)</f>
        <v>0</v>
      </c>
      <c r="Q92"/>
      <c r="W92" s="1041"/>
      <c r="X92" s="1042"/>
      <c r="Y92" s="1042"/>
      <c r="Z92" s="1042"/>
      <c r="AA92" s="1042"/>
      <c r="AB92" s="1042"/>
      <c r="AC92" s="1042"/>
      <c r="AD92" s="1042"/>
      <c r="AE92" s="1042"/>
    </row>
    <row r="93" spans="1:31" s="1034" customFormat="1" ht="48.6" customHeight="1" thickBot="1">
      <c r="B93" s="1035" t="s">
        <v>556</v>
      </c>
      <c r="C93" s="1036">
        <f>IF($A$7=0,"",SUM(C91:C92))</f>
        <v>0</v>
      </c>
      <c r="D93" s="1134">
        <f t="shared" si="80"/>
        <v>0</v>
      </c>
      <c r="E93" s="953"/>
      <c r="F93" s="954">
        <f>SUM(F91:F92)</f>
        <v>0</v>
      </c>
      <c r="G93" s="954">
        <f>SUM(G91:G92)</f>
        <v>0</v>
      </c>
      <c r="H93" s="955">
        <f>IF(C93=0,0,G93/C93)</f>
        <v>0</v>
      </c>
      <c r="I93" s="1037"/>
      <c r="J93" s="956">
        <f t="shared" si="83"/>
        <v>0</v>
      </c>
      <c r="K93" s="956">
        <f t="shared" si="84"/>
        <v>0</v>
      </c>
      <c r="L93" s="956">
        <f t="shared" si="85"/>
        <v>0</v>
      </c>
      <c r="M93" s="956">
        <f>SUM(M91:M92)</f>
        <v>0</v>
      </c>
      <c r="N93" s="956">
        <f t="shared" si="87"/>
        <v>0</v>
      </c>
      <c r="O93" s="956">
        <f>SUM(O91:O92)</f>
        <v>0</v>
      </c>
      <c r="P93" s="1135">
        <f t="shared" si="88"/>
        <v>0</v>
      </c>
    </row>
    <row r="94" spans="1:31" s="65" customFormat="1" ht="20.100000000000001" thickBot="1">
      <c r="B94" s="667"/>
      <c r="N94" s="47"/>
      <c r="O94" s="47"/>
      <c r="P94" s="47"/>
      <c r="Q94" s="47"/>
      <c r="R94" s="47"/>
      <c r="S94" s="47"/>
      <c r="T94" s="47"/>
      <c r="U94" s="47"/>
    </row>
    <row r="95" spans="1:31" ht="15.95" customHeight="1" thickBot="1">
      <c r="A95" s="346"/>
      <c r="B95" s="1568" t="s">
        <v>21</v>
      </c>
      <c r="C95" s="1569"/>
      <c r="D95" s="1569"/>
      <c r="E95" s="1569"/>
      <c r="F95" s="1569"/>
      <c r="G95" s="1569"/>
      <c r="H95" s="1569"/>
      <c r="I95" s="1569"/>
      <c r="J95" s="1569"/>
      <c r="K95" s="1569"/>
      <c r="L95" s="1569"/>
      <c r="M95" s="1569"/>
      <c r="N95" s="1569"/>
      <c r="O95" s="1569"/>
      <c r="P95" s="1570"/>
      <c r="Q95"/>
      <c r="W95" s="1041"/>
      <c r="X95" s="1042"/>
      <c r="Y95" s="1042"/>
      <c r="Z95" s="1042"/>
      <c r="AA95" s="1042"/>
      <c r="AB95" s="1042"/>
      <c r="AC95" s="1042"/>
      <c r="AD95" s="1042"/>
      <c r="AE95" s="1042"/>
    </row>
    <row r="96" spans="1:31" ht="134.44999999999999" customHeight="1" thickBot="1">
      <c r="A96" s="1126" t="s">
        <v>544</v>
      </c>
      <c r="B96" s="1121" t="s">
        <v>38</v>
      </c>
      <c r="C96" s="1122" t="s">
        <v>228</v>
      </c>
      <c r="D96" s="1122" t="s">
        <v>545</v>
      </c>
      <c r="E96" s="1122" t="s">
        <v>546</v>
      </c>
      <c r="F96" s="1122" t="s">
        <v>547</v>
      </c>
      <c r="G96" s="1123" t="s">
        <v>548</v>
      </c>
      <c r="H96" s="1123" t="s">
        <v>549</v>
      </c>
      <c r="I96" s="1124" t="s">
        <v>550</v>
      </c>
      <c r="J96" s="1122" t="s">
        <v>518</v>
      </c>
      <c r="K96" s="1122" t="s">
        <v>551</v>
      </c>
      <c r="L96" s="1122" t="s">
        <v>522</v>
      </c>
      <c r="M96" s="1122" t="s">
        <v>523</v>
      </c>
      <c r="N96" s="1122" t="s">
        <v>524</v>
      </c>
      <c r="O96" s="1122" t="s">
        <v>552</v>
      </c>
      <c r="P96" s="1125" t="s">
        <v>553</v>
      </c>
      <c r="Q96"/>
      <c r="W96" s="1041"/>
      <c r="X96" s="1042"/>
      <c r="Y96" s="1042"/>
      <c r="Z96" s="1042"/>
      <c r="AA96" s="1042"/>
      <c r="AB96" s="1042"/>
      <c r="AC96" s="1042"/>
      <c r="AD96" s="1042"/>
      <c r="AE96" s="1042"/>
    </row>
    <row r="97" spans="1:31" ht="14.45" customHeight="1">
      <c r="A97" s="1136" t="s">
        <v>554</v>
      </c>
      <c r="B97" s="1571" t="s">
        <v>43</v>
      </c>
      <c r="C97" s="1138">
        <f>SUMIFS('1.1-Investissements'!$BA$10:$BA$109,'1.1-Investissements'!$AC$10:$AC$109,"Oui",'1.1-Investissements'!$B$10:$B$109,B95)+SUMIFS('1.2-Amortissements'!$AF$10:$AF$109,'1.2-Amortissements'!$D$10:$D$109,"Oui",'1.2-Amortissements'!$B$10:$B$109,B95)</f>
        <v>0</v>
      </c>
      <c r="D97" s="1026">
        <f>C97/$C$102</f>
        <v>0</v>
      </c>
      <c r="E97" s="1027">
        <v>0.8</v>
      </c>
      <c r="F97" s="1028">
        <f>IF(E97=0,"",C97*E97)</f>
        <v>0</v>
      </c>
      <c r="G97" s="1028">
        <f>IF(C97=0,0,IF($G$17*$D$99+$O$99&gt;($C$99-$F$99),F97-(($G$17*$D$99)+$O$99-($C$99-$F$99))*(F97/$F$99),F97))</f>
        <v>0</v>
      </c>
      <c r="H97" s="1029">
        <f>IF(C97=0,0,G97/C97)</f>
        <v>0</v>
      </c>
      <c r="I97" s="1246" t="str">
        <f>$K$25</f>
        <v>Oui</v>
      </c>
      <c r="J97" s="1030">
        <f>IF(G97=0,0,IF($I$97="Oui",G97-$D$17*((F97/$F$99)*$C$99/$C$102),G97*0.85))</f>
        <v>0</v>
      </c>
      <c r="K97" s="1030">
        <f>IF(G97=0,0,IF($I$97="Oui",0.15*G97,G97-J97))</f>
        <v>0</v>
      </c>
      <c r="L97" s="1030">
        <f>IF(C97=0,0,IF($I$97="Oui",K97,$D$17*(F97/$F$99*$C$99/$C$102)))</f>
        <v>0</v>
      </c>
      <c r="M97" s="1030">
        <f>IF(K97="",0,K97-L97)</f>
        <v>0</v>
      </c>
      <c r="N97" s="1030">
        <f>IF($F$99=0,0,IF($D$17=0,0,(F97/$F$99*$C$99/$C$102)*$D$17-L97))</f>
        <v>0</v>
      </c>
      <c r="O97" s="1030">
        <v>0</v>
      </c>
      <c r="P97" s="1031">
        <f>IFERROR(C97-J97-K97-N97-O97-($G$17*C97/$C$99*$C$99/$C$102),0)</f>
        <v>0</v>
      </c>
      <c r="Q97"/>
      <c r="W97" s="1041"/>
      <c r="X97" s="1042"/>
      <c r="Y97" s="1042"/>
      <c r="Z97" s="1042"/>
      <c r="AA97" s="1042"/>
      <c r="AB97" s="1042"/>
      <c r="AC97" s="1042"/>
      <c r="AD97" s="1042"/>
      <c r="AE97" s="1042"/>
    </row>
    <row r="98" spans="1:31" ht="14.1" customHeight="1" thickBot="1">
      <c r="A98" s="1137" t="s">
        <v>555</v>
      </c>
      <c r="B98" s="1572"/>
      <c r="C98" s="1139">
        <f>SUMIFS('1.1-Investissements'!$BA$10:$BA$109,'1.1-Investissements'!$AC$10:$AC$109,"Non",'1.1-Investissements'!$B$10:$B$109,B95)+SUMIFS('1.2-Amortissements'!$AF$10:$AF$109,'1.2-Amortissements'!$D$10:$D$109,"Non",'1.2-Amortissements'!$B$10:$B$109,B95)+SUMIFS('2-Contributions en nature'!$S$10:$S$109,'2-Contributions en nature'!$B$10:$B$109,B95)+SUMIFS('3-Frais de personnel'!$AD$10:$AD$109,'3-Frais de personnel'!$B$10:$B$109,B95)+SUMIFS('4-TF coûts indirects'!$O$10:$O$20,'4-TF coûts indirects'!$B$10:$B$20,B95)+SUMIFS('5-Déplacements &amp; hébergements'!$BQ$10:$BQ$49,'5-Déplacements &amp; hébergements'!$B$10:$B$49,B95)+SUMIFS('6-Coûts participation agri'!$AC$13:$AC$52,'6-Coûts participation agri'!$B$13:$B$52,B95)</f>
        <v>0</v>
      </c>
      <c r="D98" s="1032">
        <f t="shared" ref="D98:D99" si="89">C98/$C$102</f>
        <v>0</v>
      </c>
      <c r="E98" s="949">
        <v>1</v>
      </c>
      <c r="F98" s="950">
        <f t="shared" ref="F98" si="90">IF(E98=0,"",C98*E98)</f>
        <v>0</v>
      </c>
      <c r="G98" s="950">
        <f>IF(C98=0,0,IF($G$17*$D$99+$O$99&gt;($C$99-$F$99),F98-(($G$17*$D$99)+$O$99-($C$99-$F$99))*(F98/$F$99),F98))</f>
        <v>0</v>
      </c>
      <c r="H98" s="951">
        <f t="shared" ref="H98" si="91">IF(C98=0,0,G98/C98)</f>
        <v>0</v>
      </c>
      <c r="I98" s="1247"/>
      <c r="J98" s="952">
        <f t="shared" ref="J98:J99" si="92">IF(G98=0,0,IF($I$97="Oui",G98-$D$17*((F98/$F$99)*$C$99/$C$102),G98*0.85))</f>
        <v>0</v>
      </c>
      <c r="K98" s="952">
        <f t="shared" ref="K98:K99" si="93">IF(G98=0,0,IF($I$97="Oui",0.15*G98,G98-J98))</f>
        <v>0</v>
      </c>
      <c r="L98" s="952">
        <f t="shared" ref="L98:L99" si="94">IF(C98=0,0,IF($I$97="Oui",K98,$D$17*(F98/$F$99*$C$99/$C$102)))</f>
        <v>0</v>
      </c>
      <c r="M98" s="952">
        <f t="shared" ref="M98" si="95">IF(K98="",0,K98-L98)</f>
        <v>0</v>
      </c>
      <c r="N98" s="952">
        <f t="shared" ref="N98:N99" si="96">IF($F$99=0,0,IF($D$17=0,0,(F98/$F$99*$C$99/$C$102)*$D$17-L98))</f>
        <v>0</v>
      </c>
      <c r="O98" s="952">
        <f>SUMIFS('2-Contributions en nature'!$S$10:$S$109,'2-Contributions en nature'!$B$10:$B$109,B95)</f>
        <v>0</v>
      </c>
      <c r="P98" s="1033">
        <f t="shared" ref="P98:P99" si="97">IFERROR(C98-J98-K98-N98-O98-($G$17*C98/$C$99*$C$99/$C$102),0)</f>
        <v>0</v>
      </c>
      <c r="Q98"/>
      <c r="W98" s="1041"/>
      <c r="X98" s="1042"/>
      <c r="Y98" s="1042"/>
      <c r="Z98" s="1042"/>
      <c r="AA98" s="1042"/>
      <c r="AB98" s="1042"/>
      <c r="AC98" s="1042"/>
      <c r="AD98" s="1042"/>
      <c r="AE98" s="1042"/>
    </row>
    <row r="99" spans="1:31" s="1034" customFormat="1" ht="48.6" customHeight="1" thickBot="1">
      <c r="B99" s="1035" t="s">
        <v>556</v>
      </c>
      <c r="C99" s="1036">
        <f>IF($A$7=0,"",SUM(C97:C98))</f>
        <v>0</v>
      </c>
      <c r="D99" s="1134">
        <f t="shared" si="89"/>
        <v>0</v>
      </c>
      <c r="E99" s="953"/>
      <c r="F99" s="954">
        <f>SUM(F97:F98)</f>
        <v>0</v>
      </c>
      <c r="G99" s="954">
        <f>SUM(G97:G98)</f>
        <v>0</v>
      </c>
      <c r="H99" s="955">
        <f>IF(C99=0,0,G99/C99)</f>
        <v>0</v>
      </c>
      <c r="I99" s="1037"/>
      <c r="J99" s="956">
        <f t="shared" si="92"/>
        <v>0</v>
      </c>
      <c r="K99" s="956">
        <f t="shared" si="93"/>
        <v>0</v>
      </c>
      <c r="L99" s="956">
        <f t="shared" si="94"/>
        <v>0</v>
      </c>
      <c r="M99" s="956">
        <f>SUM(M97:M98)</f>
        <v>0</v>
      </c>
      <c r="N99" s="956">
        <f t="shared" si="96"/>
        <v>0</v>
      </c>
      <c r="O99" s="956">
        <f>SUM(O97:O98)</f>
        <v>0</v>
      </c>
      <c r="P99" s="1135">
        <f t="shared" si="97"/>
        <v>0</v>
      </c>
    </row>
    <row r="100" spans="1:31" s="65" customFormat="1" ht="18.95">
      <c r="B100" s="667"/>
      <c r="N100" s="47"/>
      <c r="O100" s="47"/>
      <c r="P100" s="47"/>
      <c r="Q100" s="47"/>
      <c r="R100" s="47"/>
      <c r="S100" s="47"/>
      <c r="T100" s="47"/>
      <c r="U100" s="47"/>
    </row>
    <row r="101" spans="1:31" s="65" customFormat="1" ht="20.100000000000001" thickBot="1">
      <c r="B101" s="667"/>
      <c r="N101" s="47"/>
      <c r="O101" s="47"/>
      <c r="P101" s="47"/>
      <c r="Q101" s="47"/>
      <c r="R101" s="47"/>
      <c r="S101" s="47"/>
      <c r="T101" s="47"/>
      <c r="U101" s="47"/>
    </row>
    <row r="102" spans="1:31" s="65" customFormat="1" ht="20.100000000000001" thickBot="1">
      <c r="B102" s="1081" t="s">
        <v>462</v>
      </c>
      <c r="C102" s="1082">
        <f>C39+C45+C51+C57+C63+C69+C75+C81+C87+C93+C99</f>
        <v>17845.385000000002</v>
      </c>
      <c r="D102" s="1083">
        <f>D39+D45+D51+D57+D63+D69+D75+D81+D87+D93+D99</f>
        <v>0.99999999999999978</v>
      </c>
      <c r="E102" s="1083"/>
      <c r="F102" s="1082">
        <f t="shared" ref="F102:P102" si="98">F39+F45+F51+F57+F63+F69+F75+F81+F87+F93+F99</f>
        <v>17845.385000000002</v>
      </c>
      <c r="G102" s="1082">
        <f t="shared" si="98"/>
        <v>12445.384999999998</v>
      </c>
      <c r="H102" s="1082"/>
      <c r="I102" s="1082"/>
      <c r="J102" s="1082">
        <f>ROUNDDOWN(J39+J45+J51+J57+J63+J69+J75+J81+J87+J93+J99,2)</f>
        <v>10445.379999999999</v>
      </c>
      <c r="K102" s="1082">
        <f>ROUNDUP(K39+K45+K51+K57+K63+K69+K75+K81+K87+K93+K99,2)</f>
        <v>1866.81</v>
      </c>
      <c r="L102" s="1082">
        <f>L39+L45+L51+L57+L63+L69+L75+L81+L87+L93+L99</f>
        <v>1866.8077499999999</v>
      </c>
      <c r="M102" s="1082">
        <f t="shared" si="98"/>
        <v>0</v>
      </c>
      <c r="N102" s="1082">
        <f>ROUNDUP(N39+N45+N51+N57+N63+N69+N75+N81+N87+N93+N99,2)</f>
        <v>133.19999999999999</v>
      </c>
      <c r="O102" s="1082">
        <f t="shared" si="98"/>
        <v>4400</v>
      </c>
      <c r="P102" s="1084">
        <f t="shared" si="98"/>
        <v>-4.3343106881366111E-13</v>
      </c>
      <c r="Q102" s="47"/>
      <c r="R102" s="47"/>
      <c r="S102" s="47"/>
      <c r="T102" s="47"/>
      <c r="U102" s="47"/>
    </row>
    <row r="104" spans="1:31" ht="15.95" thickBot="1"/>
    <row r="105" spans="1:31">
      <c r="A105" s="1217" t="s">
        <v>557</v>
      </c>
      <c r="B105" s="1640" t="s">
        <v>558</v>
      </c>
      <c r="C105" s="1641"/>
      <c r="D105" s="1642" t="s">
        <v>487</v>
      </c>
      <c r="E105" s="1642"/>
      <c r="F105" s="1642" t="s">
        <v>488</v>
      </c>
      <c r="G105" s="1642"/>
      <c r="H105" s="1642" t="s">
        <v>316</v>
      </c>
      <c r="I105" s="1642"/>
      <c r="J105" s="1642" t="s">
        <v>560</v>
      </c>
      <c r="K105" s="1642"/>
      <c r="L105" s="1638" t="s">
        <v>561</v>
      </c>
      <c r="M105" s="1638"/>
      <c r="N105" s="1638" t="s">
        <v>562</v>
      </c>
      <c r="O105" s="1639"/>
    </row>
    <row r="106" spans="1:31" ht="15.95" thickBot="1">
      <c r="A106" s="1219"/>
      <c r="B106" s="1221" t="s">
        <v>600</v>
      </c>
      <c r="C106" s="1222" t="s">
        <v>601</v>
      </c>
      <c r="D106" s="1222" t="s">
        <v>600</v>
      </c>
      <c r="E106" s="1222" t="s">
        <v>601</v>
      </c>
      <c r="F106" s="1222" t="s">
        <v>600</v>
      </c>
      <c r="G106" s="1222" t="s">
        <v>601</v>
      </c>
      <c r="H106" s="1222" t="s">
        <v>600</v>
      </c>
      <c r="I106" s="1222" t="s">
        <v>601</v>
      </c>
      <c r="J106" s="1222" t="s">
        <v>600</v>
      </c>
      <c r="K106" s="1222" t="s">
        <v>601</v>
      </c>
      <c r="L106" s="1222" t="s">
        <v>600</v>
      </c>
      <c r="M106" s="1222" t="s">
        <v>601</v>
      </c>
      <c r="N106" s="1222" t="s">
        <v>600</v>
      </c>
      <c r="O106" s="1223" t="s">
        <v>601</v>
      </c>
    </row>
    <row r="107" spans="1:31" ht="15.95" thickBot="1">
      <c r="A107" s="1224" t="s">
        <v>462</v>
      </c>
      <c r="B107" s="1225">
        <f>'Syn pf Bénéficiaire'!B106</f>
        <v>3200</v>
      </c>
      <c r="C107" s="1226">
        <f>K7</f>
        <v>3200</v>
      </c>
      <c r="D107" s="1226">
        <f>'Syn pf Bénéficiaire'!C106</f>
        <v>3000</v>
      </c>
      <c r="E107" s="1226">
        <f>L7</f>
        <v>3000</v>
      </c>
      <c r="F107" s="1226">
        <f>'Syn pf Bénéficiaire'!D106</f>
        <v>4400</v>
      </c>
      <c r="G107" s="1226">
        <f>M7</f>
        <v>4400</v>
      </c>
      <c r="H107" s="1226">
        <f>'Syn pf Bénéficiaire'!E106</f>
        <v>2514.9</v>
      </c>
      <c r="I107" s="1226">
        <f>N7</f>
        <v>2514.9</v>
      </c>
      <c r="J107" s="1226">
        <f>'Syn pf Bénéficiaire'!F106</f>
        <v>377.23500000000001</v>
      </c>
      <c r="K107" s="1226">
        <f>O7</f>
        <v>377.23500000000001</v>
      </c>
      <c r="L107" s="1226">
        <f>'Syn pf Bénéficiaire'!G106</f>
        <v>3205.25</v>
      </c>
      <c r="M107" s="1226">
        <f>P7</f>
        <v>3205.25</v>
      </c>
      <c r="N107" s="1226">
        <f>'Syn pf Bénéficiaire'!H106</f>
        <v>1148</v>
      </c>
      <c r="O107" s="1227">
        <f>Q7</f>
        <v>1148</v>
      </c>
    </row>
    <row r="108" spans="1:31">
      <c r="A108" s="1220" t="s">
        <v>11</v>
      </c>
      <c r="B108" s="1214">
        <f>'Syn pf Bénéficiaire'!B108</f>
        <v>2100</v>
      </c>
      <c r="C108" s="1127">
        <f>SUMIFS('1.1-Investissements'!$BA$10:$BA$109,'1.1-Investissements'!$B$10:$B$109,A108)</f>
        <v>2100</v>
      </c>
      <c r="D108" s="1127">
        <f>'Syn pf Bénéficiaire'!C108</f>
        <v>3000</v>
      </c>
      <c r="E108" s="1127">
        <f>SUMIFS('1.2-Amortissements'!$AF$10:$AF$109,'1.2-Amortissements'!$B$10:$B$109,A108)</f>
        <v>3000</v>
      </c>
      <c r="F108" s="1127">
        <f>'Syn pf Bénéficiaire'!D108</f>
        <v>4000</v>
      </c>
      <c r="G108" s="1127">
        <f>SUMIFS('2-Contributions en nature'!$S$10:$S$109,'2-Contributions en nature'!$B$10:$B$109,A108)</f>
        <v>4000</v>
      </c>
      <c r="H108" s="1127">
        <f>'Syn pf Bénéficiaire'!E108</f>
        <v>14.899999999999999</v>
      </c>
      <c r="I108" s="1127">
        <f>SUMIFS('3-Frais de personnel'!$AD$10:$AD$109,'3-Frais de personnel'!$B$10:$B$109,A108)</f>
        <v>14.899999999999999</v>
      </c>
      <c r="J108" s="1127">
        <f>'Syn pf Bénéficiaire'!F108</f>
        <v>2.2349999999999999</v>
      </c>
      <c r="K108" s="1127">
        <f>SUMIFS('4-TF coûts indirects'!$O$10:$O$20,'4-TF coûts indirects'!$B$10:$B$20,A108)</f>
        <v>2.2349999999999999</v>
      </c>
      <c r="L108" s="1127">
        <f>'Syn pf Bénéficiaire'!G108</f>
        <v>0</v>
      </c>
      <c r="M108" s="1127">
        <f>SUMIFS('5-Déplacements &amp; hébergements'!$BQ$10:$BQ$49,'5-Déplacements &amp; hébergements'!$B$10:$B$49,A108)</f>
        <v>0</v>
      </c>
      <c r="N108" s="1127">
        <f>'Syn pf Bénéficiaire'!H108</f>
        <v>0</v>
      </c>
      <c r="O108" s="1128">
        <f>SUMIFS('6-Coûts participation agri'!$AC$13:$AC$52,'6-Coûts participation agri'!$B$13:$B$52,A108)</f>
        <v>0</v>
      </c>
    </row>
    <row r="109" spans="1:31">
      <c r="A109" s="1218" t="s">
        <v>12</v>
      </c>
      <c r="B109" s="1215">
        <f>'Syn pf Bénéficiaire'!B109</f>
        <v>0</v>
      </c>
      <c r="C109" s="1129">
        <f>SUMIFS('1.1-Investissements'!$BA$10:$BA$109,'1.1-Investissements'!$B$10:$B$109,A109)</f>
        <v>0</v>
      </c>
      <c r="D109" s="1129">
        <f>'Syn pf Bénéficiaire'!C109</f>
        <v>0</v>
      </c>
      <c r="E109" s="1129">
        <f>SUMIFS('1.2-Amortissements'!$AF$10:$AF$109,'1.2-Amortissements'!$B$10:$B$109,A109)</f>
        <v>0</v>
      </c>
      <c r="F109" s="1129">
        <f>'Syn pf Bénéficiaire'!D109</f>
        <v>400</v>
      </c>
      <c r="G109" s="1129">
        <f>SUMIFS('2-Contributions en nature'!$S$10:$S$109,'2-Contributions en nature'!$B$10:$B$109,A109)</f>
        <v>400</v>
      </c>
      <c r="H109" s="1129">
        <f>'Syn pf Bénéficiaire'!E109</f>
        <v>2500</v>
      </c>
      <c r="I109" s="1129">
        <f>SUMIFS('3-Frais de personnel'!$AD$10:$AD$109,'3-Frais de personnel'!$B$10:$B$109,A109)</f>
        <v>2500</v>
      </c>
      <c r="J109" s="1129">
        <f>'Syn pf Bénéficiaire'!F109</f>
        <v>375</v>
      </c>
      <c r="K109" s="1129">
        <f>SUMIFS('4-TF coûts indirects'!$O$10:$O$20,'4-TF coûts indirects'!$B$10:$B$20,A109)</f>
        <v>375</v>
      </c>
      <c r="L109" s="1129">
        <f>'Syn pf Bénéficiaire'!G109</f>
        <v>0</v>
      </c>
      <c r="M109" s="1129">
        <f>SUMIFS('5-Déplacements &amp; hébergements'!$BQ$10:$BQ$49,'5-Déplacements &amp; hébergements'!$B$10:$B$49,A109)</f>
        <v>0</v>
      </c>
      <c r="N109" s="1129">
        <f>'Syn pf Bénéficiaire'!H109</f>
        <v>0</v>
      </c>
      <c r="O109" s="1213">
        <f>SUMIFS('6-Coûts participation agri'!$AC$13:$AC$52,'6-Coûts participation agri'!$B$13:$B$52,A109)</f>
        <v>0</v>
      </c>
    </row>
    <row r="110" spans="1:31">
      <c r="A110" s="1218" t="s">
        <v>13</v>
      </c>
      <c r="B110" s="1215">
        <f>'Syn pf Bénéficiaire'!B110</f>
        <v>1100</v>
      </c>
      <c r="C110" s="1129">
        <f>SUMIFS('1.1-Investissements'!$BA$10:$BA$109,'1.1-Investissements'!$B$10:$B$109,A110)</f>
        <v>1100</v>
      </c>
      <c r="D110" s="1129">
        <f>'Syn pf Bénéficiaire'!C110</f>
        <v>0</v>
      </c>
      <c r="E110" s="1129">
        <f>SUMIFS('1.2-Amortissements'!$AF$10:$AF$109,'1.2-Amortissements'!$B$10:$B$109,A110)</f>
        <v>0</v>
      </c>
      <c r="F110" s="1129">
        <f>'Syn pf Bénéficiaire'!D110</f>
        <v>0</v>
      </c>
      <c r="G110" s="1129">
        <f>SUMIFS('2-Contributions en nature'!$S$10:$S$109,'2-Contributions en nature'!$B$10:$B$109,A110)</f>
        <v>0</v>
      </c>
      <c r="H110" s="1129">
        <f>'Syn pf Bénéficiaire'!E110</f>
        <v>0</v>
      </c>
      <c r="I110" s="1129">
        <f>SUMIFS('3-Frais de personnel'!$AD$10:$AD$109,'3-Frais de personnel'!$B$10:$B$109,A110)</f>
        <v>0</v>
      </c>
      <c r="J110" s="1129">
        <f>'Syn pf Bénéficiaire'!F110</f>
        <v>0</v>
      </c>
      <c r="K110" s="1129">
        <f>SUMIFS('4-TF coûts indirects'!$O$10:$O$20,'4-TF coûts indirects'!$B$10:$B$20,A110)</f>
        <v>0</v>
      </c>
      <c r="L110" s="1129">
        <f>'Syn pf Bénéficiaire'!G110</f>
        <v>0</v>
      </c>
      <c r="M110" s="1129">
        <f>SUMIFS('5-Déplacements &amp; hébergements'!$BQ$10:$BQ$49,'5-Déplacements &amp; hébergements'!$B$10:$B$49,A110)</f>
        <v>0</v>
      </c>
      <c r="N110" s="1129">
        <f>'Syn pf Bénéficiaire'!H110</f>
        <v>0</v>
      </c>
      <c r="O110" s="1213">
        <f>SUMIFS('6-Coûts participation agri'!$AC$13:$AC$52,'6-Coûts participation agri'!$B$13:$B$52,A110)</f>
        <v>0</v>
      </c>
    </row>
    <row r="111" spans="1:31">
      <c r="A111" s="1218" t="s">
        <v>14</v>
      </c>
      <c r="B111" s="1215">
        <f>'Syn pf Bénéficiaire'!B111</f>
        <v>0</v>
      </c>
      <c r="C111" s="1129">
        <f>SUMIFS('1.1-Investissements'!$BA$10:$BA$109,'1.1-Investissements'!$B$10:$B$109,A111)</f>
        <v>0</v>
      </c>
      <c r="D111" s="1129">
        <f>'Syn pf Bénéficiaire'!C111</f>
        <v>0</v>
      </c>
      <c r="E111" s="1129">
        <f>SUMIFS('1.2-Amortissements'!$AF$10:$AF$109,'1.2-Amortissements'!$B$10:$B$109,A111)</f>
        <v>0</v>
      </c>
      <c r="F111" s="1129">
        <f>'Syn pf Bénéficiaire'!D111</f>
        <v>0</v>
      </c>
      <c r="G111" s="1129">
        <f>SUMIFS('2-Contributions en nature'!$S$10:$S$109,'2-Contributions en nature'!$B$10:$B$109,A111)</f>
        <v>0</v>
      </c>
      <c r="H111" s="1129">
        <f>'Syn pf Bénéficiaire'!E111</f>
        <v>0</v>
      </c>
      <c r="I111" s="1129">
        <f>SUMIFS('3-Frais de personnel'!$AD$10:$AD$109,'3-Frais de personnel'!$B$10:$B$109,A111)</f>
        <v>0</v>
      </c>
      <c r="J111" s="1129">
        <f>'Syn pf Bénéficiaire'!F111</f>
        <v>0</v>
      </c>
      <c r="K111" s="1129">
        <f>SUMIFS('4-TF coûts indirects'!$O$10:$O$20,'4-TF coûts indirects'!$B$10:$B$20,A111)</f>
        <v>0</v>
      </c>
      <c r="L111" s="1129">
        <f>'Syn pf Bénéficiaire'!G111</f>
        <v>0</v>
      </c>
      <c r="M111" s="1129">
        <f>SUMIFS('5-Déplacements &amp; hébergements'!$BQ$10:$BQ$49,'5-Déplacements &amp; hébergements'!$B$10:$B$49,A111)</f>
        <v>0</v>
      </c>
      <c r="N111" s="1129">
        <f>'Syn pf Bénéficiaire'!H111</f>
        <v>0</v>
      </c>
      <c r="O111" s="1213">
        <f>SUMIFS('6-Coûts participation agri'!$AC$13:$AC$52,'6-Coûts participation agri'!$B$13:$B$52,A111)</f>
        <v>0</v>
      </c>
    </row>
    <row r="112" spans="1:31">
      <c r="A112" s="1218" t="s">
        <v>15</v>
      </c>
      <c r="B112" s="1215">
        <f>'Syn pf Bénéficiaire'!B112</f>
        <v>0</v>
      </c>
      <c r="C112" s="1129">
        <f>SUMIFS('1.1-Investissements'!$BA$10:$BA$109,'1.1-Investissements'!$B$10:$B$109,A112)</f>
        <v>0</v>
      </c>
      <c r="D112" s="1129">
        <f>'Syn pf Bénéficiaire'!C112</f>
        <v>0</v>
      </c>
      <c r="E112" s="1129">
        <f>SUMIFS('1.2-Amortissements'!$AF$10:$AF$109,'1.2-Amortissements'!$B$10:$B$109,A112)</f>
        <v>0</v>
      </c>
      <c r="F112" s="1129">
        <f>'Syn pf Bénéficiaire'!D112</f>
        <v>0</v>
      </c>
      <c r="G112" s="1129">
        <f>SUMIFS('2-Contributions en nature'!$S$10:$S$109,'2-Contributions en nature'!$B$10:$B$109,A112)</f>
        <v>0</v>
      </c>
      <c r="H112" s="1129">
        <f>'Syn pf Bénéficiaire'!E112</f>
        <v>0</v>
      </c>
      <c r="I112" s="1129">
        <f>SUMIFS('3-Frais de personnel'!$AD$10:$AD$109,'3-Frais de personnel'!$B$10:$B$109,A112)</f>
        <v>0</v>
      </c>
      <c r="J112" s="1129">
        <f>'Syn pf Bénéficiaire'!F112</f>
        <v>0</v>
      </c>
      <c r="K112" s="1129">
        <f>SUMIFS('4-TF coûts indirects'!$O$10:$O$20,'4-TF coûts indirects'!$B$10:$B$20,A112)</f>
        <v>0</v>
      </c>
      <c r="L112" s="1129">
        <f>'Syn pf Bénéficiaire'!G112</f>
        <v>0</v>
      </c>
      <c r="M112" s="1129">
        <f>SUMIFS('5-Déplacements &amp; hébergements'!$BQ$10:$BQ$49,'5-Déplacements &amp; hébergements'!$B$10:$B$49,A112)</f>
        <v>0</v>
      </c>
      <c r="N112" s="1129">
        <f>'Syn pf Bénéficiaire'!H112</f>
        <v>0</v>
      </c>
      <c r="O112" s="1213">
        <f>SUMIFS('6-Coûts participation agri'!$AC$13:$AC$52,'6-Coûts participation agri'!$B$13:$B$52,A112)</f>
        <v>0</v>
      </c>
    </row>
    <row r="113" spans="1:15">
      <c r="A113" s="1218" t="s">
        <v>16</v>
      </c>
      <c r="B113" s="1215">
        <f>'Syn pf Bénéficiaire'!B113</f>
        <v>0</v>
      </c>
      <c r="C113" s="1129">
        <f>SUMIFS('1.1-Investissements'!$BA$10:$BA$109,'1.1-Investissements'!$B$10:$B$109,A113)</f>
        <v>0</v>
      </c>
      <c r="D113" s="1129">
        <f>'Syn pf Bénéficiaire'!C113</f>
        <v>0</v>
      </c>
      <c r="E113" s="1129">
        <f>SUMIFS('1.2-Amortissements'!$AF$10:$AF$109,'1.2-Amortissements'!$B$10:$B$109,A113)</f>
        <v>0</v>
      </c>
      <c r="F113" s="1129">
        <f>'Syn pf Bénéficiaire'!D113</f>
        <v>0</v>
      </c>
      <c r="G113" s="1129">
        <f>SUMIFS('2-Contributions en nature'!$S$10:$S$109,'2-Contributions en nature'!$B$10:$B$109,A113)</f>
        <v>0</v>
      </c>
      <c r="H113" s="1129">
        <f>'Syn pf Bénéficiaire'!E113</f>
        <v>0</v>
      </c>
      <c r="I113" s="1129">
        <f>SUMIFS('3-Frais de personnel'!$AD$10:$AD$109,'3-Frais de personnel'!$B$10:$B$109,A113)</f>
        <v>0</v>
      </c>
      <c r="J113" s="1129">
        <f>'Syn pf Bénéficiaire'!F113</f>
        <v>0</v>
      </c>
      <c r="K113" s="1129">
        <f>SUMIFS('4-TF coûts indirects'!$O$10:$O$20,'4-TF coûts indirects'!$B$10:$B$20,A113)</f>
        <v>0</v>
      </c>
      <c r="L113" s="1129">
        <f>'Syn pf Bénéficiaire'!G113</f>
        <v>0</v>
      </c>
      <c r="M113" s="1129">
        <f>SUMIFS('5-Déplacements &amp; hébergements'!$BQ$10:$BQ$49,'5-Déplacements &amp; hébergements'!$B$10:$B$49,A113)</f>
        <v>0</v>
      </c>
      <c r="N113" s="1129">
        <f>'Syn pf Bénéficiaire'!H113</f>
        <v>0</v>
      </c>
      <c r="O113" s="1213">
        <f>SUMIFS('6-Coûts participation agri'!$AC$13:$AC$52,'6-Coûts participation agri'!$B$13:$B$52,A113)</f>
        <v>0</v>
      </c>
    </row>
    <row r="114" spans="1:15">
      <c r="A114" s="1218" t="s">
        <v>17</v>
      </c>
      <c r="B114" s="1215">
        <f>'Syn pf Bénéficiaire'!B114</f>
        <v>0</v>
      </c>
      <c r="C114" s="1129">
        <f>SUMIFS('1.1-Investissements'!$BA$10:$BA$109,'1.1-Investissements'!$B$10:$B$109,A114)</f>
        <v>0</v>
      </c>
      <c r="D114" s="1129">
        <f>'Syn pf Bénéficiaire'!C114</f>
        <v>0</v>
      </c>
      <c r="E114" s="1129">
        <f>SUMIFS('1.2-Amortissements'!$AF$10:$AF$109,'1.2-Amortissements'!$B$10:$B$109,A114)</f>
        <v>0</v>
      </c>
      <c r="F114" s="1129">
        <f>'Syn pf Bénéficiaire'!D114</f>
        <v>0</v>
      </c>
      <c r="G114" s="1129">
        <f>SUMIFS('2-Contributions en nature'!$S$10:$S$109,'2-Contributions en nature'!$B$10:$B$109,A114)</f>
        <v>0</v>
      </c>
      <c r="H114" s="1129">
        <f>'Syn pf Bénéficiaire'!E114</f>
        <v>0</v>
      </c>
      <c r="I114" s="1129">
        <f>SUMIFS('3-Frais de personnel'!$AD$10:$AD$109,'3-Frais de personnel'!$B$10:$B$109,A114)</f>
        <v>0</v>
      </c>
      <c r="J114" s="1129">
        <f>'Syn pf Bénéficiaire'!F114</f>
        <v>0</v>
      </c>
      <c r="K114" s="1129">
        <f>SUMIFS('4-TF coûts indirects'!$O$10:$O$20,'4-TF coûts indirects'!$B$10:$B$20,A114)</f>
        <v>0</v>
      </c>
      <c r="L114" s="1129">
        <f>'Syn pf Bénéficiaire'!G114</f>
        <v>3205.25</v>
      </c>
      <c r="M114" s="1129">
        <f>SUMIFS('5-Déplacements &amp; hébergements'!$BQ$10:$BQ$49,'5-Déplacements &amp; hébergements'!$B$10:$B$49,A114)</f>
        <v>3205.25</v>
      </c>
      <c r="N114" s="1129">
        <f>'Syn pf Bénéficiaire'!H114</f>
        <v>0</v>
      </c>
      <c r="O114" s="1213">
        <f>SUMIFS('6-Coûts participation agri'!$AC$13:$AC$52,'6-Coûts participation agri'!$B$13:$B$52,A114)</f>
        <v>0</v>
      </c>
    </row>
    <row r="115" spans="1:15">
      <c r="A115" s="1218" t="s">
        <v>18</v>
      </c>
      <c r="B115" s="1215">
        <f>'Syn pf Bénéficiaire'!B115</f>
        <v>0</v>
      </c>
      <c r="C115" s="1129">
        <f>SUMIFS('1.1-Investissements'!$BA$10:$BA$109,'1.1-Investissements'!$B$10:$B$109,A115)</f>
        <v>0</v>
      </c>
      <c r="D115" s="1129">
        <f>'Syn pf Bénéficiaire'!C115</f>
        <v>0</v>
      </c>
      <c r="E115" s="1129">
        <f>SUMIFS('1.2-Amortissements'!$AF$10:$AF$109,'1.2-Amortissements'!$B$10:$B$109,A115)</f>
        <v>0</v>
      </c>
      <c r="F115" s="1129">
        <f>'Syn pf Bénéficiaire'!D115</f>
        <v>0</v>
      </c>
      <c r="G115" s="1129">
        <f>SUMIFS('2-Contributions en nature'!$S$10:$S$109,'2-Contributions en nature'!$B$10:$B$109,A115)</f>
        <v>0</v>
      </c>
      <c r="H115" s="1129">
        <f>'Syn pf Bénéficiaire'!E115</f>
        <v>0</v>
      </c>
      <c r="I115" s="1129">
        <f>SUMIFS('3-Frais de personnel'!$AD$10:$AD$109,'3-Frais de personnel'!$B$10:$B$109,A115)</f>
        <v>0</v>
      </c>
      <c r="J115" s="1129">
        <f>'Syn pf Bénéficiaire'!F115</f>
        <v>0</v>
      </c>
      <c r="K115" s="1129">
        <f>SUMIFS('4-TF coûts indirects'!$O$10:$O$20,'4-TF coûts indirects'!$B$10:$B$20,A115)</f>
        <v>0</v>
      </c>
      <c r="L115" s="1129">
        <f>'Syn pf Bénéficiaire'!G115</f>
        <v>0</v>
      </c>
      <c r="M115" s="1129">
        <f>SUMIFS('5-Déplacements &amp; hébergements'!$BQ$10:$BQ$49,'5-Déplacements &amp; hébergements'!$B$10:$B$49,A115)</f>
        <v>0</v>
      </c>
      <c r="N115" s="1129">
        <f>'Syn pf Bénéficiaire'!H115</f>
        <v>0</v>
      </c>
      <c r="O115" s="1213">
        <f>SUMIFS('6-Coûts participation agri'!$AC$13:$AC$52,'6-Coûts participation agri'!$B$13:$B$52,A115)</f>
        <v>0</v>
      </c>
    </row>
    <row r="116" spans="1:15">
      <c r="A116" s="1218" t="s">
        <v>19</v>
      </c>
      <c r="B116" s="1215">
        <f>'Syn pf Bénéficiaire'!B116</f>
        <v>0</v>
      </c>
      <c r="C116" s="1129">
        <f>SUMIFS('1.1-Investissements'!$BA$10:$BA$109,'1.1-Investissements'!$B$10:$B$109,A116)</f>
        <v>0</v>
      </c>
      <c r="D116" s="1129">
        <f>'Syn pf Bénéficiaire'!C116</f>
        <v>0</v>
      </c>
      <c r="E116" s="1129">
        <f>SUMIFS('1.2-Amortissements'!$AF$10:$AF$109,'1.2-Amortissements'!$B$10:$B$109,A116)</f>
        <v>0</v>
      </c>
      <c r="F116" s="1129">
        <f>'Syn pf Bénéficiaire'!D116</f>
        <v>0</v>
      </c>
      <c r="G116" s="1129">
        <f>SUMIFS('2-Contributions en nature'!$S$10:$S$109,'2-Contributions en nature'!$B$10:$B$109,A116)</f>
        <v>0</v>
      </c>
      <c r="H116" s="1129">
        <f>'Syn pf Bénéficiaire'!E116</f>
        <v>0</v>
      </c>
      <c r="I116" s="1129">
        <f>SUMIFS('3-Frais de personnel'!$AD$10:$AD$109,'3-Frais de personnel'!$B$10:$B$109,A116)</f>
        <v>0</v>
      </c>
      <c r="J116" s="1129">
        <f>'Syn pf Bénéficiaire'!F116</f>
        <v>0</v>
      </c>
      <c r="K116" s="1129">
        <f>SUMIFS('4-TF coûts indirects'!$O$10:$O$20,'4-TF coûts indirects'!$B$10:$B$20,A116)</f>
        <v>0</v>
      </c>
      <c r="L116" s="1129">
        <f>'Syn pf Bénéficiaire'!G116</f>
        <v>0</v>
      </c>
      <c r="M116" s="1129">
        <f>SUMIFS('5-Déplacements &amp; hébergements'!$BQ$10:$BQ$49,'5-Déplacements &amp; hébergements'!$B$10:$B$49,A116)</f>
        <v>0</v>
      </c>
      <c r="N116" s="1129">
        <f>'Syn pf Bénéficiaire'!H116</f>
        <v>1148</v>
      </c>
      <c r="O116" s="1213">
        <f>SUMIFS('6-Coûts participation agri'!$AC$13:$AC$52,'6-Coûts participation agri'!$B$13:$B$52,A116)</f>
        <v>1148</v>
      </c>
    </row>
    <row r="117" spans="1:15">
      <c r="A117" s="1218" t="s">
        <v>20</v>
      </c>
      <c r="B117" s="1215">
        <f>'Syn pf Bénéficiaire'!B117</f>
        <v>0</v>
      </c>
      <c r="C117" s="1129">
        <f>SUMIFS('1.1-Investissements'!$BA$10:$BA$109,'1.1-Investissements'!$B$10:$B$109,A117)</f>
        <v>0</v>
      </c>
      <c r="D117" s="1129">
        <f>'Syn pf Bénéficiaire'!C117</f>
        <v>0</v>
      </c>
      <c r="E117" s="1129">
        <f>SUMIFS('1.2-Amortissements'!$AF$10:$AF$109,'1.2-Amortissements'!$B$10:$B$109,A117)</f>
        <v>0</v>
      </c>
      <c r="F117" s="1129">
        <f>'Syn pf Bénéficiaire'!D117</f>
        <v>0</v>
      </c>
      <c r="G117" s="1129">
        <f>SUMIFS('2-Contributions en nature'!$S$10:$S$109,'2-Contributions en nature'!$B$10:$B$109,A117)</f>
        <v>0</v>
      </c>
      <c r="H117" s="1129">
        <f>'Syn pf Bénéficiaire'!E117</f>
        <v>0</v>
      </c>
      <c r="I117" s="1129">
        <f>SUMIFS('3-Frais de personnel'!$AD$10:$AD$109,'3-Frais de personnel'!$B$10:$B$109,A117)</f>
        <v>0</v>
      </c>
      <c r="J117" s="1129">
        <f>'Syn pf Bénéficiaire'!F117</f>
        <v>0</v>
      </c>
      <c r="K117" s="1129">
        <f>SUMIFS('4-TF coûts indirects'!$O$10:$O$20,'4-TF coûts indirects'!$B$10:$B$20,A117)</f>
        <v>0</v>
      </c>
      <c r="L117" s="1129">
        <f>'Syn pf Bénéficiaire'!G117</f>
        <v>0</v>
      </c>
      <c r="M117" s="1129">
        <f>SUMIFS('5-Déplacements &amp; hébergements'!$BQ$10:$BQ$49,'5-Déplacements &amp; hébergements'!$B$10:$B$49,A117)</f>
        <v>0</v>
      </c>
      <c r="N117" s="1129">
        <f>'Syn pf Bénéficiaire'!H117</f>
        <v>0</v>
      </c>
      <c r="O117" s="1213">
        <f>SUMIFS('6-Coûts participation agri'!$AC$13:$AC$52,'6-Coûts participation agri'!$B$13:$B$52,A117)</f>
        <v>0</v>
      </c>
    </row>
    <row r="118" spans="1:15" ht="15.95" thickBot="1">
      <c r="A118" s="1219" t="s">
        <v>21</v>
      </c>
      <c r="B118" s="1216">
        <f>'Syn pf Bénéficiaire'!B118</f>
        <v>0</v>
      </c>
      <c r="C118" s="1131">
        <f>SUMIFS('1.1-Investissements'!$BA$10:$BA$109,'1.1-Investissements'!$B$10:$B$109,A118)</f>
        <v>0</v>
      </c>
      <c r="D118" s="1131">
        <f>'Syn pf Bénéficiaire'!C118</f>
        <v>0</v>
      </c>
      <c r="E118" s="1131">
        <f>SUMIFS('1.2-Amortissements'!$AF$10:$AF$109,'1.2-Amortissements'!$B$10:$B$109,A118)</f>
        <v>0</v>
      </c>
      <c r="F118" s="1131">
        <f>'Syn pf Bénéficiaire'!D118</f>
        <v>0</v>
      </c>
      <c r="G118" s="1131">
        <f>SUMIFS('2-Contributions en nature'!$S$10:$S$109,'2-Contributions en nature'!$B$10:$B$109,A118)</f>
        <v>0</v>
      </c>
      <c r="H118" s="1131">
        <f>'Syn pf Bénéficiaire'!E118</f>
        <v>0</v>
      </c>
      <c r="I118" s="1131">
        <f>SUMIFS('3-Frais de personnel'!$AD$10:$AD$109,'3-Frais de personnel'!$B$10:$B$109,A118)</f>
        <v>0</v>
      </c>
      <c r="J118" s="1131">
        <f>'Syn pf Bénéficiaire'!F118</f>
        <v>0</v>
      </c>
      <c r="K118" s="1131">
        <f>SUMIFS('4-TF coûts indirects'!$O$10:$O$20,'4-TF coûts indirects'!$B$10:$B$20,A118)</f>
        <v>0</v>
      </c>
      <c r="L118" s="1131">
        <f>'Syn pf Bénéficiaire'!G118</f>
        <v>0</v>
      </c>
      <c r="M118" s="1131">
        <f>SUMIFS('5-Déplacements &amp; hébergements'!$BQ$10:$BQ$49,'5-Déplacements &amp; hébergements'!$B$10:$B$49,A118)</f>
        <v>0</v>
      </c>
      <c r="N118" s="1131">
        <f>'Syn pf Bénéficiaire'!H118</f>
        <v>0</v>
      </c>
      <c r="O118" s="1132">
        <f>SUMIFS('6-Coûts participation agri'!$AC$13:$AC$52,'6-Coûts participation agri'!$B$13:$B$52,A118)</f>
        <v>0</v>
      </c>
    </row>
    <row r="119" spans="1:15">
      <c r="C119" s="234"/>
      <c r="D119" s="234"/>
      <c r="E119" s="234"/>
      <c r="F119" s="234"/>
      <c r="G119" s="234"/>
      <c r="H119" s="234"/>
      <c r="I119" s="234"/>
      <c r="J119" s="234"/>
      <c r="K119" s="1207"/>
      <c r="L119" s="1207"/>
      <c r="M119" s="1207"/>
      <c r="N119" s="1207"/>
      <c r="O119" s="1207"/>
    </row>
    <row r="120" spans="1:15">
      <c r="C120" s="234"/>
      <c r="D120" s="234"/>
      <c r="E120" s="234"/>
      <c r="F120" s="234"/>
      <c r="G120" s="234"/>
      <c r="H120" s="234"/>
      <c r="I120" s="234"/>
      <c r="J120" s="234"/>
      <c r="K120" s="1207"/>
      <c r="L120" s="1207"/>
      <c r="M120" s="1207"/>
      <c r="N120" s="1207"/>
      <c r="O120" s="1207"/>
    </row>
  </sheetData>
  <sheetProtection formatCells="0" formatColumns="0" formatRows="0" insertColumns="0" insertRows="0" insertHyperlinks="0" deleteColumns="0" deleteRows="0" sort="0" autoFilter="0" pivotTables="0"/>
  <mergeCells count="77">
    <mergeCell ref="L105:M105"/>
    <mergeCell ref="N105:O105"/>
    <mergeCell ref="B105:C105"/>
    <mergeCell ref="D105:E105"/>
    <mergeCell ref="F105:G105"/>
    <mergeCell ref="H105:I105"/>
    <mergeCell ref="J105:K105"/>
    <mergeCell ref="B25:B26"/>
    <mergeCell ref="M25:M26"/>
    <mergeCell ref="N25:N26"/>
    <mergeCell ref="K25:K26"/>
    <mergeCell ref="A22:K22"/>
    <mergeCell ref="L22:R22"/>
    <mergeCell ref="A23:A24"/>
    <mergeCell ref="H23:H24"/>
    <mergeCell ref="V23:V24"/>
    <mergeCell ref="O23:O24"/>
    <mergeCell ref="A21:V21"/>
    <mergeCell ref="A2:R2"/>
    <mergeCell ref="K4:R4"/>
    <mergeCell ref="D10:H10"/>
    <mergeCell ref="F5:H5"/>
    <mergeCell ref="K5:Q5"/>
    <mergeCell ref="E3:I3"/>
    <mergeCell ref="A4:D4"/>
    <mergeCell ref="F4:I4"/>
    <mergeCell ref="F7:I7"/>
    <mergeCell ref="D11:I11"/>
    <mergeCell ref="B47:P47"/>
    <mergeCell ref="U5:V5"/>
    <mergeCell ref="A5:D5"/>
    <mergeCell ref="B23:B24"/>
    <mergeCell ref="C23:C24"/>
    <mergeCell ref="E23:E24"/>
    <mergeCell ref="J19:L19"/>
    <mergeCell ref="D18:F18"/>
    <mergeCell ref="U23:U24"/>
    <mergeCell ref="R23:R24"/>
    <mergeCell ref="H12:H13"/>
    <mergeCell ref="I12:I13"/>
    <mergeCell ref="S22:V22"/>
    <mergeCell ref="B37:B38"/>
    <mergeCell ref="I37:I38"/>
    <mergeCell ref="B41:P41"/>
    <mergeCell ref="B43:B44"/>
    <mergeCell ref="I43:I44"/>
    <mergeCell ref="G29:G30"/>
    <mergeCell ref="G31:G32"/>
    <mergeCell ref="J31:J32"/>
    <mergeCell ref="B34:P34"/>
    <mergeCell ref="B35:P35"/>
    <mergeCell ref="B49:B50"/>
    <mergeCell ref="I49:I50"/>
    <mergeCell ref="B53:P53"/>
    <mergeCell ref="B55:B56"/>
    <mergeCell ref="I55:I56"/>
    <mergeCell ref="B59:P59"/>
    <mergeCell ref="B61:B62"/>
    <mergeCell ref="I61:I62"/>
    <mergeCell ref="B65:P65"/>
    <mergeCell ref="B67:B68"/>
    <mergeCell ref="I67:I68"/>
    <mergeCell ref="B71:P71"/>
    <mergeCell ref="B73:B74"/>
    <mergeCell ref="I73:I74"/>
    <mergeCell ref="B77:P77"/>
    <mergeCell ref="B79:B80"/>
    <mergeCell ref="I79:I80"/>
    <mergeCell ref="B95:P95"/>
    <mergeCell ref="B97:B98"/>
    <mergeCell ref="I97:I98"/>
    <mergeCell ref="B83:P83"/>
    <mergeCell ref="B85:B86"/>
    <mergeCell ref="I85:I86"/>
    <mergeCell ref="B89:P89"/>
    <mergeCell ref="B91:B92"/>
    <mergeCell ref="I91:I92"/>
  </mergeCells>
  <phoneticPr fontId="11" type="noConversion"/>
  <conditionalFormatting sqref="G6">
    <cfRule type="containsText" dxfId="3" priority="4" operator="containsText" text="respecté">
      <formula>NOT(ISERROR(SEARCH("respecté",G6)))</formula>
    </cfRule>
    <cfRule type="containsText" dxfId="2" priority="5" stopIfTrue="1" operator="containsText" text="dépassé">
      <formula>NOT(ISERROR(SEARCH("dépassé",G6)))</formula>
    </cfRule>
  </conditionalFormatting>
  <conditionalFormatting sqref="I8">
    <cfRule type="notContainsText" dxfId="1" priority="1" operator="notContains" text="non">
      <formula>ISERROR(SEARCH("non",I8))</formula>
    </cfRule>
    <cfRule type="containsText" dxfId="0" priority="2" operator="containsText" text="non">
      <formula>NOT(ISERROR(SEARCH("non",I8)))</formula>
    </cfRule>
  </conditionalFormatting>
  <dataValidations count="3">
    <dataValidation allowBlank="1" showInputMessage="1" showErrorMessage="1" promptTitle="Attention" prompt="Cette formule affichera 0 si le montant minimum de dépenses présentées n'est pas atteint." sqref="D27" xr:uid="{6E091F11-BEF9-4B49-9172-C227DB5E3AB3}"/>
    <dataValidation type="list" allowBlank="1" showInputMessage="1" showErrorMessage="1" sqref="F17" xr:uid="{696D0761-3C07-4B19-B0AF-D8C22FF6A74D}">
      <formula1>"Oui,Non"</formula1>
    </dataValidation>
    <dataValidation type="list" allowBlank="1" showInputMessage="1" showErrorMessage="1" sqref="K25 I37 I85 I91 I43 I49 I55 I61 I67 I73 I79 I97" xr:uid="{4C770F10-68B2-9648-ADAE-CDB102DBF171}">
      <formula1>"Oui,Non,Non concerné"</formula1>
    </dataValidation>
  </dataValidations>
  <pageMargins left="0.7" right="0.7" top="0.75" bottom="0.75" header="0.3" footer="0.3"/>
  <pageSetup paperSize="9" scale="1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39B88879-B794-462B-A9D0-D464875CA962}">
          <x14:formula1>
            <xm:f>'0-Présentation typeaction'!$H$7:$H$7</xm:f>
          </x14:formula1>
          <xm:sqref>R6 U6:V6 B25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pageSetUpPr autoPageBreaks="0"/>
  </sheetPr>
  <dimension ref="E1:AJ118"/>
  <sheetViews>
    <sheetView showGridLines="0" topLeftCell="A2" zoomScale="61" zoomScaleNormal="85" workbookViewId="0">
      <selection activeCell="A16" sqref="A16:U16"/>
    </sheetView>
  </sheetViews>
  <sheetFormatPr defaultColWidth="11.42578125" defaultRowHeight="15"/>
  <cols>
    <col min="5" max="6" width="37" customWidth="1"/>
    <col min="7" max="7" width="34.140625" customWidth="1"/>
    <col min="8" max="8" width="38" customWidth="1"/>
    <col min="9" max="9" width="41.140625" style="82" customWidth="1"/>
    <col min="10" max="10" width="66.42578125" customWidth="1"/>
    <col min="11" max="11" width="34.42578125" customWidth="1"/>
    <col min="12" max="12" width="26.42578125" customWidth="1"/>
    <col min="14" max="19" width="27.140625" customWidth="1"/>
  </cols>
  <sheetData>
    <row r="1" spans="5:12" ht="21.95">
      <c r="E1" s="75" t="s">
        <v>602</v>
      </c>
      <c r="F1" s="75"/>
      <c r="G1" s="75"/>
      <c r="H1" s="76"/>
      <c r="I1" s="80"/>
      <c r="J1" s="76"/>
      <c r="K1" s="76"/>
      <c r="L1" s="76"/>
    </row>
    <row r="2" spans="5:12" ht="48" customHeight="1">
      <c r="E2" s="1667" t="s">
        <v>603</v>
      </c>
      <c r="F2" s="1667"/>
      <c r="G2" s="1667"/>
      <c r="H2" s="1667"/>
      <c r="I2" s="1667"/>
      <c r="J2" s="1667"/>
      <c r="K2" s="1667"/>
      <c r="L2" s="1667"/>
    </row>
    <row r="3" spans="5:12" ht="21.95">
      <c r="E3" s="77" t="s">
        <v>604</v>
      </c>
      <c r="F3" s="77"/>
      <c r="G3" s="77"/>
      <c r="H3" s="78"/>
      <c r="I3" s="81"/>
      <c r="J3" s="78"/>
      <c r="K3" s="78"/>
      <c r="L3" s="78"/>
    </row>
    <row r="4" spans="5:12" ht="18.95">
      <c r="E4" s="1667" t="s">
        <v>605</v>
      </c>
      <c r="F4" s="1667"/>
      <c r="G4" s="1667"/>
      <c r="H4" s="1667"/>
      <c r="I4" s="1667"/>
      <c r="J4" s="1667"/>
      <c r="K4" s="1667"/>
      <c r="L4" s="1667"/>
    </row>
    <row r="5" spans="5:12" ht="6.95" customHeight="1">
      <c r="E5" s="236"/>
      <c r="F5" s="236"/>
      <c r="G5" s="236"/>
      <c r="H5" s="236"/>
      <c r="I5" s="237"/>
      <c r="J5" s="236"/>
      <c r="K5" s="236"/>
      <c r="L5" s="236"/>
    </row>
    <row r="6" spans="5:12" ht="74.45" customHeight="1">
      <c r="E6" s="1668" t="s">
        <v>606</v>
      </c>
      <c r="F6" s="1668"/>
      <c r="G6" s="1668"/>
      <c r="H6" s="1668"/>
      <c r="I6" s="1668"/>
      <c r="J6" s="1668"/>
      <c r="K6" s="1668"/>
      <c r="L6" s="1668"/>
    </row>
    <row r="7" spans="5:12" ht="21">
      <c r="E7" s="903"/>
      <c r="F7" s="903"/>
      <c r="G7" s="903"/>
      <c r="H7" s="903"/>
      <c r="I7" s="904"/>
      <c r="J7" s="903"/>
      <c r="K7" s="903"/>
      <c r="L7" s="903"/>
    </row>
    <row r="8" spans="5:12" ht="21">
      <c r="E8" s="1669" t="s">
        <v>607</v>
      </c>
      <c r="F8" s="1669"/>
      <c r="G8" s="1669"/>
      <c r="H8" s="1669"/>
      <c r="I8" s="1669"/>
      <c r="J8" s="1669"/>
      <c r="K8" s="1669"/>
      <c r="L8" s="1669"/>
    </row>
    <row r="9" spans="5:12" ht="21">
      <c r="E9" s="1656" t="str">
        <f>Accueil!G15</f>
        <v>SAISIR ICI</v>
      </c>
      <c r="F9" s="1656"/>
      <c r="G9" s="1656"/>
      <c r="H9" s="1656"/>
      <c r="I9" s="1656"/>
      <c r="J9" s="1656"/>
      <c r="K9" s="1656"/>
      <c r="L9" s="1656"/>
    </row>
    <row r="10" spans="5:12" ht="21">
      <c r="E10" s="1656" t="str">
        <f>Accueil!G16</f>
        <v>SAISIR ICI</v>
      </c>
      <c r="F10" s="1656"/>
      <c r="G10" s="1656"/>
      <c r="H10" s="1656"/>
      <c r="I10" s="1656"/>
      <c r="J10" s="1656"/>
      <c r="K10" s="1656"/>
      <c r="L10" s="1656"/>
    </row>
    <row r="11" spans="5:12" ht="26.25" customHeight="1">
      <c r="E11" s="1664" t="s">
        <v>608</v>
      </c>
      <c r="F11" s="1664"/>
      <c r="G11" s="1664"/>
      <c r="H11" s="1664"/>
      <c r="I11" s="1664"/>
      <c r="J11" s="1664"/>
      <c r="K11" s="1664"/>
      <c r="L11" s="1664"/>
    </row>
    <row r="12" spans="5:12" ht="26.45" customHeight="1">
      <c r="E12" s="1665" t="s">
        <v>11</v>
      </c>
      <c r="F12" s="1665"/>
      <c r="G12" s="1665" t="s">
        <v>12</v>
      </c>
      <c r="H12" s="1665"/>
      <c r="I12" s="1665" t="s">
        <v>13</v>
      </c>
      <c r="J12" s="1665"/>
      <c r="K12" s="1665" t="s">
        <v>14</v>
      </c>
      <c r="L12" s="1665"/>
    </row>
    <row r="13" spans="5:12" ht="57" customHeight="1">
      <c r="E13" s="906" t="s">
        <v>22</v>
      </c>
      <c r="F13" s="907">
        <f>Accueil!D21</f>
        <v>0</v>
      </c>
      <c r="G13" s="906" t="s">
        <v>22</v>
      </c>
      <c r="H13" s="907">
        <f>Accueil!F21</f>
        <v>0</v>
      </c>
      <c r="I13" s="906" t="s">
        <v>22</v>
      </c>
      <c r="J13" s="907">
        <f>Accueil!H21</f>
        <v>0</v>
      </c>
      <c r="K13" s="906" t="s">
        <v>22</v>
      </c>
      <c r="L13" s="907">
        <f>Accueil!L21</f>
        <v>0</v>
      </c>
    </row>
    <row r="14" spans="5:12" ht="21">
      <c r="E14" s="1665" t="s">
        <v>15</v>
      </c>
      <c r="F14" s="1665"/>
      <c r="G14" s="1665" t="s">
        <v>16</v>
      </c>
      <c r="H14" s="1665"/>
      <c r="I14" s="1665" t="s">
        <v>17</v>
      </c>
      <c r="J14" s="1665"/>
      <c r="K14" s="1665" t="s">
        <v>18</v>
      </c>
      <c r="L14" s="1665"/>
    </row>
    <row r="15" spans="5:12" ht="94.5" customHeight="1">
      <c r="E15" s="906" t="s">
        <v>22</v>
      </c>
      <c r="F15" s="907">
        <f>Accueil!L21</f>
        <v>0</v>
      </c>
      <c r="G15" s="906" t="s">
        <v>22</v>
      </c>
      <c r="H15" s="907">
        <f>Accueil!N21</f>
        <v>0</v>
      </c>
      <c r="I15" s="906" t="s">
        <v>22</v>
      </c>
      <c r="J15" s="907">
        <f>Accueil!P21</f>
        <v>0</v>
      </c>
      <c r="K15" s="906" t="s">
        <v>22</v>
      </c>
      <c r="L15" s="907">
        <f>Accueil!R21</f>
        <v>0</v>
      </c>
    </row>
    <row r="16" spans="5:12" ht="21">
      <c r="E16" s="1665" t="s">
        <v>19</v>
      </c>
      <c r="F16" s="1665"/>
      <c r="G16" s="1665" t="s">
        <v>20</v>
      </c>
      <c r="H16" s="1665"/>
      <c r="I16" s="1665" t="s">
        <v>21</v>
      </c>
      <c r="J16" s="1665"/>
      <c r="K16" s="905"/>
      <c r="L16" s="908"/>
    </row>
    <row r="17" spans="5:36" ht="62.45" customHeight="1">
      <c r="E17" s="906" t="s">
        <v>22</v>
      </c>
      <c r="F17" s="907">
        <f>Accueil!T21</f>
        <v>0</v>
      </c>
      <c r="G17" s="906" t="s">
        <v>22</v>
      </c>
      <c r="H17" s="907">
        <f>Accueil!V21</f>
        <v>0</v>
      </c>
      <c r="I17" s="906" t="s">
        <v>22</v>
      </c>
      <c r="J17" s="907">
        <f>Accueil!X21</f>
        <v>0</v>
      </c>
      <c r="K17" s="905"/>
      <c r="L17" s="908"/>
    </row>
    <row r="18" spans="5:36" ht="26.1">
      <c r="E18" s="1657" t="str">
        <f>Accueil!B9</f>
        <v>Intervention 77.07 : Soutien aux projets pilotes, développement de nouveaux produits, pratiques, procédés et techniques dans les RUP françaises</v>
      </c>
      <c r="F18" s="1658"/>
      <c r="G18" s="1658"/>
      <c r="H18" s="1658"/>
      <c r="I18" s="1658"/>
      <c r="J18" s="1658"/>
      <c r="K18" s="1658"/>
      <c r="L18" s="1659"/>
      <c r="O18" s="1666"/>
      <c r="P18" s="1666"/>
      <c r="Q18" s="1666"/>
      <c r="R18" s="1666"/>
      <c r="S18" s="1666"/>
      <c r="T18" s="1666"/>
      <c r="U18" s="1666"/>
      <c r="V18" s="1666"/>
      <c r="W18" s="1666"/>
      <c r="X18" s="1666"/>
      <c r="Y18" s="1666"/>
      <c r="Z18" s="1666"/>
      <c r="AA18" s="1666"/>
      <c r="AB18" s="1666"/>
      <c r="AC18" s="1666"/>
      <c r="AD18" s="1666"/>
      <c r="AE18" s="1666"/>
      <c r="AF18" s="1666"/>
      <c r="AG18" s="1666"/>
      <c r="AH18" s="1666"/>
      <c r="AI18" s="1666"/>
      <c r="AJ18" s="1666"/>
    </row>
    <row r="19" spans="5:36" ht="21">
      <c r="E19" s="909"/>
      <c r="F19" s="892"/>
      <c r="G19" s="892"/>
      <c r="H19" s="892"/>
      <c r="I19" s="910"/>
      <c r="J19" s="892"/>
      <c r="K19" s="892"/>
      <c r="L19" s="911"/>
    </row>
    <row r="20" spans="5:36" ht="30" customHeight="1">
      <c r="E20" s="1660" t="s">
        <v>609</v>
      </c>
      <c r="F20" s="1661"/>
      <c r="G20" s="1661"/>
      <c r="H20" s="1661"/>
      <c r="I20" s="1661"/>
      <c r="J20" s="1661"/>
      <c r="K20" s="1661"/>
      <c r="L20" s="1662"/>
    </row>
    <row r="21" spans="5:36" ht="48" customHeight="1">
      <c r="E21" s="1663" t="s">
        <v>610</v>
      </c>
      <c r="F21" s="1663"/>
      <c r="G21" s="1663"/>
      <c r="H21" s="1663"/>
      <c r="I21" s="1663"/>
      <c r="J21" s="1663"/>
      <c r="K21" s="1663"/>
      <c r="L21" s="1663"/>
    </row>
    <row r="22" spans="5:36" ht="23.25" customHeight="1"/>
    <row r="23" spans="5:36" ht="21" customHeight="1" thickBot="1">
      <c r="H23" s="96"/>
    </row>
    <row r="24" spans="5:36" ht="21" customHeight="1" thickBot="1">
      <c r="E24" s="1651" t="s">
        <v>611</v>
      </c>
      <c r="F24" s="1652"/>
      <c r="G24" s="1653"/>
      <c r="H24" s="894"/>
      <c r="J24" s="1654" t="s">
        <v>612</v>
      </c>
      <c r="K24" s="1655"/>
      <c r="L24" s="251"/>
    </row>
    <row r="25" spans="5:36" ht="21" customHeight="1" thickBot="1">
      <c r="E25" s="1649" t="s">
        <v>582</v>
      </c>
      <c r="F25" s="1650"/>
      <c r="G25" s="896" t="s">
        <v>613</v>
      </c>
      <c r="H25" s="96"/>
      <c r="J25" s="252" t="s">
        <v>614</v>
      </c>
      <c r="K25" s="288">
        <f>'Syn pf Instructeur'!J27</f>
        <v>0.69740075655414557</v>
      </c>
      <c r="L25" s="250"/>
    </row>
    <row r="26" spans="5:36" ht="21" customHeight="1" thickBot="1">
      <c r="E26" s="1646" t="s">
        <v>615</v>
      </c>
      <c r="F26" s="1647"/>
      <c r="G26" s="1648"/>
      <c r="H26" s="670"/>
      <c r="J26" s="252" t="s">
        <v>616</v>
      </c>
      <c r="K26" s="289">
        <f>'Syn pf Instructeur'!I27</f>
        <v>12445.385000000002</v>
      </c>
      <c r="L26" s="249"/>
    </row>
    <row r="27" spans="5:36" ht="21" customHeight="1">
      <c r="E27" s="1228" t="s">
        <v>44</v>
      </c>
      <c r="F27" s="1230">
        <f>'Syn pf Instructeur'!$C$107</f>
        <v>3200</v>
      </c>
      <c r="G27" s="1231">
        <f>F27</f>
        <v>3200</v>
      </c>
      <c r="H27" s="96"/>
      <c r="J27" s="253" t="s">
        <v>617</v>
      </c>
      <c r="K27" s="290">
        <f>'Syn pf Instructeur'!L27</f>
        <v>10445.379999999999</v>
      </c>
      <c r="L27" s="250"/>
    </row>
    <row r="28" spans="5:36" ht="21" customHeight="1">
      <c r="E28" s="1228" t="s">
        <v>618</v>
      </c>
      <c r="F28" s="1232">
        <f>'Syn pf Instructeur'!$E$107</f>
        <v>3000</v>
      </c>
      <c r="G28" s="1233">
        <f t="shared" ref="G28:G33" si="0">F28</f>
        <v>3000</v>
      </c>
      <c r="H28" s="96"/>
      <c r="J28" s="253" t="s">
        <v>619</v>
      </c>
      <c r="K28" s="290">
        <f>'Syn pf Instructeur'!Q27</f>
        <v>0</v>
      </c>
      <c r="L28" s="250"/>
    </row>
    <row r="29" spans="5:36" ht="44.1">
      <c r="E29" s="1229" t="s">
        <v>64</v>
      </c>
      <c r="F29" s="1232">
        <f>'Syn pf Instructeur'!$G$107</f>
        <v>4400</v>
      </c>
      <c r="G29" s="1233">
        <f t="shared" si="0"/>
        <v>4400</v>
      </c>
      <c r="H29" s="96"/>
      <c r="J29" s="253" t="s">
        <v>620</v>
      </c>
      <c r="K29" s="290">
        <f>'Syn pf Instructeur'!P27</f>
        <v>1866.8077500000002</v>
      </c>
      <c r="L29" s="250"/>
    </row>
    <row r="30" spans="5:36" ht="42" customHeight="1">
      <c r="E30" s="1229" t="s">
        <v>621</v>
      </c>
      <c r="F30" s="1232">
        <f>'Syn pf Instructeur'!$I$107</f>
        <v>2514.9</v>
      </c>
      <c r="G30" s="1233">
        <f t="shared" si="0"/>
        <v>2514.9</v>
      </c>
      <c r="J30" s="253" t="s">
        <v>622</v>
      </c>
      <c r="K30" s="290">
        <f>'Syn pf Instructeur'!R27</f>
        <v>133.19999999999999</v>
      </c>
      <c r="L30" s="250"/>
    </row>
    <row r="31" spans="5:36" ht="23.1" thickBot="1">
      <c r="E31" s="1229" t="s">
        <v>623</v>
      </c>
      <c r="F31" s="1232">
        <f>'Syn pf Instructeur'!$K$107</f>
        <v>377.23500000000001</v>
      </c>
      <c r="G31" s="1233">
        <f t="shared" si="0"/>
        <v>377.23500000000001</v>
      </c>
      <c r="J31" s="252" t="s">
        <v>624</v>
      </c>
      <c r="K31" s="289">
        <f>'Syn pf Instructeur'!T25</f>
        <v>0</v>
      </c>
      <c r="L31" s="250"/>
    </row>
    <row r="32" spans="5:36" ht="45" thickBot="1">
      <c r="E32" s="1229" t="s">
        <v>53</v>
      </c>
      <c r="F32" s="1232">
        <f>'Syn pf Instructeur'!$M$107</f>
        <v>3205.25</v>
      </c>
      <c r="G32" s="1233">
        <f t="shared" si="0"/>
        <v>3205.25</v>
      </c>
      <c r="J32" s="254" t="s">
        <v>625</v>
      </c>
      <c r="K32" s="291">
        <f>K26+K31</f>
        <v>12445.385000000002</v>
      </c>
      <c r="L32" s="250"/>
    </row>
    <row r="33" spans="5:12" ht="23.1" thickBot="1">
      <c r="E33" s="1229" t="s">
        <v>49</v>
      </c>
      <c r="F33" s="1234">
        <f>'Syn pf Instructeur'!$O$107</f>
        <v>1148</v>
      </c>
      <c r="G33" s="1235">
        <f t="shared" si="0"/>
        <v>1148</v>
      </c>
      <c r="L33" s="250"/>
    </row>
    <row r="34" spans="5:12" ht="23.1" thickBot="1">
      <c r="E34" s="898" t="s">
        <v>625</v>
      </c>
      <c r="F34" s="899">
        <f>SUM(F27:F33)</f>
        <v>17845.385000000002</v>
      </c>
      <c r="G34" s="900">
        <f t="shared" ref="G34" si="1">F34</f>
        <v>17845.385000000002</v>
      </c>
      <c r="L34" s="250"/>
    </row>
    <row r="35" spans="5:12" ht="21">
      <c r="L35" s="250"/>
    </row>
    <row r="36" spans="5:12" ht="21">
      <c r="E36" s="245"/>
      <c r="F36" s="245"/>
      <c r="G36" s="246"/>
      <c r="H36" s="895"/>
      <c r="L36" s="250"/>
    </row>
    <row r="37" spans="5:12" ht="27.95" customHeight="1">
      <c r="E37" s="245"/>
      <c r="F37" s="245"/>
      <c r="G37" s="246"/>
      <c r="H37" s="895"/>
    </row>
    <row r="38" spans="5:12" ht="48" customHeight="1" thickBot="1">
      <c r="H38" s="96"/>
    </row>
    <row r="39" spans="5:12" ht="50.25" customHeight="1" thickBot="1">
      <c r="E39" s="1643" t="s">
        <v>626</v>
      </c>
      <c r="F39" s="1644"/>
      <c r="G39" s="1645"/>
      <c r="H39" s="670"/>
    </row>
    <row r="40" spans="5:12" ht="81.95" customHeight="1" thickBot="1">
      <c r="E40" s="901" t="s">
        <v>43</v>
      </c>
      <c r="F40" s="248">
        <f>'Syn pf Instructeur'!C7</f>
        <v>17845.385000000002</v>
      </c>
      <c r="G40" s="897">
        <f>F40</f>
        <v>17845.385000000002</v>
      </c>
      <c r="H40" s="96"/>
    </row>
    <row r="41" spans="5:12" ht="24" customHeight="1" thickBot="1">
      <c r="E41" s="902" t="s">
        <v>625</v>
      </c>
      <c r="F41" s="899">
        <f>SUM(F40:F40)</f>
        <v>17845.385000000002</v>
      </c>
      <c r="G41" s="900">
        <f>SUM(G40:G40)</f>
        <v>17845.385000000002</v>
      </c>
      <c r="H41" s="96"/>
      <c r="I41" s="102"/>
    </row>
    <row r="42" spans="5:12" ht="216.75" customHeight="1" thickBot="1">
      <c r="E42" s="103"/>
      <c r="F42" s="103"/>
    </row>
    <row r="43" spans="5:12" ht="30" thickBot="1">
      <c r="E43" s="1680" t="s">
        <v>627</v>
      </c>
      <c r="F43" s="1681"/>
      <c r="G43" s="1681"/>
      <c r="H43" s="1681"/>
      <c r="I43" s="1681"/>
      <c r="J43" s="1681"/>
      <c r="K43" s="1682"/>
    </row>
    <row r="44" spans="5:12" ht="50.1">
      <c r="E44" s="99" t="s">
        <v>628</v>
      </c>
      <c r="F44" s="893" t="s">
        <v>66</v>
      </c>
      <c r="G44" s="79" t="s">
        <v>87</v>
      </c>
      <c r="H44" s="79" t="s">
        <v>92</v>
      </c>
      <c r="I44" s="98" t="s">
        <v>88</v>
      </c>
      <c r="J44" s="79" t="s">
        <v>629</v>
      </c>
      <c r="K44" s="100" t="s">
        <v>630</v>
      </c>
    </row>
    <row r="45" spans="5:12" ht="24">
      <c r="E45" s="1671" t="s">
        <v>558</v>
      </c>
      <c r="F45" s="1672"/>
      <c r="G45" s="1672"/>
      <c r="H45" s="1672"/>
      <c r="I45" s="1672"/>
      <c r="J45" s="1672"/>
      <c r="K45" s="1675"/>
    </row>
    <row r="46" spans="5:12" ht="66">
      <c r="E46" s="689">
        <f xml:space="preserve"> IF('1.1-Investissements'!A10="","",'1.1-Investissements'!A10)</f>
        <v>1</v>
      </c>
      <c r="F46" s="689" t="str">
        <f xml:space="preserve"> IF('1.1-Investissements'!B10="","",'1.1-Investissements'!B10)</f>
        <v>Chef de file</v>
      </c>
      <c r="G46" s="690" t="str">
        <f xml:space="preserve"> IF('1.1-Investissements'!C10="","",'1.1-Investissements'!C10)</f>
        <v>Test</v>
      </c>
      <c r="H46" s="101" t="str">
        <f>'1.1-Investissements'!AF10</f>
        <v>Développement de nouveaux produits, pratiques, procédés et techniques</v>
      </c>
      <c r="I46" s="255">
        <f xml:space="preserve"> IF('1.1-Investissements'!D10="","",'1.1-Investissements'!D10)</f>
        <v>1</v>
      </c>
      <c r="J46" s="802" t="str">
        <f>IF(G46="","",IF('1.1-Investissements'!AC10="Oui",
"-Il s'agit d'un investissement productif","
-Il ne s'agit pas d'un investissement productif"))</f>
        <v xml:space="preserve">
-Il ne s'agit pas d'un investissement productif</v>
      </c>
      <c r="K46" s="292">
        <f xml:space="preserve"> IF('1.1-Investissements'!BA10="","",'1.1-Investissements'!BA10)</f>
        <v>2100</v>
      </c>
    </row>
    <row r="47" spans="5:12" ht="61.5" customHeight="1">
      <c r="E47" s="689">
        <f xml:space="preserve"> IF('1.1-Investissements'!A11="","",'1.1-Investissements'!A11)</f>
        <v>2</v>
      </c>
      <c r="F47" s="689" t="str">
        <f xml:space="preserve"> IF('1.1-Investissements'!B11="","",'1.1-Investissements'!B11)</f>
        <v>Partenaire 2</v>
      </c>
      <c r="G47" s="690" t="str">
        <f xml:space="preserve"> IF('1.1-Investissements'!C11="","",'1.1-Investissements'!C11)</f>
        <v>Test2</v>
      </c>
      <c r="H47" s="101" t="str">
        <f>'1.1-Investissements'!AF11</f>
        <v>Développement de nouveaux produits, pratiques, procédés et techniques</v>
      </c>
      <c r="I47" s="255">
        <f xml:space="preserve"> IF('1.1-Investissements'!D11="","",'1.1-Investissements'!D11)</f>
        <v>1</v>
      </c>
      <c r="J47" s="802" t="str">
        <f>IF(G47="","",IF('1.1-Investissements'!AC11="Oui",
"-Il s'agit d'un investissement productif","
-Il ne s'agit pas d'un investissement productif"))</f>
        <v xml:space="preserve">
-Il ne s'agit pas d'un investissement productif</v>
      </c>
      <c r="K47" s="292">
        <f xml:space="preserve"> IF('1.1-Investissements'!BA11="","",'1.1-Investissements'!BA11)</f>
        <v>1100</v>
      </c>
    </row>
    <row r="48" spans="5:12" ht="21.95">
      <c r="E48" s="689">
        <f xml:space="preserve"> IF('1.1-Investissements'!A12="","",'1.1-Investissements'!A12)</f>
        <v>3</v>
      </c>
      <c r="F48" s="689" t="str">
        <f xml:space="preserve"> IF('1.1-Investissements'!B12="","",'1.1-Investissements'!B12)</f>
        <v/>
      </c>
      <c r="G48" s="690" t="str">
        <f xml:space="preserve"> IF('1.1-Investissements'!C12="","",'1.1-Investissements'!C12)</f>
        <v/>
      </c>
      <c r="H48" s="101" t="str">
        <f>'1.1-Investissements'!AF12</f>
        <v/>
      </c>
      <c r="I48" s="255" t="str">
        <f xml:space="preserve"> IF('1.1-Investissements'!D12="","",'1.1-Investissements'!D12)</f>
        <v/>
      </c>
      <c r="J48" s="802" t="str">
        <f>IF(G48="","",IF('1.1-Investissements'!AC12="Oui",
"-Il s'agit d'un investissement productif","
-Il ne s'agit pas d'un investissement productif"))</f>
        <v/>
      </c>
      <c r="K48" s="292" t="str">
        <f xml:space="preserve"> IF('1.1-Investissements'!BA12="","",'1.1-Investissements'!BA12)</f>
        <v/>
      </c>
    </row>
    <row r="49" spans="5:20" ht="21.95">
      <c r="E49" s="689">
        <f xml:space="preserve"> IF('1.1-Investissements'!A13="","",'1.1-Investissements'!A13)</f>
        <v>4</v>
      </c>
      <c r="F49" s="689" t="str">
        <f xml:space="preserve"> IF('1.1-Investissements'!B13="","",'1.1-Investissements'!B13)</f>
        <v/>
      </c>
      <c r="G49" s="690" t="str">
        <f xml:space="preserve"> IF('1.1-Investissements'!C13="","",'1.1-Investissements'!C13)</f>
        <v/>
      </c>
      <c r="H49" s="101" t="str">
        <f>'1.1-Investissements'!AF13</f>
        <v/>
      </c>
      <c r="I49" s="255" t="str">
        <f xml:space="preserve"> IF('1.1-Investissements'!D13="","",'1.1-Investissements'!D13)</f>
        <v/>
      </c>
      <c r="J49" s="802" t="str">
        <f>IF(G49="","",IF('1.1-Investissements'!AC13="Oui",
"-Il s'agit d'un investissement productif","
-Il ne s'agit pas d'un investissement productif"))</f>
        <v/>
      </c>
      <c r="K49" s="292" t="str">
        <f xml:space="preserve"> IF('1.1-Investissements'!BA13="","",'1.1-Investissements'!BA13)</f>
        <v/>
      </c>
    </row>
    <row r="50" spans="5:20" ht="21.95">
      <c r="E50" s="689">
        <f xml:space="preserve"> IF('1.1-Investissements'!A14="","",'1.1-Investissements'!A14)</f>
        <v>5</v>
      </c>
      <c r="F50" s="689" t="str">
        <f xml:space="preserve"> IF('1.1-Investissements'!B14="","",'1.1-Investissements'!B14)</f>
        <v/>
      </c>
      <c r="G50" s="690" t="str">
        <f xml:space="preserve"> IF('1.1-Investissements'!C14="","",'1.1-Investissements'!C14)</f>
        <v/>
      </c>
      <c r="H50" s="101" t="str">
        <f>'1.1-Investissements'!AF14</f>
        <v/>
      </c>
      <c r="I50" s="255" t="str">
        <f xml:space="preserve"> IF('1.1-Investissements'!D14="","",'1.1-Investissements'!D14)</f>
        <v/>
      </c>
      <c r="J50" s="802" t="str">
        <f>IF(G50="","",IF('1.1-Investissements'!AC14="Oui",
"-Il s'agit d'un investissement productif","
-Il ne s'agit pas d'un investissement productif"))</f>
        <v/>
      </c>
      <c r="K50" s="292" t="str">
        <f xml:space="preserve"> IF('1.1-Investissements'!BA14="","",'1.1-Investissements'!BA14)</f>
        <v/>
      </c>
    </row>
    <row r="51" spans="5:20" ht="24">
      <c r="E51" s="1683" t="s">
        <v>487</v>
      </c>
      <c r="F51" s="1673"/>
      <c r="G51" s="1673"/>
      <c r="H51" s="1673"/>
      <c r="I51" s="1673"/>
      <c r="J51" s="1673"/>
      <c r="K51" s="1674"/>
    </row>
    <row r="52" spans="5:20" ht="66">
      <c r="E52" s="101">
        <f>IF('1.2-Amortissements'!A10="","",'1.2-Amortissements'!A10)</f>
        <v>1</v>
      </c>
      <c r="F52" s="101" t="str">
        <f>IF('1.2-Amortissements'!B10="","",'1.2-Amortissements'!B10)</f>
        <v>Chef de file</v>
      </c>
      <c r="G52" s="101" t="str">
        <f>IF('1.2-Amortissements'!C10="","",'1.2-Amortissements'!C10)</f>
        <v>Développement de nouveaux produits, pratiques, procédés et techniques</v>
      </c>
      <c r="H52" s="101" t="str">
        <f>IF('1.2-Amortissements'!C10="","",'1.2-Amortissements'!C10)</f>
        <v>Développement de nouveaux produits, pratiques, procédés et techniques</v>
      </c>
      <c r="I52" s="255">
        <f>IF('1.2-Amortissements'!H10="","",'1.2-Amortissements'!H10)</f>
        <v>1</v>
      </c>
      <c r="J52" s="802" t="str">
        <f>IF(G52="","",IF('1.2-Amortissements'!S10="Oui",
"-Il s'agit d'un investissement productif","
-Il ne s'agit pas d'un investissement productif"))</f>
        <v xml:space="preserve">
-Il ne s'agit pas d'un investissement productif</v>
      </c>
      <c r="K52" s="292">
        <f>IF('1.2-Amortissements'!AF10="","",'1.2-Amortissements'!AF10)</f>
        <v>2000</v>
      </c>
    </row>
    <row r="53" spans="5:20" ht="66">
      <c r="E53" s="101">
        <f>IF('1.2-Amortissements'!A11="","",'1.2-Amortissements'!A11)</f>
        <v>2</v>
      </c>
      <c r="F53" s="101" t="str">
        <f>IF('1.2-Amortissements'!B11="","",'1.2-Amortissements'!B11)</f>
        <v>Chef de file</v>
      </c>
      <c r="G53" s="101" t="str">
        <f>IF('1.2-Amortissements'!C11="","",'1.2-Amortissements'!C11)</f>
        <v>Développement de nouveaux produits, pratiques, procédés et techniques</v>
      </c>
      <c r="H53" s="101" t="str">
        <f>IF('1.2-Amortissements'!C11="","",'1.2-Amortissements'!C11)</f>
        <v>Développement de nouveaux produits, pratiques, procédés et techniques</v>
      </c>
      <c r="I53" s="255">
        <f>IF('1.2-Amortissements'!H11="","",'1.2-Amortissements'!H11)</f>
        <v>1</v>
      </c>
      <c r="J53" s="802" t="str">
        <f>IF(G53="","",IF('1.2-Amortissements'!S11="Oui",
"-Il s'agit d'un investissement productif","
-Il ne s'agit pas d'un investissement productif"))</f>
        <v xml:space="preserve">
-Il ne s'agit pas d'un investissement productif</v>
      </c>
      <c r="K53" s="292">
        <f>IF('1.2-Amortissements'!AF11="","",'1.2-Amortissements'!AF11)</f>
        <v>1000</v>
      </c>
    </row>
    <row r="54" spans="5:20" ht="21.95">
      <c r="E54" s="101">
        <f>IF('1.2-Amortissements'!A12="","",'1.2-Amortissements'!A12)</f>
        <v>3</v>
      </c>
      <c r="F54" s="101" t="str">
        <f>IF('1.2-Amortissements'!B12="","",'1.2-Amortissements'!B12)</f>
        <v/>
      </c>
      <c r="G54" s="101" t="str">
        <f>IF('1.2-Amortissements'!C12="","",'1.2-Amortissements'!C12)</f>
        <v/>
      </c>
      <c r="H54" s="101" t="str">
        <f>IF('1.2-Amortissements'!C12="","",'1.2-Amortissements'!C12)</f>
        <v/>
      </c>
      <c r="I54" s="255" t="str">
        <f>IF('1.2-Amortissements'!H12="","",'1.2-Amortissements'!H12)</f>
        <v/>
      </c>
      <c r="J54" s="802" t="str">
        <f>IF(G54="","",IF('1.2-Amortissements'!S12="Oui",
"-Il s'agit d'un investissement productif","
-Il ne s'agit pas d'un investissement productif"))</f>
        <v/>
      </c>
      <c r="K54" s="292" t="str">
        <f>IF('1.2-Amortissements'!AF12="","",'1.2-Amortissements'!AF12)</f>
        <v/>
      </c>
    </row>
    <row r="55" spans="5:20" ht="21.95">
      <c r="E55" s="101">
        <f>IF('1.2-Amortissements'!A13="","",'1.2-Amortissements'!A13)</f>
        <v>4</v>
      </c>
      <c r="F55" s="101" t="str">
        <f>IF('1.2-Amortissements'!B13="","",'1.2-Amortissements'!B13)</f>
        <v/>
      </c>
      <c r="G55" s="101" t="str">
        <f>IF('1.2-Amortissements'!C13="","",'1.2-Amortissements'!C13)</f>
        <v/>
      </c>
      <c r="H55" s="101" t="str">
        <f>IF('1.2-Amortissements'!C13="","",'1.2-Amortissements'!C13)</f>
        <v/>
      </c>
      <c r="I55" s="255" t="str">
        <f>IF('1.2-Amortissements'!H13="","",'1.2-Amortissements'!H13)</f>
        <v/>
      </c>
      <c r="J55" s="802" t="str">
        <f>IF(G55="","",IF('1.2-Amortissements'!S13="Oui",
"-Il s'agit d'un investissement productif","
-Il ne s'agit pas d'un investissement productif"))</f>
        <v/>
      </c>
      <c r="K55" s="292" t="str">
        <f>IF('1.2-Amortissements'!AF13="","",'1.2-Amortissements'!AF13)</f>
        <v/>
      </c>
    </row>
    <row r="56" spans="5:20" ht="21.95">
      <c r="E56" s="101">
        <f>IF('1.2-Amortissements'!A14="","",'1.2-Amortissements'!A14)</f>
        <v>5</v>
      </c>
      <c r="F56" s="101" t="str">
        <f>IF('1.2-Amortissements'!B14="","",'1.2-Amortissements'!B14)</f>
        <v/>
      </c>
      <c r="G56" s="101" t="str">
        <f>IF('1.2-Amortissements'!C14="","",'1.2-Amortissements'!C14)</f>
        <v/>
      </c>
      <c r="H56" s="101" t="str">
        <f>IF('1.2-Amortissements'!C14="","",'1.2-Amortissements'!C14)</f>
        <v/>
      </c>
      <c r="I56" s="255" t="str">
        <f>IF('1.2-Amortissements'!H14="","",'1.2-Amortissements'!H14)</f>
        <v/>
      </c>
      <c r="J56" s="802" t="str">
        <f>IF(G56="","",IF('1.2-Amortissements'!S14="Oui",
"-Il s'agit d'un investissement productif","
-Il ne s'agit pas d'un investissement productif"))</f>
        <v/>
      </c>
      <c r="K56" s="292" t="str">
        <f>IF('1.2-Amortissements'!AF14="","",'1.2-Amortissements'!AF14)</f>
        <v/>
      </c>
    </row>
    <row r="57" spans="5:20" ht="24">
      <c r="E57" s="1671" t="s">
        <v>488</v>
      </c>
      <c r="F57" s="1673"/>
      <c r="G57" s="1673"/>
      <c r="H57" s="1673"/>
      <c r="I57" s="1673"/>
      <c r="J57" s="1673"/>
      <c r="K57" s="1674"/>
    </row>
    <row r="58" spans="5:20" ht="66">
      <c r="E58" s="101">
        <f>IF('2-Contributions en nature'!A10="","",'2-Contributions en nature'!A10)</f>
        <v>1</v>
      </c>
      <c r="F58" s="101" t="str">
        <f>IF('2-Contributions en nature'!B10="","",'2-Contributions en nature'!B10)</f>
        <v>Partenaire 1</v>
      </c>
      <c r="G58" s="101" t="str">
        <f>IF('2-Contributions en nature'!E10="","",'2-Contributions en nature'!E10)</f>
        <v>bénévole</v>
      </c>
      <c r="H58" s="101" t="str">
        <f>IF('2-Contributions en nature'!D10="","",'2-Contributions en nature'!D10)</f>
        <v>Développement de nouveaux produits, pratiques, procédés et techniques</v>
      </c>
      <c r="I58" s="255">
        <f>IF('2-Contributions en nature'!F10="","",'2-Contributions en nature'!F10)</f>
        <v>1</v>
      </c>
      <c r="J58" s="1670" t="s">
        <v>631</v>
      </c>
      <c r="K58" s="292">
        <f>IF('2-Contributions en nature'!S10="","",'2-Contributions en nature'!S10)</f>
        <v>400</v>
      </c>
    </row>
    <row r="59" spans="5:20" ht="66">
      <c r="E59" s="101">
        <f>IF('2-Contributions en nature'!A11="","",'2-Contributions en nature'!A11)</f>
        <v>2</v>
      </c>
      <c r="F59" s="101" t="str">
        <f>IF('2-Contributions en nature'!B11="","",'2-Contributions en nature'!B11)</f>
        <v>Chef de file</v>
      </c>
      <c r="G59" s="101" t="str">
        <f>IF('2-Contributions en nature'!E11="","",'2-Contributions en nature'!E11)</f>
        <v>bénévole</v>
      </c>
      <c r="H59" s="101" t="str">
        <f>IF('2-Contributions en nature'!D11="","",'2-Contributions en nature'!D11)</f>
        <v>Développement de nouveaux produits, pratiques, procédés et techniques</v>
      </c>
      <c r="I59" s="255">
        <f>IF('2-Contributions en nature'!F11="","",'2-Contributions en nature'!F11)</f>
        <v>1</v>
      </c>
      <c r="J59" s="1670"/>
      <c r="K59" s="292">
        <f>IF('2-Contributions en nature'!S11="","",'2-Contributions en nature'!S11)</f>
        <v>4000</v>
      </c>
    </row>
    <row r="60" spans="5:20" ht="29.1">
      <c r="E60" s="101">
        <f>IF('2-Contributions en nature'!A12="","",'2-Contributions en nature'!A12)</f>
        <v>3</v>
      </c>
      <c r="F60" s="101" t="str">
        <f>IF('2-Contributions en nature'!B12="","",'2-Contributions en nature'!B12)</f>
        <v/>
      </c>
      <c r="G60" s="101" t="str">
        <f>IF('2-Contributions en nature'!E12="","",'2-Contributions en nature'!E12)</f>
        <v/>
      </c>
      <c r="H60" s="101" t="str">
        <f>IF('2-Contributions en nature'!D12="","",'2-Contributions en nature'!D12)</f>
        <v/>
      </c>
      <c r="I60" s="255" t="str">
        <f>IF('2-Contributions en nature'!F12="","",'2-Contributions en nature'!F12)</f>
        <v/>
      </c>
      <c r="J60" s="1670"/>
      <c r="K60" s="292" t="str">
        <f>IF('2-Contributions en nature'!S12="","",'2-Contributions en nature'!S12)</f>
        <v/>
      </c>
      <c r="L60" s="247"/>
      <c r="M60" s="83"/>
      <c r="N60" s="83"/>
      <c r="O60" s="83"/>
      <c r="P60" s="83"/>
      <c r="Q60" s="83"/>
      <c r="R60" s="83"/>
      <c r="S60" s="83"/>
      <c r="T60" s="83"/>
    </row>
    <row r="61" spans="5:20" ht="29.1">
      <c r="E61" s="101">
        <f>IF('2-Contributions en nature'!A13="","",'2-Contributions en nature'!A13)</f>
        <v>4</v>
      </c>
      <c r="F61" s="101" t="str">
        <f>IF('2-Contributions en nature'!B13="","",'2-Contributions en nature'!B13)</f>
        <v/>
      </c>
      <c r="G61" s="101" t="str">
        <f>IF('2-Contributions en nature'!E13="","",'2-Contributions en nature'!E13)</f>
        <v/>
      </c>
      <c r="H61" s="101" t="str">
        <f>IF('2-Contributions en nature'!D13="","",'2-Contributions en nature'!D13)</f>
        <v/>
      </c>
      <c r="I61" s="255" t="str">
        <f>IF('2-Contributions en nature'!F13="","",'2-Contributions en nature'!F13)</f>
        <v/>
      </c>
      <c r="J61" s="1670"/>
      <c r="K61" s="292" t="str">
        <f>IF('2-Contributions en nature'!S13="","",'2-Contributions en nature'!S13)</f>
        <v/>
      </c>
      <c r="L61" s="90"/>
      <c r="M61" s="83"/>
      <c r="N61" s="1679"/>
      <c r="O61" s="1679"/>
      <c r="P61" s="1679"/>
      <c r="Q61" s="1679"/>
      <c r="R61" s="1679"/>
      <c r="S61" s="1679"/>
      <c r="T61" s="83"/>
    </row>
    <row r="62" spans="5:20" ht="24">
      <c r="E62" s="101">
        <f>IF('2-Contributions en nature'!A14="","",'2-Contributions en nature'!A14)</f>
        <v>5</v>
      </c>
      <c r="F62" s="101" t="str">
        <f>IF('2-Contributions en nature'!B14="","",'2-Contributions en nature'!B14)</f>
        <v/>
      </c>
      <c r="G62" s="101" t="str">
        <f>IF('2-Contributions en nature'!E14="","",'2-Contributions en nature'!E14)</f>
        <v/>
      </c>
      <c r="H62" s="101" t="str">
        <f>IF('2-Contributions en nature'!D14="","",'2-Contributions en nature'!D14)</f>
        <v/>
      </c>
      <c r="I62" s="255" t="str">
        <f>IF('2-Contributions en nature'!F14="","",'2-Contributions en nature'!F14)</f>
        <v/>
      </c>
      <c r="J62" s="1670"/>
      <c r="K62" s="292" t="str">
        <f>IF('2-Contributions en nature'!S14="","",'2-Contributions en nature'!S14)</f>
        <v/>
      </c>
      <c r="L62" s="84"/>
      <c r="M62" s="83"/>
      <c r="N62" s="84"/>
      <c r="O62" s="84"/>
      <c r="P62" s="84"/>
      <c r="Q62" s="84"/>
      <c r="R62" s="84"/>
      <c r="S62" s="84"/>
      <c r="T62" s="83"/>
    </row>
    <row r="63" spans="5:20" ht="24">
      <c r="E63" s="1671" t="s">
        <v>316</v>
      </c>
      <c r="F63" s="1673"/>
      <c r="G63" s="1673"/>
      <c r="H63" s="1673"/>
      <c r="I63" s="1673"/>
      <c r="J63" s="1673"/>
      <c r="K63" s="1674"/>
      <c r="L63" s="89"/>
      <c r="M63" s="83"/>
      <c r="N63" s="1676"/>
      <c r="O63" s="1676"/>
      <c r="P63" s="1676"/>
      <c r="Q63" s="1676"/>
      <c r="R63" s="1676"/>
      <c r="S63" s="1676"/>
      <c r="T63" s="83"/>
    </row>
    <row r="64" spans="5:20" ht="23.45" customHeight="1">
      <c r="E64" s="101">
        <f>IF('3-Frais de personnel'!A10="","",'3-Frais de personnel'!A10)</f>
        <v>1</v>
      </c>
      <c r="F64" s="101" t="str">
        <f>IF('3-Frais de personnel'!B10="","",'3-Frais de personnel'!B10)</f>
        <v>Chef de file</v>
      </c>
      <c r="G64" s="101" t="str">
        <f>IF('3-Frais de personnel'!C10="","",'3-Frais de personnel'!C10)</f>
        <v>TEST</v>
      </c>
      <c r="H64" s="101" t="str">
        <f>IF('3-Frais de personnel'!D10="","",'3-Frais de personnel'!D10)</f>
        <v>Développement de nouveaux produits, pratiques, procédés et techniques</v>
      </c>
      <c r="I64" s="255">
        <f>IF('3-Frais de personnel'!K10="","",'3-Frais de personnel'!K10)</f>
        <v>0.14899999999999999</v>
      </c>
      <c r="J64" s="1670" t="s">
        <v>631</v>
      </c>
      <c r="K64" s="292">
        <f>IF('3-Frais de personnel'!AD10="","",'3-Frais de personnel'!AD10)</f>
        <v>14.899999999999999</v>
      </c>
      <c r="L64" s="89"/>
      <c r="M64" s="83"/>
      <c r="N64" s="86"/>
      <c r="O64" s="86"/>
      <c r="P64" s="86"/>
      <c r="Q64" s="88"/>
      <c r="R64" s="88"/>
      <c r="S64" s="88"/>
      <c r="T64" s="83"/>
    </row>
    <row r="65" spans="5:20" ht="66">
      <c r="E65" s="101">
        <f>IF('3-Frais de personnel'!A11="","",'3-Frais de personnel'!A11)</f>
        <v>2</v>
      </c>
      <c r="F65" s="101" t="str">
        <f>IF('3-Frais de personnel'!B11="","",'3-Frais de personnel'!B11)</f>
        <v>Partenaire 1</v>
      </c>
      <c r="G65" s="101" t="str">
        <f>IF('3-Frais de personnel'!C11="","",'3-Frais de personnel'!C11)</f>
        <v>Test 2</v>
      </c>
      <c r="H65" s="101" t="str">
        <f>IF('3-Frais de personnel'!D11="","",'3-Frais de personnel'!D11)</f>
        <v>Développement de nouveaux produits, pratiques, procédés et techniques</v>
      </c>
      <c r="I65" s="255">
        <f>IF('3-Frais de personnel'!K11="","",'3-Frais de personnel'!K11)</f>
        <v>1</v>
      </c>
      <c r="J65" s="1670"/>
      <c r="K65" s="292">
        <f>IF('3-Frais de personnel'!AD11="","",'3-Frais de personnel'!AD11)</f>
        <v>2500</v>
      </c>
      <c r="L65" s="89"/>
      <c r="M65" s="83"/>
      <c r="N65" s="86"/>
      <c r="O65" s="86"/>
      <c r="P65" s="86"/>
      <c r="Q65" s="88"/>
      <c r="R65" s="88"/>
      <c r="S65" s="88"/>
      <c r="T65" s="83"/>
    </row>
    <row r="66" spans="5:20" ht="21.95">
      <c r="E66" s="101">
        <f>IF('3-Frais de personnel'!A12="","",'3-Frais de personnel'!A12)</f>
        <v>3</v>
      </c>
      <c r="F66" s="101" t="str">
        <f>IF('3-Frais de personnel'!B12="","",'3-Frais de personnel'!B12)</f>
        <v/>
      </c>
      <c r="G66" s="101" t="str">
        <f>IF('3-Frais de personnel'!C12="","",'3-Frais de personnel'!C12)</f>
        <v/>
      </c>
      <c r="H66" s="101" t="str">
        <f>IF('3-Frais de personnel'!D12="","",'3-Frais de personnel'!D12)</f>
        <v/>
      </c>
      <c r="I66" s="255" t="str">
        <f>IF('3-Frais de personnel'!K12="","",'3-Frais de personnel'!K12)</f>
        <v/>
      </c>
      <c r="J66" s="1670"/>
      <c r="K66" s="292" t="str">
        <f>IF('3-Frais de personnel'!AD12="","",'3-Frais de personnel'!AD12)</f>
        <v/>
      </c>
      <c r="L66" s="89"/>
      <c r="M66" s="83"/>
      <c r="N66" s="86"/>
      <c r="O66" s="86"/>
      <c r="P66" s="86"/>
      <c r="Q66" s="88"/>
      <c r="R66" s="88"/>
      <c r="S66" s="88"/>
      <c r="T66" s="83"/>
    </row>
    <row r="67" spans="5:20" ht="21.95">
      <c r="E67" s="101">
        <f>IF('3-Frais de personnel'!A13="","",'3-Frais de personnel'!A13)</f>
        <v>4</v>
      </c>
      <c r="F67" s="101" t="str">
        <f>IF('3-Frais de personnel'!B13="","",'3-Frais de personnel'!B13)</f>
        <v/>
      </c>
      <c r="G67" s="101" t="str">
        <f>IF('3-Frais de personnel'!C13="","",'3-Frais de personnel'!C13)</f>
        <v/>
      </c>
      <c r="H67" s="101" t="str">
        <f>IF('3-Frais de personnel'!D13="","",'3-Frais de personnel'!D13)</f>
        <v/>
      </c>
      <c r="I67" s="255" t="str">
        <f>IF('3-Frais de personnel'!K13="","",'3-Frais de personnel'!K13)</f>
        <v/>
      </c>
      <c r="J67" s="1670"/>
      <c r="K67" s="292" t="str">
        <f>IF('3-Frais de personnel'!AD13="","",'3-Frais de personnel'!AD13)</f>
        <v/>
      </c>
      <c r="L67" s="89"/>
      <c r="M67" s="83"/>
      <c r="N67" s="86"/>
      <c r="O67" s="86"/>
      <c r="P67" s="86"/>
      <c r="Q67" s="88"/>
      <c r="R67" s="88"/>
      <c r="S67" s="88"/>
      <c r="T67" s="83"/>
    </row>
    <row r="68" spans="5:20" ht="21.95">
      <c r="E68" s="101">
        <f>IF('3-Frais de personnel'!A14="","",'3-Frais de personnel'!A14)</f>
        <v>5</v>
      </c>
      <c r="F68" s="101" t="str">
        <f>IF('3-Frais de personnel'!B14="","",'3-Frais de personnel'!B14)</f>
        <v/>
      </c>
      <c r="G68" s="101" t="str">
        <f>IF('3-Frais de personnel'!C14="","",'3-Frais de personnel'!C14)</f>
        <v/>
      </c>
      <c r="H68" s="101" t="str">
        <f>IF('3-Frais de personnel'!D14="","",'3-Frais de personnel'!D14)</f>
        <v/>
      </c>
      <c r="I68" s="255" t="str">
        <f>IF('3-Frais de personnel'!K14="","",'3-Frais de personnel'!K14)</f>
        <v/>
      </c>
      <c r="J68" s="1670"/>
      <c r="K68" s="292" t="str">
        <f>IF('3-Frais de personnel'!AD14="","",'3-Frais de personnel'!AD14)</f>
        <v/>
      </c>
      <c r="L68" s="89"/>
      <c r="M68" s="83"/>
      <c r="N68" s="86"/>
      <c r="O68" s="86"/>
      <c r="P68" s="86"/>
      <c r="Q68" s="88"/>
      <c r="R68" s="88"/>
      <c r="S68" s="88"/>
      <c r="T68" s="83"/>
    </row>
    <row r="69" spans="5:20" ht="24.95" thickBot="1">
      <c r="E69" s="1671" t="s">
        <v>632</v>
      </c>
      <c r="F69" s="1672"/>
      <c r="G69" s="1672"/>
      <c r="H69" s="1672"/>
      <c r="I69" s="1673"/>
      <c r="J69" s="1673"/>
      <c r="K69" s="1674"/>
      <c r="L69" s="89"/>
      <c r="M69" s="83"/>
      <c r="N69" s="1676"/>
      <c r="O69" s="1676"/>
      <c r="P69" s="1676"/>
      <c r="Q69" s="1676"/>
      <c r="R69" s="1676"/>
      <c r="S69" s="1676"/>
      <c r="T69" s="83"/>
    </row>
    <row r="70" spans="5:20" ht="66">
      <c r="E70" s="101">
        <f>IF('4-TF coûts indirects'!A10="","",'4-TF coûts indirects'!A10)</f>
        <v>1</v>
      </c>
      <c r="F70" s="101" t="str">
        <f>IF('4-TF coûts indirects'!B10="","",'4-TF coûts indirects'!B10)</f>
        <v>Chef de file</v>
      </c>
      <c r="G70" s="1684" t="s">
        <v>633</v>
      </c>
      <c r="H70" s="101" t="str">
        <f>IF('4-TF coûts indirects'!D10="","",'4-TF coûts indirects'!D10)</f>
        <v>Développement de nouveaux produits, pratiques, procédés et techniques</v>
      </c>
      <c r="I70" s="1687" t="s">
        <v>634</v>
      </c>
      <c r="J70" s="1688"/>
      <c r="K70" s="1238">
        <f>IF('4-TF coûts indirects'!O10="","",'4-TF coûts indirects'!O10)</f>
        <v>2.2349999999999999</v>
      </c>
      <c r="L70" s="89"/>
      <c r="M70" s="83"/>
      <c r="N70" s="86"/>
      <c r="O70" s="86"/>
      <c r="P70" s="86"/>
      <c r="Q70" s="83"/>
      <c r="R70" s="89"/>
      <c r="S70" s="88"/>
      <c r="T70" s="83"/>
    </row>
    <row r="71" spans="5:20" ht="66">
      <c r="E71" s="101">
        <f>IF('4-TF coûts indirects'!A11="","",'4-TF coûts indirects'!A11)</f>
        <v>2</v>
      </c>
      <c r="F71" s="101" t="str">
        <f>IF('4-TF coûts indirects'!B11="","",'4-TF coûts indirects'!B11)</f>
        <v>Partenaire 1</v>
      </c>
      <c r="G71" s="1685"/>
      <c r="H71" s="101" t="str">
        <f>IF('4-TF coûts indirects'!D11="","",'4-TF coûts indirects'!D11)</f>
        <v>Développement de nouveaux produits, pratiques, procédés et techniques</v>
      </c>
      <c r="I71" s="1689"/>
      <c r="J71" s="1690"/>
      <c r="K71" s="292">
        <f>IF('4-TF coûts indirects'!O11="","",'4-TF coûts indirects'!O11)</f>
        <v>375</v>
      </c>
      <c r="L71" s="89"/>
      <c r="M71" s="83"/>
      <c r="N71" s="86"/>
      <c r="O71" s="86"/>
      <c r="P71" s="86"/>
      <c r="Q71" s="83"/>
      <c r="R71" s="89"/>
      <c r="S71" s="88"/>
      <c r="T71" s="83"/>
    </row>
    <row r="72" spans="5:20" ht="66">
      <c r="E72" s="101">
        <f>IF('4-TF coûts indirects'!A12="","",'4-TF coûts indirects'!A12)</f>
        <v>3</v>
      </c>
      <c r="F72" s="101" t="str">
        <f>IF('4-TF coûts indirects'!B12="","",'4-TF coûts indirects'!B12)</f>
        <v>Partenaire 2</v>
      </c>
      <c r="G72" s="1685"/>
      <c r="H72" s="101" t="str">
        <f>IF('4-TF coûts indirects'!D12="","",'4-TF coûts indirects'!D12)</f>
        <v>Développement de nouveaux produits, pratiques, procédés et techniques</v>
      </c>
      <c r="I72" s="1689"/>
      <c r="J72" s="1690"/>
      <c r="K72" s="292" t="str">
        <f>IF('4-TF coûts indirects'!O12="","",'4-TF coûts indirects'!O12)</f>
        <v/>
      </c>
      <c r="L72" s="89"/>
      <c r="M72" s="83"/>
      <c r="N72" s="86"/>
      <c r="O72" s="86"/>
      <c r="P72" s="86"/>
      <c r="Q72" s="83"/>
      <c r="R72" s="89"/>
      <c r="S72" s="88"/>
      <c r="T72" s="83"/>
    </row>
    <row r="73" spans="5:20" ht="66">
      <c r="E73" s="101">
        <f>IF('4-TF coûts indirects'!A13="","",'4-TF coûts indirects'!A13)</f>
        <v>4</v>
      </c>
      <c r="F73" s="101" t="str">
        <f>IF('4-TF coûts indirects'!B13="","",'4-TF coûts indirects'!B13)</f>
        <v>Partenaire 3</v>
      </c>
      <c r="G73" s="1685"/>
      <c r="H73" s="101" t="str">
        <f>IF('4-TF coûts indirects'!D13="","",'4-TF coûts indirects'!D13)</f>
        <v>Développement de nouveaux produits, pratiques, procédés et techniques</v>
      </c>
      <c r="I73" s="1689"/>
      <c r="J73" s="1690"/>
      <c r="K73" s="292" t="str">
        <f>IF('4-TF coûts indirects'!O13="","",'4-TF coûts indirects'!O13)</f>
        <v/>
      </c>
      <c r="L73" s="89"/>
      <c r="M73" s="83"/>
      <c r="N73" s="86"/>
      <c r="O73" s="86"/>
      <c r="P73" s="86"/>
      <c r="Q73" s="83"/>
      <c r="R73" s="89"/>
      <c r="S73" s="88"/>
      <c r="T73" s="83"/>
    </row>
    <row r="74" spans="5:20" ht="66">
      <c r="E74" s="101">
        <f>IF('4-TF coûts indirects'!A14="","",'4-TF coûts indirects'!A14)</f>
        <v>5</v>
      </c>
      <c r="F74" s="101" t="str">
        <f>IF('4-TF coûts indirects'!B14="","",'4-TF coûts indirects'!B14)</f>
        <v>Partenaire 4</v>
      </c>
      <c r="G74" s="1685"/>
      <c r="H74" s="101" t="str">
        <f>IF('4-TF coûts indirects'!D14="","",'4-TF coûts indirects'!D14)</f>
        <v>Développement de nouveaux produits, pratiques, procédés et techniques</v>
      </c>
      <c r="I74" s="1689"/>
      <c r="J74" s="1690"/>
      <c r="K74" s="292" t="str">
        <f>IF('4-TF coûts indirects'!O14="","",'4-TF coûts indirects'!O14)</f>
        <v/>
      </c>
      <c r="L74" s="89"/>
      <c r="M74" s="83"/>
      <c r="N74" s="86"/>
      <c r="O74" s="86"/>
      <c r="P74" s="86"/>
      <c r="Q74" s="83"/>
      <c r="R74" s="89"/>
      <c r="S74" s="88"/>
      <c r="T74" s="83"/>
    </row>
    <row r="75" spans="5:20" ht="66">
      <c r="E75" s="101">
        <f>IF('4-TF coûts indirects'!A15="","",'4-TF coûts indirects'!A15)</f>
        <v>6</v>
      </c>
      <c r="F75" s="101" t="str">
        <f>IF('4-TF coûts indirects'!B15="","",'4-TF coûts indirects'!B15)</f>
        <v>Partenaire 5</v>
      </c>
      <c r="G75" s="1685"/>
      <c r="H75" s="101" t="str">
        <f>IF('4-TF coûts indirects'!D15="","",'4-TF coûts indirects'!D15)</f>
        <v>Développement de nouveaux produits, pratiques, procédés et techniques</v>
      </c>
      <c r="I75" s="1689"/>
      <c r="J75" s="1690"/>
      <c r="K75" s="292" t="str">
        <f>IF('4-TF coûts indirects'!O15="","",'4-TF coûts indirects'!O15)</f>
        <v/>
      </c>
      <c r="L75" s="89"/>
      <c r="M75" s="83"/>
      <c r="N75" s="86"/>
      <c r="O75" s="86"/>
      <c r="P75" s="86"/>
      <c r="Q75" s="83"/>
      <c r="R75" s="89"/>
      <c r="S75" s="88"/>
      <c r="T75" s="83"/>
    </row>
    <row r="76" spans="5:20" ht="66">
      <c r="E76" s="101">
        <f>IF('4-TF coûts indirects'!A16="","",'4-TF coûts indirects'!A16)</f>
        <v>7</v>
      </c>
      <c r="F76" s="101" t="str">
        <f>IF('4-TF coûts indirects'!B16="","",'4-TF coûts indirects'!B16)</f>
        <v>Partenaire 6</v>
      </c>
      <c r="G76" s="1685"/>
      <c r="H76" s="101" t="str">
        <f>IF('4-TF coûts indirects'!D16="","",'4-TF coûts indirects'!D16)</f>
        <v>Développement de nouveaux produits, pratiques, procédés et techniques</v>
      </c>
      <c r="I76" s="1689"/>
      <c r="J76" s="1690"/>
      <c r="K76" s="292" t="str">
        <f>IF('4-TF coûts indirects'!O16="","",'4-TF coûts indirects'!O16)</f>
        <v/>
      </c>
      <c r="L76" s="89"/>
      <c r="M76" s="83"/>
      <c r="N76" s="86"/>
      <c r="O76" s="86"/>
      <c r="P76" s="86"/>
      <c r="Q76" s="83"/>
      <c r="R76" s="89"/>
      <c r="S76" s="88"/>
      <c r="T76" s="83"/>
    </row>
    <row r="77" spans="5:20" ht="66">
      <c r="E77" s="101">
        <f>IF('4-TF coûts indirects'!A17="","",'4-TF coûts indirects'!A17)</f>
        <v>8</v>
      </c>
      <c r="F77" s="101" t="str">
        <f>IF('4-TF coûts indirects'!B17="","",'4-TF coûts indirects'!B17)</f>
        <v>Partenaire 7</v>
      </c>
      <c r="G77" s="1685"/>
      <c r="H77" s="101" t="str">
        <f>IF('4-TF coûts indirects'!D17="","",'4-TF coûts indirects'!D17)</f>
        <v>Développement de nouveaux produits, pratiques, procédés et techniques</v>
      </c>
      <c r="I77" s="1689"/>
      <c r="J77" s="1690"/>
      <c r="K77" s="292" t="str">
        <f>IF('4-TF coûts indirects'!O17="","",'4-TF coûts indirects'!O17)</f>
        <v/>
      </c>
      <c r="L77" s="89"/>
      <c r="M77" s="83"/>
      <c r="N77" s="86"/>
      <c r="O77" s="86"/>
      <c r="P77" s="86"/>
      <c r="Q77" s="83"/>
      <c r="R77" s="89"/>
      <c r="S77" s="88"/>
      <c r="T77" s="83"/>
    </row>
    <row r="78" spans="5:20" ht="18.75" customHeight="1">
      <c r="E78" s="101">
        <f>IF('4-TF coûts indirects'!A18="","",'4-TF coûts indirects'!A18)</f>
        <v>9</v>
      </c>
      <c r="F78" s="101" t="str">
        <f>IF('4-TF coûts indirects'!B18="","",'4-TF coûts indirects'!B18)</f>
        <v>Partenaire 8</v>
      </c>
      <c r="G78" s="1685"/>
      <c r="H78" s="101" t="str">
        <f>IF('4-TF coûts indirects'!D18="","",'4-TF coûts indirects'!D18)</f>
        <v>Développement de nouveaux produits, pratiques, procédés et techniques</v>
      </c>
      <c r="I78" s="1689"/>
      <c r="J78" s="1690"/>
      <c r="K78" s="292" t="str">
        <f>IF('4-TF coûts indirects'!O18="","",'4-TF coûts indirects'!O18)</f>
        <v/>
      </c>
      <c r="L78" s="89"/>
      <c r="M78" s="83"/>
      <c r="N78" s="86"/>
      <c r="O78" s="86"/>
      <c r="P78" s="86"/>
      <c r="Q78" s="83"/>
      <c r="R78" s="89"/>
      <c r="S78" s="88"/>
      <c r="T78" s="83"/>
    </row>
    <row r="79" spans="5:20" ht="18.75" customHeight="1">
      <c r="E79" s="101">
        <f>IF('4-TF coûts indirects'!A19="","",'4-TF coûts indirects'!A19)</f>
        <v>10</v>
      </c>
      <c r="F79" s="101" t="str">
        <f>IF('4-TF coûts indirects'!B19="","",'4-TF coûts indirects'!B19)</f>
        <v>Partenaire 9</v>
      </c>
      <c r="G79" s="1686"/>
      <c r="H79" s="101" t="str">
        <f>IF('4-TF coûts indirects'!D19="","",'4-TF coûts indirects'!D19)</f>
        <v>Développement de nouveaux produits, pratiques, procédés et techniques</v>
      </c>
      <c r="I79" s="1691"/>
      <c r="J79" s="1692"/>
      <c r="K79" s="1239" t="str">
        <f>IF('4-TF coûts indirects'!O19="","",'4-TF coûts indirects'!O19)</f>
        <v/>
      </c>
      <c r="L79" s="89"/>
      <c r="M79" s="83"/>
      <c r="N79" s="86"/>
      <c r="O79" s="86"/>
      <c r="P79" s="86"/>
      <c r="Q79" s="83"/>
      <c r="R79" s="89"/>
      <c r="S79" s="88"/>
      <c r="T79" s="83"/>
    </row>
    <row r="80" spans="5:20" ht="18.75" customHeight="1">
      <c r="E80" s="1671" t="s">
        <v>635</v>
      </c>
      <c r="F80" s="1672"/>
      <c r="G80" s="1672"/>
      <c r="H80" s="1672"/>
      <c r="I80" s="1672"/>
      <c r="J80" s="1672"/>
      <c r="K80" s="1675"/>
      <c r="L80" s="89"/>
      <c r="M80" s="83"/>
      <c r="N80" s="1676"/>
      <c r="O80" s="1676"/>
      <c r="P80" s="1676"/>
      <c r="Q80" s="1676"/>
      <c r="R80" s="1676"/>
      <c r="S80" s="1676"/>
      <c r="T80" s="90"/>
    </row>
    <row r="81" spans="5:20" ht="18.75" customHeight="1">
      <c r="E81" s="101">
        <f>IF('5-Déplacements &amp; hébergements'!A10="","",'5-Déplacements &amp; hébergements'!A10)</f>
        <v>1</v>
      </c>
      <c r="F81" s="101" t="str">
        <f>IF('5-Déplacements &amp; hébergements'!B10="","",'5-Déplacements &amp; hébergements'!B10)</f>
        <v>Partenaire 6</v>
      </c>
      <c r="G81" s="101" t="str">
        <f>IF('5-Déplacements &amp; hébergements'!D10="","",'5-Déplacements &amp; hébergements'!D10)</f>
        <v xml:space="preserve">Voyage d'étude à Point-à-Pitre en avion aller/retour, 2 nuits et 6 repas. </v>
      </c>
      <c r="H81" s="101" t="str">
        <f>IF('5-Déplacements &amp; hébergements'!C10="","",'5-Déplacements &amp; hébergements'!C10)</f>
        <v>Développement de nouveaux produits, pratiques, procédés et techniques</v>
      </c>
      <c r="I81" s="1670" t="s">
        <v>631</v>
      </c>
      <c r="J81" s="1670"/>
      <c r="K81" s="292">
        <f>IF('5-Déplacements &amp; hébergements'!BQ10="","",'5-Déplacements &amp; hébergements'!BQ10)</f>
        <v>3205.25</v>
      </c>
      <c r="L81" s="89"/>
      <c r="M81" s="83"/>
      <c r="N81" s="83"/>
      <c r="O81" s="83"/>
      <c r="P81" s="83"/>
      <c r="Q81" s="83"/>
      <c r="R81" s="83"/>
      <c r="S81" s="83"/>
      <c r="T81" s="83"/>
    </row>
    <row r="82" spans="5:20" ht="18.75" customHeight="1">
      <c r="E82" s="101">
        <f>IF('5-Déplacements &amp; hébergements'!A11="","",'5-Déplacements &amp; hébergements'!A11)</f>
        <v>2</v>
      </c>
      <c r="F82" s="101" t="str">
        <f>IF('5-Déplacements &amp; hébergements'!B11="","",'5-Déplacements &amp; hébergements'!B11)</f>
        <v/>
      </c>
      <c r="G82" s="101" t="str">
        <f>IF('5-Déplacements &amp; hébergements'!D11="","",'5-Déplacements &amp; hébergements'!D11)</f>
        <v/>
      </c>
      <c r="H82" s="101" t="str">
        <f>IF('5-Déplacements &amp; hébergements'!C11="","",'5-Déplacements &amp; hébergements'!C11)</f>
        <v/>
      </c>
      <c r="I82" s="1670"/>
      <c r="J82" s="1670"/>
      <c r="K82" s="292" t="str">
        <f>IF('5-Déplacements &amp; hébergements'!BQ11="","",'5-Déplacements &amp; hébergements'!BQ11)</f>
        <v/>
      </c>
      <c r="L82" s="89"/>
      <c r="M82" s="83"/>
      <c r="N82" s="83"/>
      <c r="O82" s="83"/>
      <c r="P82" s="83"/>
      <c r="Q82" s="83"/>
      <c r="R82" s="83"/>
      <c r="S82" s="83"/>
      <c r="T82" s="83"/>
    </row>
    <row r="83" spans="5:20" ht="21.95">
      <c r="E83" s="101">
        <f>IF('5-Déplacements &amp; hébergements'!A12="","",'5-Déplacements &amp; hébergements'!A12)</f>
        <v>3</v>
      </c>
      <c r="F83" s="101" t="str">
        <f>IF('5-Déplacements &amp; hébergements'!B12="","",'5-Déplacements &amp; hébergements'!B12)</f>
        <v/>
      </c>
      <c r="G83" s="101" t="str">
        <f>IF('5-Déplacements &amp; hébergements'!D12="","",'5-Déplacements &amp; hébergements'!D12)</f>
        <v/>
      </c>
      <c r="H83" s="101" t="str">
        <f>IF('5-Déplacements &amp; hébergements'!C12="","",'5-Déplacements &amp; hébergements'!C12)</f>
        <v/>
      </c>
      <c r="I83" s="1670"/>
      <c r="J83" s="1670"/>
      <c r="K83" s="292" t="str">
        <f>IF('5-Déplacements &amp; hébergements'!BQ12="","",'5-Déplacements &amp; hébergements'!BQ12)</f>
        <v/>
      </c>
      <c r="L83" s="89"/>
      <c r="M83" s="83"/>
      <c r="N83" s="83"/>
      <c r="O83" s="83"/>
      <c r="P83" s="83"/>
      <c r="Q83" s="83"/>
      <c r="R83" s="83"/>
      <c r="S83" s="83"/>
      <c r="T83" s="83"/>
    </row>
    <row r="84" spans="5:20" ht="23.45" customHeight="1">
      <c r="E84" s="101">
        <f>IF('5-Déplacements &amp; hébergements'!A13="","",'5-Déplacements &amp; hébergements'!A13)</f>
        <v>4</v>
      </c>
      <c r="F84" s="101" t="str">
        <f>IF('5-Déplacements &amp; hébergements'!B13="","",'5-Déplacements &amp; hébergements'!B13)</f>
        <v/>
      </c>
      <c r="G84" s="101" t="str">
        <f>IF('5-Déplacements &amp; hébergements'!D13="","",'5-Déplacements &amp; hébergements'!D13)</f>
        <v/>
      </c>
      <c r="H84" s="101" t="str">
        <f>IF('5-Déplacements &amp; hébergements'!C13="","",'5-Déplacements &amp; hébergements'!C13)</f>
        <v/>
      </c>
      <c r="I84" s="1670"/>
      <c r="J84" s="1670"/>
      <c r="K84" s="292" t="str">
        <f>IF('5-Déplacements &amp; hébergements'!BQ13="","",'5-Déplacements &amp; hébergements'!BQ13)</f>
        <v/>
      </c>
      <c r="L84" s="89"/>
      <c r="M84" s="83"/>
      <c r="N84" s="83"/>
      <c r="O84" s="83"/>
      <c r="P84" s="83"/>
      <c r="Q84" s="83"/>
      <c r="R84" s="83"/>
      <c r="S84" s="83"/>
      <c r="T84" s="83"/>
    </row>
    <row r="85" spans="5:20" ht="18.75" customHeight="1">
      <c r="E85" s="101">
        <f>IF('5-Déplacements &amp; hébergements'!A14="","",'5-Déplacements &amp; hébergements'!A14)</f>
        <v>5</v>
      </c>
      <c r="F85" s="101" t="str">
        <f>IF('5-Déplacements &amp; hébergements'!B14="","",'5-Déplacements &amp; hébergements'!B14)</f>
        <v/>
      </c>
      <c r="G85" s="101" t="str">
        <f>IF('5-Déplacements &amp; hébergements'!D14="","",'5-Déplacements &amp; hébergements'!D14)</f>
        <v/>
      </c>
      <c r="H85" s="101" t="str">
        <f>IF('5-Déplacements &amp; hébergements'!C14="","",'5-Déplacements &amp; hébergements'!C14)</f>
        <v/>
      </c>
      <c r="I85" s="1670"/>
      <c r="J85" s="1670"/>
      <c r="K85" s="292" t="str">
        <f>IF('5-Déplacements &amp; hébergements'!BQ14="","",'5-Déplacements &amp; hébergements'!BQ14)</f>
        <v/>
      </c>
      <c r="L85" s="89"/>
      <c r="M85" s="83"/>
      <c r="N85" s="83"/>
      <c r="O85" s="83"/>
      <c r="P85" s="83"/>
      <c r="Q85" s="83"/>
      <c r="R85" s="83"/>
      <c r="S85" s="83"/>
      <c r="T85" s="83"/>
    </row>
    <row r="86" spans="5:20" ht="18.75" customHeight="1">
      <c r="E86" s="1683" t="s">
        <v>636</v>
      </c>
      <c r="F86" s="1673"/>
      <c r="G86" s="1673"/>
      <c r="H86" s="1673"/>
      <c r="I86" s="1673"/>
      <c r="J86" s="1673"/>
      <c r="K86" s="1674"/>
      <c r="L86" s="89"/>
      <c r="M86" s="83"/>
      <c r="N86" s="83"/>
      <c r="O86" s="83"/>
      <c r="P86" s="83"/>
      <c r="Q86" s="83"/>
      <c r="R86" s="83"/>
      <c r="S86" s="83"/>
      <c r="T86" s="83"/>
    </row>
    <row r="87" spans="5:20" ht="18.75" customHeight="1">
      <c r="E87" s="101">
        <f>IF('6-Coûts participation agri'!A13="","",'6-Coûts participation agri'!A13)</f>
        <v>1</v>
      </c>
      <c r="F87" s="101" t="str">
        <f>IF('6-Coûts participation agri'!B13="","",'6-Coûts participation agri'!B13)</f>
        <v>Partenaire 8</v>
      </c>
      <c r="G87" s="101" t="str">
        <f>IF('6-Coûts participation agri'!D13="","",'6-Coûts participation agri'!D13)</f>
        <v>Test projet</v>
      </c>
      <c r="H87" s="101" t="str">
        <f>IF('6-Coûts participation agri'!C13="","",'6-Coûts participation agri'!C13)</f>
        <v>Développement de nouveaux produits, pratiques, procédés et techniques</v>
      </c>
      <c r="I87" s="1670" t="s">
        <v>631</v>
      </c>
      <c r="J87" s="1670"/>
      <c r="K87" s="292">
        <f>IF('6-Coûts participation agri'!AC13="","",'6-Coûts participation agri'!AC13)</f>
        <v>1148</v>
      </c>
      <c r="L87" s="89"/>
      <c r="M87" s="83"/>
      <c r="N87" s="83"/>
      <c r="O87" s="83"/>
      <c r="P87" s="83"/>
      <c r="Q87" s="83"/>
      <c r="R87" s="83"/>
      <c r="S87" s="83"/>
      <c r="T87" s="83"/>
    </row>
    <row r="88" spans="5:20" ht="18.75" customHeight="1">
      <c r="E88" s="101">
        <f>IF('6-Coûts participation agri'!A14="","",'6-Coûts participation agri'!A14)</f>
        <v>2</v>
      </c>
      <c r="F88" s="101" t="str">
        <f>IF('6-Coûts participation agri'!B14="","",'6-Coûts participation agri'!B14)</f>
        <v/>
      </c>
      <c r="G88" s="101" t="str">
        <f>IF('6-Coûts participation agri'!D14="","",'6-Coûts participation agri'!D14)</f>
        <v/>
      </c>
      <c r="H88" s="101" t="str">
        <f>IF('6-Coûts participation agri'!C14="","",'6-Coûts participation agri'!C14)</f>
        <v/>
      </c>
      <c r="I88" s="1670"/>
      <c r="J88" s="1670"/>
      <c r="K88" s="292" t="str">
        <f>IF('6-Coûts participation agri'!AC14="","",'6-Coûts participation agri'!AC14)</f>
        <v/>
      </c>
      <c r="L88" s="89"/>
      <c r="M88" s="83"/>
      <c r="N88" s="83"/>
      <c r="O88" s="83"/>
      <c r="P88" s="83"/>
      <c r="Q88" s="83"/>
      <c r="R88" s="83"/>
      <c r="S88" s="83"/>
      <c r="T88" s="83"/>
    </row>
    <row r="89" spans="5:20" ht="18.75" customHeight="1">
      <c r="E89" s="101">
        <f>IF('6-Coûts participation agri'!A15="","",'6-Coûts participation agri'!A15)</f>
        <v>3</v>
      </c>
      <c r="F89" s="101" t="str">
        <f>IF('6-Coûts participation agri'!B15="","",'6-Coûts participation agri'!B15)</f>
        <v/>
      </c>
      <c r="G89" s="101" t="str">
        <f>IF('6-Coûts participation agri'!D15="","",'6-Coûts participation agri'!D15)</f>
        <v/>
      </c>
      <c r="H89" s="101" t="str">
        <f>IF('6-Coûts participation agri'!C15="","",'6-Coûts participation agri'!C15)</f>
        <v/>
      </c>
      <c r="I89" s="1670"/>
      <c r="J89" s="1670"/>
      <c r="K89" s="292" t="str">
        <f>IF('6-Coûts participation agri'!AC15="","",'6-Coûts participation agri'!AC15)</f>
        <v/>
      </c>
      <c r="L89" s="89"/>
      <c r="M89" s="83"/>
      <c r="N89" s="83"/>
      <c r="O89" s="83"/>
      <c r="P89" s="83"/>
      <c r="Q89" s="83"/>
      <c r="R89" s="83"/>
      <c r="S89" s="83"/>
      <c r="T89" s="83"/>
    </row>
    <row r="90" spans="5:20" ht="21.95">
      <c r="E90" s="101">
        <f>IF('6-Coûts participation agri'!A16="","",'6-Coûts participation agri'!A16)</f>
        <v>4</v>
      </c>
      <c r="F90" s="101" t="str">
        <f>IF('6-Coûts participation agri'!B16="","",'6-Coûts participation agri'!B16)</f>
        <v/>
      </c>
      <c r="G90" s="101" t="str">
        <f>IF('6-Coûts participation agri'!D16="","",'6-Coûts participation agri'!D16)</f>
        <v/>
      </c>
      <c r="H90" s="101" t="str">
        <f>IF('6-Coûts participation agri'!C16="","",'6-Coûts participation agri'!C16)</f>
        <v/>
      </c>
      <c r="I90" s="1670"/>
      <c r="J90" s="1670"/>
      <c r="K90" s="292" t="str">
        <f>IF('6-Coûts participation agri'!AC16="","",'6-Coûts participation agri'!AC16)</f>
        <v/>
      </c>
      <c r="L90" s="89"/>
      <c r="M90" s="83"/>
      <c r="N90" s="83"/>
      <c r="O90" s="83"/>
      <c r="P90" s="83"/>
      <c r="Q90" s="83"/>
      <c r="R90" s="83"/>
      <c r="S90" s="83"/>
      <c r="T90" s="83"/>
    </row>
    <row r="91" spans="5:20" ht="21.95">
      <c r="E91" s="101">
        <f>IF('6-Coûts participation agri'!A17="","",'6-Coûts participation agri'!A17)</f>
        <v>5</v>
      </c>
      <c r="F91" s="101" t="str">
        <f>IF('6-Coûts participation agri'!B17="","",'6-Coûts participation agri'!B17)</f>
        <v/>
      </c>
      <c r="G91" s="101" t="str">
        <f>IF('6-Coûts participation agri'!D17="","",'6-Coûts participation agri'!D17)</f>
        <v/>
      </c>
      <c r="H91" s="101" t="str">
        <f>IF('6-Coûts participation agri'!C17="","",'6-Coûts participation agri'!C17)</f>
        <v/>
      </c>
      <c r="I91" s="1670"/>
      <c r="J91" s="1670"/>
      <c r="K91" s="292" t="str">
        <f>IF('6-Coûts participation agri'!AC17="","",'6-Coûts participation agri'!AC17)</f>
        <v/>
      </c>
      <c r="L91" s="89"/>
      <c r="M91" s="83"/>
      <c r="N91" s="83"/>
      <c r="O91" s="83"/>
      <c r="P91" s="83"/>
      <c r="Q91" s="83"/>
      <c r="R91" s="83"/>
      <c r="S91" s="83"/>
      <c r="T91" s="83"/>
    </row>
    <row r="92" spans="5:20" ht="18.95">
      <c r="E92" s="89"/>
      <c r="F92" s="89"/>
      <c r="G92" s="89"/>
      <c r="H92" s="89"/>
      <c r="I92" s="89"/>
      <c r="J92" s="89"/>
      <c r="K92" s="89"/>
      <c r="L92" s="89"/>
      <c r="M92" s="83"/>
      <c r="N92" s="83"/>
      <c r="O92" s="83"/>
      <c r="P92" s="83"/>
      <c r="Q92" s="83"/>
      <c r="R92" s="83"/>
      <c r="S92" s="83"/>
      <c r="T92" s="83"/>
    </row>
    <row r="93" spans="5:20" ht="18.95">
      <c r="E93" s="89"/>
      <c r="F93" s="89"/>
      <c r="G93" s="89"/>
      <c r="H93" s="89"/>
      <c r="I93" s="89"/>
      <c r="J93" s="89"/>
      <c r="K93" s="89"/>
      <c r="L93" s="89"/>
      <c r="M93" s="83"/>
      <c r="N93" s="83"/>
      <c r="O93" s="83"/>
      <c r="P93" s="83"/>
      <c r="Q93" s="83"/>
      <c r="R93" s="83"/>
      <c r="S93" s="83"/>
      <c r="T93" s="83"/>
    </row>
    <row r="94" spans="5:20" ht="24">
      <c r="E94" s="1676"/>
      <c r="F94" s="1676"/>
      <c r="G94" s="1676"/>
      <c r="H94" s="1676"/>
      <c r="I94" s="1676"/>
      <c r="J94" s="1676"/>
      <c r="K94" s="1676"/>
      <c r="L94" s="1676"/>
      <c r="M94" s="83"/>
      <c r="N94" s="83"/>
      <c r="O94" s="83"/>
      <c r="P94" s="83"/>
      <c r="Q94" s="83"/>
      <c r="R94" s="83"/>
      <c r="S94" s="83"/>
      <c r="T94" s="83"/>
    </row>
    <row r="95" spans="5:20" ht="24">
      <c r="E95" s="84"/>
      <c r="F95" s="84"/>
      <c r="G95" s="84"/>
      <c r="H95" s="84"/>
      <c r="I95" s="1678"/>
      <c r="J95" s="1678"/>
      <c r="K95" s="1678"/>
      <c r="L95" s="84"/>
      <c r="M95" s="83"/>
      <c r="N95" s="83"/>
      <c r="O95" s="83"/>
      <c r="P95" s="83"/>
      <c r="Q95" s="83"/>
      <c r="R95" s="83"/>
      <c r="S95" s="83"/>
      <c r="T95" s="83"/>
    </row>
    <row r="96" spans="5:20" ht="18.95">
      <c r="E96" s="91"/>
      <c r="F96" s="91"/>
      <c r="G96" s="86"/>
      <c r="H96" s="92"/>
      <c r="I96" s="1678"/>
      <c r="J96" s="1678"/>
      <c r="K96" s="1678"/>
      <c r="L96" s="93"/>
      <c r="M96" s="83"/>
      <c r="N96" s="83"/>
      <c r="O96" s="83"/>
      <c r="P96" s="83"/>
      <c r="Q96" s="83"/>
      <c r="R96" s="83"/>
      <c r="S96" s="83"/>
      <c r="T96" s="83"/>
    </row>
    <row r="97" spans="5:20" ht="18.95">
      <c r="E97" s="91"/>
      <c r="F97" s="91"/>
      <c r="G97" s="86"/>
      <c r="H97" s="92"/>
      <c r="I97" s="1678"/>
      <c r="J97" s="1678"/>
      <c r="K97" s="1678"/>
      <c r="L97" s="93"/>
      <c r="M97" s="83"/>
      <c r="N97" s="83"/>
      <c r="O97" s="83"/>
      <c r="P97" s="83"/>
      <c r="Q97" s="83"/>
      <c r="R97" s="83"/>
      <c r="S97" s="83"/>
      <c r="T97" s="83"/>
    </row>
    <row r="98" spans="5:20" ht="18.95">
      <c r="E98" s="91"/>
      <c r="F98" s="91"/>
      <c r="G98" s="86"/>
      <c r="H98" s="92"/>
      <c r="I98" s="1678"/>
      <c r="J98" s="1678"/>
      <c r="K98" s="1678"/>
      <c r="L98" s="93"/>
      <c r="M98" s="83"/>
      <c r="N98" s="83"/>
      <c r="O98" s="83"/>
      <c r="P98" s="83"/>
      <c r="Q98" s="83"/>
      <c r="R98" s="83"/>
      <c r="S98" s="83"/>
      <c r="T98" s="83"/>
    </row>
    <row r="99" spans="5:20" ht="18.95">
      <c r="E99" s="91"/>
      <c r="F99" s="91"/>
      <c r="G99" s="86"/>
      <c r="H99" s="92"/>
      <c r="I99" s="1678"/>
      <c r="J99" s="1678"/>
      <c r="K99" s="1678"/>
      <c r="L99" s="93"/>
      <c r="M99" s="83"/>
      <c r="N99" s="83"/>
      <c r="O99" s="83"/>
      <c r="P99" s="83"/>
      <c r="Q99" s="83"/>
      <c r="R99" s="83"/>
      <c r="S99" s="83"/>
      <c r="T99" s="83"/>
    </row>
    <row r="100" spans="5:20" ht="18.95">
      <c r="E100" s="91"/>
      <c r="F100" s="91"/>
      <c r="G100" s="86"/>
      <c r="H100" s="92"/>
      <c r="I100" s="1678"/>
      <c r="J100" s="1678"/>
      <c r="K100" s="1678"/>
      <c r="L100" s="93"/>
      <c r="M100" s="83"/>
      <c r="N100" s="83"/>
      <c r="O100" s="83"/>
      <c r="P100" s="83"/>
      <c r="Q100" s="83"/>
      <c r="R100" s="83"/>
      <c r="S100" s="83"/>
      <c r="T100" s="83"/>
    </row>
    <row r="101" spans="5:20" ht="18.95">
      <c r="E101" s="91"/>
      <c r="F101" s="91"/>
      <c r="G101" s="86"/>
      <c r="H101" s="92"/>
      <c r="I101" s="1678"/>
      <c r="J101" s="1678"/>
      <c r="K101" s="1678"/>
      <c r="L101" s="93"/>
      <c r="M101" s="83"/>
      <c r="N101" s="83"/>
      <c r="O101" s="83"/>
      <c r="P101" s="83"/>
      <c r="Q101" s="83"/>
      <c r="R101" s="83"/>
      <c r="S101" s="83"/>
      <c r="T101" s="83"/>
    </row>
    <row r="102" spans="5:20" ht="18.95">
      <c r="E102" s="91"/>
      <c r="F102" s="91"/>
      <c r="G102" s="86"/>
      <c r="H102" s="92"/>
      <c r="I102" s="1678"/>
      <c r="J102" s="1678"/>
      <c r="K102" s="1678"/>
      <c r="L102" s="93"/>
      <c r="M102" s="83"/>
      <c r="N102" s="83"/>
      <c r="O102" s="83"/>
      <c r="P102" s="83"/>
      <c r="Q102" s="83"/>
      <c r="R102" s="83"/>
      <c r="S102" s="83"/>
      <c r="T102" s="83"/>
    </row>
    <row r="103" spans="5:20" ht="18.95">
      <c r="E103" s="91"/>
      <c r="F103" s="91"/>
      <c r="G103" s="86"/>
      <c r="H103" s="92"/>
      <c r="I103" s="1678"/>
      <c r="J103" s="1678"/>
      <c r="K103" s="1678"/>
      <c r="L103" s="93"/>
      <c r="M103" s="83"/>
      <c r="N103" s="83"/>
      <c r="O103" s="83"/>
      <c r="P103" s="83"/>
      <c r="Q103" s="83"/>
      <c r="R103" s="83"/>
      <c r="S103" s="83"/>
      <c r="T103" s="83"/>
    </row>
    <row r="104" spans="5:20" ht="24">
      <c r="E104" s="1676"/>
      <c r="F104" s="1676"/>
      <c r="G104" s="1676"/>
      <c r="H104" s="1676"/>
      <c r="I104" s="1676"/>
      <c r="J104" s="1676"/>
      <c r="K104" s="1676"/>
      <c r="L104" s="1676"/>
      <c r="M104" s="83"/>
      <c r="N104" s="1676"/>
      <c r="O104" s="1676"/>
      <c r="P104" s="1676"/>
      <c r="Q104" s="1676"/>
      <c r="R104" s="1676"/>
      <c r="S104" s="1676"/>
      <c r="T104" s="1676"/>
    </row>
    <row r="105" spans="5:20" ht="24">
      <c r="E105" s="84"/>
      <c r="F105" s="84"/>
      <c r="G105" s="84"/>
      <c r="H105" s="84"/>
      <c r="I105" s="85"/>
      <c r="J105" s="84"/>
      <c r="K105" s="1676"/>
      <c r="L105" s="84"/>
      <c r="M105" s="83"/>
      <c r="N105" s="83"/>
      <c r="O105" s="91"/>
      <c r="P105" s="83"/>
      <c r="Q105" s="83"/>
      <c r="R105" s="88"/>
      <c r="S105" s="83"/>
      <c r="T105" s="83"/>
    </row>
    <row r="106" spans="5:20" ht="18.95">
      <c r="E106" s="91"/>
      <c r="F106" s="91"/>
      <c r="G106" s="91"/>
      <c r="H106" s="91"/>
      <c r="I106" s="87"/>
      <c r="J106" s="89"/>
      <c r="K106" s="1676"/>
      <c r="L106" s="94"/>
      <c r="M106" s="83"/>
      <c r="N106" s="83"/>
      <c r="O106" s="83"/>
      <c r="P106" s="83"/>
      <c r="Q106" s="83"/>
      <c r="R106" s="83"/>
      <c r="S106" s="83"/>
      <c r="T106" s="83"/>
    </row>
    <row r="107" spans="5:20" ht="18.95">
      <c r="E107" s="91"/>
      <c r="F107" s="91"/>
      <c r="G107" s="91"/>
      <c r="H107" s="91"/>
      <c r="I107" s="87"/>
      <c r="J107" s="89"/>
      <c r="K107" s="1676"/>
      <c r="L107" s="94"/>
      <c r="M107" s="83"/>
      <c r="N107" s="83"/>
      <c r="O107" s="83"/>
      <c r="P107" s="83"/>
      <c r="Q107" s="83"/>
      <c r="R107" s="83"/>
      <c r="S107" s="83"/>
      <c r="T107" s="83"/>
    </row>
    <row r="108" spans="5:20" ht="18.95">
      <c r="E108" s="91"/>
      <c r="F108" s="91"/>
      <c r="G108" s="91"/>
      <c r="H108" s="91"/>
      <c r="I108" s="87"/>
      <c r="J108" s="89"/>
      <c r="K108" s="1676"/>
      <c r="L108" s="94"/>
      <c r="M108" s="83"/>
      <c r="N108" s="83"/>
      <c r="O108" s="83"/>
      <c r="P108" s="83"/>
      <c r="Q108" s="83"/>
      <c r="R108" s="83"/>
      <c r="S108" s="83"/>
      <c r="T108" s="83"/>
    </row>
    <row r="109" spans="5:20" ht="18.95">
      <c r="E109" s="91"/>
      <c r="F109" s="91"/>
      <c r="G109" s="91"/>
      <c r="H109" s="91"/>
      <c r="I109" s="87"/>
      <c r="J109" s="89"/>
      <c r="K109" s="1676"/>
      <c r="L109" s="94"/>
      <c r="M109" s="83"/>
      <c r="N109" s="83"/>
      <c r="O109" s="83"/>
      <c r="P109" s="83"/>
      <c r="Q109" s="83"/>
      <c r="R109" s="83"/>
      <c r="S109" s="83"/>
      <c r="T109" s="83"/>
    </row>
    <row r="110" spans="5:20" ht="24">
      <c r="E110" s="1676"/>
      <c r="F110" s="1676"/>
      <c r="G110" s="1676"/>
      <c r="H110" s="1676"/>
      <c r="I110" s="1676"/>
      <c r="J110" s="1676"/>
      <c r="K110" s="1676"/>
      <c r="L110" s="1676"/>
      <c r="M110" s="83"/>
      <c r="N110" s="83"/>
      <c r="O110" s="83"/>
      <c r="P110" s="83"/>
      <c r="Q110" s="83"/>
      <c r="R110" s="83"/>
      <c r="S110" s="83"/>
      <c r="T110" s="83"/>
    </row>
    <row r="111" spans="5:20" ht="24">
      <c r="E111" s="84"/>
      <c r="F111" s="84"/>
      <c r="G111" s="84"/>
      <c r="H111" s="84"/>
      <c r="I111" s="85"/>
      <c r="J111" s="84"/>
      <c r="K111" s="84"/>
      <c r="L111" s="84"/>
      <c r="M111" s="83"/>
      <c r="N111" s="83"/>
      <c r="O111" s="83"/>
      <c r="P111" s="83"/>
      <c r="Q111" s="83"/>
      <c r="R111" s="83"/>
      <c r="S111" s="83"/>
      <c r="T111" s="83"/>
    </row>
    <row r="112" spans="5:20" ht="18.95">
      <c r="E112" s="91"/>
      <c r="F112" s="91"/>
      <c r="G112" s="91"/>
      <c r="H112" s="91"/>
      <c r="I112" s="87"/>
      <c r="J112" s="89"/>
      <c r="K112" s="83"/>
      <c r="L112" s="94"/>
      <c r="M112" s="83"/>
      <c r="N112" s="83"/>
      <c r="O112" s="83"/>
      <c r="P112" s="83"/>
      <c r="Q112" s="83"/>
      <c r="R112" s="83"/>
      <c r="S112" s="83"/>
      <c r="T112" s="83"/>
    </row>
    <row r="113" spans="5:20" ht="18.95">
      <c r="E113" s="91"/>
      <c r="F113" s="91"/>
      <c r="G113" s="91"/>
      <c r="H113" s="91"/>
      <c r="I113" s="87"/>
      <c r="J113" s="89"/>
      <c r="K113" s="83"/>
      <c r="L113" s="94"/>
      <c r="M113" s="83"/>
      <c r="N113" s="83"/>
      <c r="O113" s="83"/>
      <c r="P113" s="83"/>
      <c r="Q113" s="83"/>
      <c r="R113" s="83"/>
      <c r="S113" s="83"/>
      <c r="T113" s="83"/>
    </row>
    <row r="114" spans="5:20" ht="18.95">
      <c r="E114" s="91"/>
      <c r="F114" s="91"/>
      <c r="G114" s="91"/>
      <c r="H114" s="91"/>
      <c r="I114" s="87"/>
      <c r="J114" s="89"/>
      <c r="K114" s="83"/>
      <c r="L114" s="94"/>
      <c r="M114" s="83"/>
      <c r="N114" s="83"/>
      <c r="O114" s="83"/>
      <c r="P114" s="83"/>
      <c r="Q114" s="83"/>
      <c r="R114" s="83"/>
      <c r="S114" s="83"/>
      <c r="T114" s="83"/>
    </row>
    <row r="115" spans="5:20" ht="18.95">
      <c r="E115" s="91"/>
      <c r="F115" s="91"/>
      <c r="G115" s="91"/>
      <c r="H115" s="91"/>
      <c r="I115" s="87"/>
      <c r="J115" s="89"/>
      <c r="K115" s="83"/>
      <c r="L115" s="94"/>
      <c r="M115" s="83"/>
      <c r="N115" s="83"/>
      <c r="O115" s="83"/>
      <c r="P115" s="83"/>
      <c r="Q115" s="83"/>
      <c r="R115" s="83"/>
      <c r="S115" s="83"/>
      <c r="T115" s="83"/>
    </row>
    <row r="116" spans="5:20" ht="21">
      <c r="E116" s="1677"/>
      <c r="F116" s="1677"/>
      <c r="G116" s="1677"/>
      <c r="H116" s="1677"/>
      <c r="I116" s="1677"/>
      <c r="J116" s="1677"/>
      <c r="K116" s="1677"/>
      <c r="L116" s="95"/>
      <c r="M116" s="83"/>
      <c r="N116" s="83"/>
      <c r="O116" s="83"/>
      <c r="P116" s="83"/>
      <c r="Q116" s="83"/>
      <c r="R116" s="83"/>
      <c r="S116" s="83"/>
      <c r="T116" s="83"/>
    </row>
    <row r="117" spans="5:20">
      <c r="E117" s="96"/>
      <c r="F117" s="96"/>
      <c r="G117" s="96"/>
      <c r="H117" s="96"/>
      <c r="I117" s="97"/>
      <c r="J117" s="96"/>
      <c r="K117" s="96"/>
      <c r="L117" s="96"/>
      <c r="M117" s="96"/>
      <c r="N117" s="96"/>
      <c r="O117" s="96"/>
      <c r="P117" s="96"/>
      <c r="Q117" s="96"/>
      <c r="R117" s="96"/>
      <c r="S117" s="96"/>
      <c r="T117" s="96"/>
    </row>
    <row r="118" spans="5:20">
      <c r="E118" s="96"/>
      <c r="F118" s="96"/>
      <c r="G118" s="96"/>
      <c r="H118" s="96"/>
      <c r="I118" s="97"/>
      <c r="J118" s="96"/>
      <c r="K118" s="96"/>
      <c r="L118" s="96"/>
      <c r="M118" s="96"/>
      <c r="N118" s="96"/>
      <c r="O118" s="96"/>
      <c r="P118" s="96"/>
      <c r="Q118" s="96"/>
      <c r="R118" s="96"/>
      <c r="S118" s="96"/>
      <c r="T118" s="96"/>
    </row>
  </sheetData>
  <mergeCells count="52">
    <mergeCell ref="N104:T104"/>
    <mergeCell ref="K105:K109"/>
    <mergeCell ref="N80:S80"/>
    <mergeCell ref="N69:S69"/>
    <mergeCell ref="G70:G79"/>
    <mergeCell ref="I70:J79"/>
    <mergeCell ref="E86:K86"/>
    <mergeCell ref="I81:J85"/>
    <mergeCell ref="I87:J91"/>
    <mergeCell ref="N61:S61"/>
    <mergeCell ref="E43:K43"/>
    <mergeCell ref="J58:J62"/>
    <mergeCell ref="E57:K57"/>
    <mergeCell ref="E63:K63"/>
    <mergeCell ref="N63:S63"/>
    <mergeCell ref="E45:K45"/>
    <mergeCell ref="E51:K51"/>
    <mergeCell ref="J64:J68"/>
    <mergeCell ref="E69:K69"/>
    <mergeCell ref="E80:K80"/>
    <mergeCell ref="E110:L110"/>
    <mergeCell ref="E116:K116"/>
    <mergeCell ref="E94:L94"/>
    <mergeCell ref="I95:K103"/>
    <mergeCell ref="E104:L104"/>
    <mergeCell ref="E2:L2"/>
    <mergeCell ref="E4:L4"/>
    <mergeCell ref="E6:L6"/>
    <mergeCell ref="E8:L8"/>
    <mergeCell ref="E9:L9"/>
    <mergeCell ref="O18:AJ18"/>
    <mergeCell ref="E12:F12"/>
    <mergeCell ref="G12:H12"/>
    <mergeCell ref="I12:J12"/>
    <mergeCell ref="K12:L12"/>
    <mergeCell ref="E14:F14"/>
    <mergeCell ref="G14:H14"/>
    <mergeCell ref="I14:J14"/>
    <mergeCell ref="K14:L14"/>
    <mergeCell ref="E16:F16"/>
    <mergeCell ref="E10:L10"/>
    <mergeCell ref="E18:L18"/>
    <mergeCell ref="E20:L20"/>
    <mergeCell ref="E21:L21"/>
    <mergeCell ref="E11:L11"/>
    <mergeCell ref="G16:H16"/>
    <mergeCell ref="I16:J16"/>
    <mergeCell ref="E39:G39"/>
    <mergeCell ref="E26:G26"/>
    <mergeCell ref="E25:F25"/>
    <mergeCell ref="E24:G24"/>
    <mergeCell ref="J24:K24"/>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6E58B725-C916-419A-9F20-0E737B42ACBE}">
          <x14:formula1>
            <xm:f>'0-Présentation typeaction'!$H$7:$H$7</xm:f>
          </x14:formula1>
          <xm:sqref>E40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pageSetUpPr autoPageBreaks="0"/>
  </sheetPr>
  <dimension ref="A1:L104"/>
  <sheetViews>
    <sheetView showGridLines="0" topLeftCell="D18" zoomScale="80" zoomScaleNormal="205" workbookViewId="0">
      <selection activeCell="H28" sqref="H28"/>
    </sheetView>
  </sheetViews>
  <sheetFormatPr defaultColWidth="11.42578125" defaultRowHeight="15" outlineLevelCol="1"/>
  <cols>
    <col min="1" max="1" width="16.85546875" customWidth="1"/>
    <col min="2" max="2" width="58.42578125" customWidth="1"/>
    <col min="3" max="3" width="21.42578125" customWidth="1"/>
    <col min="4" max="4" width="25.42578125" customWidth="1"/>
    <col min="5" max="5" width="11.42578125" customWidth="1"/>
    <col min="8" max="8" width="50.85546875" customWidth="1" outlineLevel="1"/>
  </cols>
  <sheetData>
    <row r="1" spans="1:12" ht="15.95" thickBot="1"/>
    <row r="2" spans="1:12" ht="54.95" customHeight="1" thickBot="1">
      <c r="B2" s="1356" t="s">
        <v>36</v>
      </c>
      <c r="C2" s="1357"/>
      <c r="D2" s="1358"/>
    </row>
    <row r="3" spans="1:12" ht="24.95" customHeight="1" thickBot="1">
      <c r="B3" s="262"/>
      <c r="C3" s="262"/>
      <c r="D3" s="262"/>
    </row>
    <row r="4" spans="1:12" ht="54.95" customHeight="1" thickBot="1">
      <c r="B4" s="1363" t="s">
        <v>37</v>
      </c>
      <c r="C4" s="1364"/>
      <c r="D4" s="1365"/>
      <c r="E4" s="238"/>
      <c r="F4" s="265"/>
      <c r="G4" s="266"/>
      <c r="H4" s="266"/>
      <c r="I4" s="238"/>
      <c r="J4" s="238"/>
    </row>
    <row r="5" spans="1:12" ht="21.75" customHeight="1" thickBot="1">
      <c r="B5" s="262"/>
      <c r="C5" s="262"/>
      <c r="D5" s="262"/>
    </row>
    <row r="6" spans="1:12" ht="44.1">
      <c r="B6" s="713" t="s">
        <v>38</v>
      </c>
      <c r="C6" s="714" t="s">
        <v>39</v>
      </c>
      <c r="D6" s="715" t="s">
        <v>40</v>
      </c>
      <c r="H6" s="287" t="s">
        <v>41</v>
      </c>
      <c r="I6" s="267"/>
      <c r="J6" s="267"/>
      <c r="K6" s="267"/>
      <c r="L6" s="267"/>
    </row>
    <row r="7" spans="1:12" ht="92.45" customHeight="1" thickBot="1">
      <c r="A7" s="716" t="s">
        <v>42</v>
      </c>
      <c r="B7" s="354" t="s">
        <v>43</v>
      </c>
      <c r="C7" s="354" t="s">
        <v>44</v>
      </c>
      <c r="D7" s="354" t="s">
        <v>45</v>
      </c>
      <c r="H7" s="300" t="s">
        <v>43</v>
      </c>
      <c r="I7" s="267"/>
      <c r="J7" s="267"/>
      <c r="K7" s="267"/>
      <c r="L7" s="267"/>
    </row>
    <row r="8" spans="1:12" ht="15.95" thickBot="1"/>
    <row r="9" spans="1:12" ht="43.5" customHeight="1" thickBot="1">
      <c r="A9" s="263"/>
      <c r="B9" s="1363" t="s">
        <v>46</v>
      </c>
      <c r="C9" s="1364"/>
      <c r="D9" s="1365"/>
      <c r="H9" s="267"/>
      <c r="I9" s="267"/>
      <c r="J9" s="267"/>
      <c r="K9" s="267"/>
      <c r="L9" s="267"/>
    </row>
    <row r="10" spans="1:12" ht="29.45" customHeight="1" thickBot="1">
      <c r="A10" s="263"/>
      <c r="B10" s="264"/>
      <c r="C10" s="264"/>
      <c r="D10" s="264"/>
      <c r="H10" s="287" t="s">
        <v>47</v>
      </c>
      <c r="I10" s="267"/>
      <c r="J10" s="267"/>
      <c r="K10" s="267"/>
      <c r="L10" s="267"/>
    </row>
    <row r="11" spans="1:12" ht="15.95">
      <c r="A11" s="1366" t="s">
        <v>48</v>
      </c>
      <c r="B11" s="271" t="s">
        <v>43</v>
      </c>
      <c r="C11" s="272" t="s">
        <v>49</v>
      </c>
      <c r="D11" s="273" t="s">
        <v>50</v>
      </c>
      <c r="H11" s="267" t="s">
        <v>51</v>
      </c>
      <c r="I11" s="267"/>
      <c r="J11" s="267"/>
      <c r="K11" s="267"/>
      <c r="L11" s="267"/>
    </row>
    <row r="12" spans="1:12" ht="15.95">
      <c r="A12" s="1367"/>
      <c r="B12" s="274" t="s">
        <v>43</v>
      </c>
      <c r="C12" s="275" t="s">
        <v>44</v>
      </c>
      <c r="D12" s="276" t="s">
        <v>45</v>
      </c>
      <c r="H12" s="267" t="s">
        <v>52</v>
      </c>
      <c r="I12" s="267"/>
      <c r="J12" s="267"/>
      <c r="K12" s="267"/>
      <c r="L12" s="267"/>
    </row>
    <row r="13" spans="1:12" ht="32.1">
      <c r="A13" s="1367"/>
      <c r="B13" s="274" t="s">
        <v>43</v>
      </c>
      <c r="C13" s="275" t="s">
        <v>53</v>
      </c>
      <c r="D13" s="276" t="s">
        <v>54</v>
      </c>
      <c r="H13" s="267" t="s">
        <v>55</v>
      </c>
      <c r="I13" s="267"/>
      <c r="J13" s="267"/>
      <c r="K13" s="267"/>
      <c r="L13" s="267"/>
    </row>
    <row r="14" spans="1:12" ht="26.25" customHeight="1" thickBot="1">
      <c r="A14" s="1368"/>
      <c r="B14" s="277" t="s">
        <v>43</v>
      </c>
      <c r="C14" s="278" t="s">
        <v>56</v>
      </c>
      <c r="D14" s="279" t="s">
        <v>45</v>
      </c>
      <c r="H14" s="267" t="s">
        <v>56</v>
      </c>
      <c r="I14" s="267"/>
      <c r="J14" s="267"/>
      <c r="K14" s="267"/>
      <c r="L14" s="267"/>
    </row>
    <row r="15" spans="1:12" ht="15.95">
      <c r="A15" s="263"/>
      <c r="B15" s="264"/>
      <c r="C15" s="264"/>
      <c r="D15" s="264"/>
      <c r="H15" s="267" t="s">
        <v>57</v>
      </c>
      <c r="I15" s="267"/>
      <c r="J15" s="267"/>
      <c r="K15" s="267"/>
      <c r="L15" s="267"/>
    </row>
    <row r="16" spans="1:12" s="96" customFormat="1" ht="71.25" customHeight="1" thickBot="1">
      <c r="A16" s="280"/>
      <c r="B16" s="284" t="s">
        <v>58</v>
      </c>
      <c r="C16" s="285" t="s">
        <v>59</v>
      </c>
      <c r="D16" s="286" t="s">
        <v>60</v>
      </c>
      <c r="H16" s="281" t="s">
        <v>61</v>
      </c>
      <c r="I16" s="281"/>
      <c r="J16" s="281"/>
      <c r="K16" s="281"/>
      <c r="L16" s="281"/>
    </row>
    <row r="17" spans="1:12" ht="35.25" customHeight="1">
      <c r="A17" s="1359" t="s">
        <v>62</v>
      </c>
      <c r="B17" s="282" t="s">
        <v>43</v>
      </c>
      <c r="C17" s="283" t="s">
        <v>53</v>
      </c>
      <c r="D17" s="14" t="str">
        <f>IF(C17="","",IF(OR(C17=H10,C17=H11,C17=H12,C17=H13),H20,IF(OR(C17=H14,C17=H16),H21,IF(C17=H15,H22,""))))</f>
        <v/>
      </c>
      <c r="H17" s="267" t="s">
        <v>63</v>
      </c>
      <c r="I17" s="267"/>
      <c r="J17" s="267"/>
      <c r="K17" s="267"/>
      <c r="L17" s="267"/>
    </row>
    <row r="18" spans="1:12" ht="35.25" customHeight="1">
      <c r="A18" s="1360"/>
      <c r="B18" s="282" t="s">
        <v>43</v>
      </c>
      <c r="C18" s="283" t="s">
        <v>64</v>
      </c>
      <c r="D18" s="14" t="str">
        <f t="shared" ref="D18:D48" si="0">IF(C18="","",IF(OR(C18=H11,C18=H12,C18=H13,C18=H14),H21,IF(OR(C18=H15,C18=H17),H22,IF(C18=H16,H23,""))))</f>
        <v/>
      </c>
      <c r="H18" s="267"/>
      <c r="I18" s="267"/>
      <c r="J18" s="267"/>
      <c r="K18" s="267"/>
      <c r="L18" s="267"/>
    </row>
    <row r="19" spans="1:12" ht="35.25" customHeight="1" thickBot="1">
      <c r="A19" s="1360"/>
      <c r="B19" s="282"/>
      <c r="C19" s="283"/>
      <c r="D19" s="14" t="str">
        <f t="shared" si="0"/>
        <v/>
      </c>
      <c r="H19" s="267"/>
      <c r="I19" s="267"/>
      <c r="J19" s="267"/>
      <c r="K19" s="267"/>
      <c r="L19" s="267"/>
    </row>
    <row r="20" spans="1:12" ht="35.25" customHeight="1">
      <c r="A20" s="1361"/>
      <c r="B20" s="282"/>
      <c r="C20" s="268"/>
      <c r="D20" s="14" t="str">
        <f t="shared" si="0"/>
        <v/>
      </c>
      <c r="H20" s="287" t="s">
        <v>65</v>
      </c>
      <c r="I20" s="267"/>
      <c r="J20" s="267"/>
      <c r="K20" s="267"/>
      <c r="L20" s="267"/>
    </row>
    <row r="21" spans="1:12" ht="35.25" customHeight="1">
      <c r="A21" s="1361"/>
      <c r="B21" s="282"/>
      <c r="C21" s="268"/>
      <c r="D21" s="14" t="str">
        <f t="shared" si="0"/>
        <v/>
      </c>
      <c r="H21" s="267" t="s">
        <v>45</v>
      </c>
      <c r="I21" s="267"/>
      <c r="J21" s="267"/>
      <c r="K21" s="267"/>
      <c r="L21" s="267"/>
    </row>
    <row r="22" spans="1:12" ht="35.25" customHeight="1">
      <c r="A22" s="1361"/>
      <c r="B22" s="282"/>
      <c r="C22" s="269"/>
      <c r="D22" s="14" t="str">
        <f>IF(C22="","",IF(OR(C22=H15,C22=H16,C22=H17,C22=H18),H25,IF(OR(C22=H19,C22=H21),H26,IF(C22=H20,#REF!,""))))</f>
        <v/>
      </c>
      <c r="H22" s="267" t="s">
        <v>50</v>
      </c>
      <c r="I22" s="267"/>
      <c r="J22" s="267"/>
      <c r="K22" s="267"/>
      <c r="L22" s="267"/>
    </row>
    <row r="23" spans="1:12" ht="35.25" customHeight="1">
      <c r="A23" s="1361"/>
      <c r="B23" s="282"/>
      <c r="C23" s="269"/>
      <c r="D23" s="14" t="str">
        <f>IF(C23="","",IF(OR(C23=H16,C23=H17,C23=H18,C23=H19),H26,IF(OR(C23=H20,C23=H22),#REF!,IF(C23=H21,H27,""))))</f>
        <v/>
      </c>
      <c r="H23" s="267" t="s">
        <v>54</v>
      </c>
      <c r="I23" s="267"/>
      <c r="J23" s="267"/>
      <c r="K23" s="267"/>
      <c r="L23" s="267"/>
    </row>
    <row r="24" spans="1:12" ht="35.25" customHeight="1">
      <c r="A24" s="1361"/>
      <c r="B24" s="282"/>
      <c r="C24" s="269"/>
      <c r="D24" s="14" t="str">
        <f>IF(C24="","",IF(OR(C24=H17,C24=H18,C24=H19,C24=H20),#REF!,IF(OR(C24=H21,C24=H23),H27,IF(C24=H22,H28,""))))</f>
        <v/>
      </c>
      <c r="H24" s="267"/>
      <c r="I24" s="267"/>
      <c r="J24" s="267"/>
      <c r="K24" s="267"/>
      <c r="L24" s="267"/>
    </row>
    <row r="25" spans="1:12" ht="35.25" customHeight="1" thickBot="1">
      <c r="A25" s="1361"/>
      <c r="B25" s="282"/>
      <c r="C25" s="269"/>
      <c r="D25" s="14" t="str">
        <f>IF(C25="","",IF(OR(C25=H18,C25=H19,C25=H20,C25=H21),H27,IF(OR(C25=H22,C25=H24),H28,IF(C25=H23,H29,""))))</f>
        <v/>
      </c>
      <c r="H25" s="777" t="s">
        <v>66</v>
      </c>
      <c r="I25" s="267"/>
      <c r="J25" s="267"/>
      <c r="K25" s="267"/>
      <c r="L25" s="267"/>
    </row>
    <row r="26" spans="1:12" ht="35.25" customHeight="1">
      <c r="A26" s="1361"/>
      <c r="B26" s="282"/>
      <c r="C26" s="269"/>
      <c r="D26" s="14" t="str">
        <f>IF(C26="","",IF(OR(C26=H19,C26=H20,C26=H21,C26=H22),H28,IF(OR(C26=H23,C26=H25),H29,IF(C26=H24,H30,""))))</f>
        <v/>
      </c>
      <c r="H26" s="778" t="s">
        <v>11</v>
      </c>
      <c r="I26" s="267"/>
      <c r="J26" s="267"/>
      <c r="K26" s="267"/>
      <c r="L26" s="267"/>
    </row>
    <row r="27" spans="1:12" ht="35.25" customHeight="1">
      <c r="A27" s="1361"/>
      <c r="B27" s="282"/>
      <c r="C27" s="269"/>
      <c r="D27" s="14" t="str">
        <f>IF(C27="","",IF(OR(C27=H20,C27=H21,C27=H22,C27=H23),H29,IF(OR(C27=H24,C27=H26),H30,IF(C27=H25,H31,""))))</f>
        <v/>
      </c>
      <c r="H27" s="780" t="s">
        <v>12</v>
      </c>
      <c r="I27" s="267"/>
      <c r="K27" s="267"/>
      <c r="L27" s="267"/>
    </row>
    <row r="28" spans="1:12" ht="35.25" customHeight="1">
      <c r="A28" s="1361"/>
      <c r="B28" s="282"/>
      <c r="C28" s="269"/>
      <c r="D28" s="14" t="str">
        <f>IF(C28="","",IF(OR(C28=H21,C28=H22,C28=H23,C28=H24),H30,IF(OR(C28=H25,C28=#REF!),H31,IF(C28=H26,H32,""))))</f>
        <v/>
      </c>
      <c r="H28" s="780" t="s">
        <v>13</v>
      </c>
      <c r="I28" s="267"/>
      <c r="K28" s="267"/>
      <c r="L28" s="267"/>
    </row>
    <row r="29" spans="1:12" ht="35.25" customHeight="1">
      <c r="A29" s="1361"/>
      <c r="B29" s="282"/>
      <c r="C29" s="269"/>
      <c r="D29" s="14" t="str">
        <f>IF(C29="","",IF(OR(C29=H22,C29=H23,C29=H24,C29=H25),H31,IF(OR(C29=H26,C29=H27),H32,IF(C29=#REF!,H33,""))))</f>
        <v/>
      </c>
      <c r="H29" s="780" t="s">
        <v>14</v>
      </c>
      <c r="I29" s="267"/>
      <c r="K29" s="267"/>
      <c r="L29" s="267"/>
    </row>
    <row r="30" spans="1:12" ht="35.25" customHeight="1">
      <c r="A30" s="1361"/>
      <c r="B30" s="282"/>
      <c r="C30" s="269"/>
      <c r="D30" s="14" t="str">
        <f>IF(C30="","",IF(OR(C30=H23,C30=H24,C30=H25,C30=H26),H32,IF(OR(C30=#REF!,C30=H28),H33,IF(C30=H27,H34,""))))</f>
        <v/>
      </c>
      <c r="H30" s="780" t="s">
        <v>15</v>
      </c>
      <c r="I30" s="267"/>
      <c r="K30" s="267"/>
      <c r="L30" s="267"/>
    </row>
    <row r="31" spans="1:12" ht="35.25" customHeight="1">
      <c r="A31" s="1361"/>
      <c r="B31" s="282"/>
      <c r="C31" s="269"/>
      <c r="D31" s="14" t="str">
        <f>IF(C31="","",IF(OR(C31=H24,C31=H25,C31=H26,C31=#REF!),H33,IF(OR(C31=H27,C31=H29),H34,IF(C31=H28,H35,""))))</f>
        <v/>
      </c>
      <c r="H31" s="780" t="s">
        <v>16</v>
      </c>
      <c r="I31" s="267"/>
      <c r="K31" s="267"/>
      <c r="L31" s="267"/>
    </row>
    <row r="32" spans="1:12" ht="35.25" customHeight="1">
      <c r="A32" s="1361"/>
      <c r="B32" s="282"/>
      <c r="C32" s="269"/>
      <c r="D32" s="14" t="str">
        <f>IF(C32="","",IF(OR(C32=H25,C32=H26,C32=#REF!,C32=H27),H34,IF(OR(C32=H28,C32=H30),H35,IF(C32=H29,H36,""))))</f>
        <v/>
      </c>
      <c r="H32" s="780" t="s">
        <v>17</v>
      </c>
      <c r="I32" s="267"/>
      <c r="K32" s="267"/>
      <c r="L32" s="267"/>
    </row>
    <row r="33" spans="1:12" ht="35.25" customHeight="1">
      <c r="A33" s="1361"/>
      <c r="B33" s="282"/>
      <c r="C33" s="269"/>
      <c r="D33" s="14" t="str">
        <f>IF(C33="","",IF(OR(C33=H26,C33=#REF!,C33=H27,C33=H28),H35,IF(OR(C33=H29,C33=H31),H36,IF(C33=H30,H38,""))))</f>
        <v/>
      </c>
      <c r="H33" s="780" t="s">
        <v>18</v>
      </c>
      <c r="I33" s="267"/>
      <c r="K33" s="267"/>
      <c r="L33" s="267"/>
    </row>
    <row r="34" spans="1:12" ht="35.25" customHeight="1">
      <c r="A34" s="1361"/>
      <c r="B34" s="282"/>
      <c r="C34" s="269"/>
      <c r="D34" s="14" t="str">
        <f>IF(C34="","",IF(OR(C34=#REF!,C34=H27,C34=H28,C34=H29),H36,IF(OR(C34=H30,C34=H32),H38,IF(C34=H31,H39,""))))</f>
        <v/>
      </c>
      <c r="H34" s="780" t="s">
        <v>19</v>
      </c>
      <c r="I34" s="267"/>
      <c r="K34" s="267"/>
      <c r="L34" s="267"/>
    </row>
    <row r="35" spans="1:12" ht="35.25" customHeight="1">
      <c r="A35" s="1361"/>
      <c r="B35" s="282"/>
      <c r="C35" s="269"/>
      <c r="D35" s="14" t="str">
        <f>IF(C35="","",IF(OR(C35=H27,C35=H28,C35=H29,C35=H30),H38,IF(OR(C35=H31,C35=H33),H39,IF(C35=H32,H40,""))))</f>
        <v/>
      </c>
      <c r="H35" s="780" t="s">
        <v>20</v>
      </c>
      <c r="I35" s="267"/>
      <c r="K35" s="267"/>
      <c r="L35" s="267"/>
    </row>
    <row r="36" spans="1:12" ht="35.25" customHeight="1">
      <c r="A36" s="1361"/>
      <c r="B36" s="282"/>
      <c r="C36" s="269"/>
      <c r="D36" s="14" t="str">
        <f>IF(C36="","",IF(OR(C36=H28,C36=H29,C36=H30,C36=H31),H39,IF(OR(C36=H32,C36=H34),H40,IF(C36=H33,H41,""))))</f>
        <v/>
      </c>
      <c r="H36" s="780" t="s">
        <v>21</v>
      </c>
      <c r="I36" s="267"/>
      <c r="K36" s="267"/>
      <c r="L36" s="267"/>
    </row>
    <row r="37" spans="1:12" ht="35.25" customHeight="1">
      <c r="A37" s="1361"/>
      <c r="B37" s="282"/>
      <c r="C37" s="269"/>
      <c r="D37" s="14" t="str">
        <f>IF(C37="","",IF(OR(C37=H29,C37=H30,C37=H31,C37=H32),H40,IF(OR(C37=H33,C37=H35),H41,IF(C37=H34,H42,""))))</f>
        <v/>
      </c>
      <c r="I37" s="267"/>
      <c r="J37" s="267"/>
      <c r="K37" s="267"/>
      <c r="L37" s="267"/>
    </row>
    <row r="38" spans="1:12" ht="35.25" customHeight="1">
      <c r="A38" s="1361"/>
      <c r="B38" s="282"/>
      <c r="C38" s="269"/>
      <c r="D38" s="14" t="str">
        <f>IF(C38="","",IF(OR(C38=H30,C38=H31,C38=H32,C38=H33),H41,IF(OR(C38=H34,C38=H36),H42,IF(C38=H35,H43,""))))</f>
        <v/>
      </c>
      <c r="H38" s="267"/>
      <c r="I38" s="267"/>
      <c r="J38" s="267"/>
      <c r="K38" s="267"/>
      <c r="L38" s="267"/>
    </row>
    <row r="39" spans="1:12" ht="35.25" customHeight="1">
      <c r="A39" s="1361"/>
      <c r="B39" s="282"/>
      <c r="C39" s="269"/>
      <c r="D39" s="14" t="str">
        <f>IF(C39="","",IF(OR(C39=H31,C39=H32,C39=H33,C39=H34),H42,IF(OR(C39=H35,C39=H38),H43,IF(C39=H36,H44,""))))</f>
        <v/>
      </c>
      <c r="H39" s="267"/>
      <c r="I39" s="267"/>
      <c r="J39" s="267"/>
      <c r="K39" s="267"/>
      <c r="L39" s="267"/>
    </row>
    <row r="40" spans="1:12" ht="35.25" customHeight="1">
      <c r="A40" s="1361"/>
      <c r="B40" s="282"/>
      <c r="C40" s="269"/>
      <c r="D40" s="14" t="str">
        <f>IF(C40="","",IF(OR(C40=H32,C40=H33,C40=H34,C40=H35),H43,IF(OR(C40=H36,C40=H39),H44,IF(C40=H38,H45,""))))</f>
        <v/>
      </c>
      <c r="H40" s="267"/>
      <c r="I40" s="267"/>
      <c r="J40" s="267"/>
      <c r="K40" s="267"/>
      <c r="L40" s="267"/>
    </row>
    <row r="41" spans="1:12" ht="35.25" customHeight="1">
      <c r="A41" s="1361"/>
      <c r="B41" s="282"/>
      <c r="C41" s="269"/>
      <c r="D41" s="14" t="str">
        <f>IF(C41="","",IF(OR(C41=H33,C41=H34,C41=H35,C41=H36),H44,IF(OR(C41=H38,C41=H40),H45,IF(C41=H39,H46,""))))</f>
        <v/>
      </c>
      <c r="H41" s="267"/>
      <c r="I41" s="267"/>
      <c r="J41" s="267"/>
      <c r="K41" s="267"/>
      <c r="L41" s="267"/>
    </row>
    <row r="42" spans="1:12" ht="35.25" customHeight="1">
      <c r="A42" s="1361"/>
      <c r="B42" s="282"/>
      <c r="C42" s="269"/>
      <c r="D42" s="14" t="str">
        <f>IF(C42="","",IF(OR(C42=H34,C42=H35,C42=H36,C42=H38),H45,IF(OR(C42=H39,C42=H41),H46,IF(C42=H40,H47,""))))</f>
        <v/>
      </c>
      <c r="H42" s="267"/>
      <c r="I42" s="267"/>
      <c r="J42" s="267"/>
      <c r="K42" s="267"/>
      <c r="L42" s="267"/>
    </row>
    <row r="43" spans="1:12" ht="35.25" customHeight="1">
      <c r="A43" s="1361"/>
      <c r="B43" s="282"/>
      <c r="C43" s="269"/>
      <c r="D43" s="14" t="str">
        <f>IF(C43="","",IF(OR(C43=H35,C43=H36,C43=H38,C43=H39),H46,IF(OR(C43=H40,C43=H42),H47,IF(C43=H41,H48,""))))</f>
        <v/>
      </c>
      <c r="H43" s="267"/>
      <c r="I43" s="267"/>
      <c r="J43" s="267"/>
      <c r="K43" s="267"/>
      <c r="L43" s="267"/>
    </row>
    <row r="44" spans="1:12" ht="35.25" customHeight="1">
      <c r="A44" s="1361"/>
      <c r="B44" s="282"/>
      <c r="C44" s="269"/>
      <c r="D44" s="14" t="str">
        <f>IF(C44="","",IF(OR(C44=H36,C44=H38,C44=H39,C44=H40),H47,IF(OR(C44=H41,C44=H43),H48,IF(C44=H42,H49,""))))</f>
        <v/>
      </c>
      <c r="H44" s="267"/>
      <c r="I44" s="267"/>
      <c r="J44" s="267"/>
      <c r="K44" s="267"/>
      <c r="L44" s="267"/>
    </row>
    <row r="45" spans="1:12" ht="35.25" customHeight="1">
      <c r="A45" s="1361"/>
      <c r="B45" s="282"/>
      <c r="C45" s="269"/>
      <c r="D45" s="14" t="str">
        <f t="shared" si="0"/>
        <v/>
      </c>
      <c r="H45" s="267"/>
      <c r="I45" s="267"/>
      <c r="J45" s="267"/>
      <c r="K45" s="267"/>
      <c r="L45" s="267"/>
    </row>
    <row r="46" spans="1:12" ht="35.25" customHeight="1">
      <c r="A46" s="1361"/>
      <c r="B46" s="282"/>
      <c r="C46" s="269"/>
      <c r="D46" s="14" t="str">
        <f t="shared" si="0"/>
        <v/>
      </c>
      <c r="H46" s="267"/>
      <c r="I46" s="267"/>
      <c r="J46" s="267"/>
      <c r="K46" s="267"/>
      <c r="L46" s="267"/>
    </row>
    <row r="47" spans="1:12" ht="35.25" customHeight="1">
      <c r="A47" s="1361"/>
      <c r="B47" s="282"/>
      <c r="C47" s="269"/>
      <c r="D47" s="14" t="str">
        <f t="shared" si="0"/>
        <v/>
      </c>
      <c r="H47" s="267"/>
      <c r="I47" s="267"/>
      <c r="J47" s="267"/>
      <c r="K47" s="267"/>
      <c r="L47" s="267"/>
    </row>
    <row r="48" spans="1:12" ht="35.25" customHeight="1">
      <c r="A48" s="1361"/>
      <c r="B48" s="282"/>
      <c r="C48" s="269"/>
      <c r="D48" s="14" t="str">
        <f t="shared" si="0"/>
        <v/>
      </c>
      <c r="H48" s="267"/>
      <c r="I48" s="267"/>
      <c r="J48" s="267"/>
      <c r="K48" s="267"/>
      <c r="L48" s="267"/>
    </row>
    <row r="49" spans="1:12" ht="35.25" customHeight="1">
      <c r="A49" s="1361"/>
      <c r="B49" s="282"/>
      <c r="C49" s="269"/>
      <c r="D49" s="14" t="str">
        <f t="shared" ref="D49:D80" si="1">IF(C49="","",IF(OR(C49=H42,C49=H43,C49=H44,C49=H45),H52,IF(OR(C49=H46,C49=H48),H53,IF(C49=H47,H54,""))))</f>
        <v/>
      </c>
      <c r="H49" s="267"/>
      <c r="I49" s="267"/>
      <c r="J49" s="267"/>
      <c r="K49" s="267"/>
      <c r="L49" s="267"/>
    </row>
    <row r="50" spans="1:12" ht="35.25" customHeight="1">
      <c r="A50" s="1361"/>
      <c r="B50" s="282"/>
      <c r="C50" s="269"/>
      <c r="D50" s="14" t="str">
        <f t="shared" si="1"/>
        <v/>
      </c>
      <c r="H50" s="267"/>
      <c r="I50" s="267"/>
      <c r="J50" s="267"/>
      <c r="K50" s="267"/>
      <c r="L50" s="267"/>
    </row>
    <row r="51" spans="1:12" ht="35.25" customHeight="1">
      <c r="A51" s="1361"/>
      <c r="B51" s="282"/>
      <c r="C51" s="269"/>
      <c r="D51" s="14" t="str">
        <f t="shared" si="1"/>
        <v/>
      </c>
      <c r="H51" s="267"/>
      <c r="I51" s="267"/>
      <c r="J51" s="267"/>
      <c r="K51" s="267"/>
      <c r="L51" s="267"/>
    </row>
    <row r="52" spans="1:12" ht="35.25" customHeight="1">
      <c r="A52" s="1361"/>
      <c r="B52" s="282"/>
      <c r="C52" s="269"/>
      <c r="D52" s="14" t="str">
        <f t="shared" si="1"/>
        <v/>
      </c>
      <c r="H52" s="267"/>
      <c r="I52" s="267"/>
      <c r="J52" s="267"/>
      <c r="K52" s="267"/>
      <c r="L52" s="267"/>
    </row>
    <row r="53" spans="1:12" ht="35.25" customHeight="1">
      <c r="A53" s="1361"/>
      <c r="B53" s="282"/>
      <c r="C53" s="269"/>
      <c r="D53" s="14" t="str">
        <f t="shared" si="1"/>
        <v/>
      </c>
      <c r="H53" s="267"/>
      <c r="I53" s="267"/>
      <c r="J53" s="267"/>
      <c r="K53" s="267"/>
      <c r="L53" s="267"/>
    </row>
    <row r="54" spans="1:12" ht="35.25" customHeight="1">
      <c r="A54" s="1361"/>
      <c r="B54" s="282"/>
      <c r="C54" s="269"/>
      <c r="D54" s="14" t="str">
        <f t="shared" si="1"/>
        <v/>
      </c>
      <c r="H54" s="267"/>
      <c r="I54" s="267"/>
      <c r="J54" s="267"/>
      <c r="K54" s="267"/>
      <c r="L54" s="267"/>
    </row>
    <row r="55" spans="1:12" ht="35.25" customHeight="1">
      <c r="A55" s="1361"/>
      <c r="B55" s="282"/>
      <c r="C55" s="269"/>
      <c r="D55" s="14" t="str">
        <f t="shared" si="1"/>
        <v/>
      </c>
      <c r="H55" s="267"/>
      <c r="I55" s="267"/>
      <c r="J55" s="267"/>
      <c r="K55" s="267"/>
      <c r="L55" s="267"/>
    </row>
    <row r="56" spans="1:12" ht="35.25" customHeight="1">
      <c r="A56" s="1361"/>
      <c r="B56" s="282"/>
      <c r="C56" s="269"/>
      <c r="D56" s="14" t="str">
        <f t="shared" si="1"/>
        <v/>
      </c>
      <c r="H56" s="267"/>
      <c r="I56" s="267"/>
      <c r="J56" s="267"/>
      <c r="K56" s="267"/>
      <c r="L56" s="267"/>
    </row>
    <row r="57" spans="1:12" ht="35.25" customHeight="1">
      <c r="A57" s="1361"/>
      <c r="B57" s="282"/>
      <c r="C57" s="269"/>
      <c r="D57" s="14" t="str">
        <f t="shared" si="1"/>
        <v/>
      </c>
      <c r="H57" s="267"/>
      <c r="I57" s="267"/>
      <c r="J57" s="267"/>
      <c r="K57" s="267"/>
      <c r="L57" s="267"/>
    </row>
    <row r="58" spans="1:12" ht="35.25" customHeight="1">
      <c r="A58" s="1361"/>
      <c r="B58" s="282"/>
      <c r="C58" s="269"/>
      <c r="D58" s="14" t="str">
        <f t="shared" si="1"/>
        <v/>
      </c>
      <c r="H58" s="267"/>
      <c r="I58" s="267"/>
      <c r="J58" s="267"/>
      <c r="K58" s="267"/>
      <c r="L58" s="267"/>
    </row>
    <row r="59" spans="1:12" ht="35.25" customHeight="1">
      <c r="A59" s="1361"/>
      <c r="B59" s="282"/>
      <c r="C59" s="269"/>
      <c r="D59" s="14" t="str">
        <f t="shared" si="1"/>
        <v/>
      </c>
      <c r="H59" s="267"/>
      <c r="I59" s="267"/>
      <c r="J59" s="267"/>
      <c r="K59" s="267"/>
      <c r="L59" s="267"/>
    </row>
    <row r="60" spans="1:12" ht="35.25" customHeight="1">
      <c r="A60" s="1361"/>
      <c r="B60" s="282"/>
      <c r="C60" s="269"/>
      <c r="D60" s="14" t="str">
        <f t="shared" si="1"/>
        <v/>
      </c>
      <c r="H60" s="267"/>
      <c r="I60" s="267"/>
      <c r="J60" s="267"/>
      <c r="K60" s="267"/>
      <c r="L60" s="267"/>
    </row>
    <row r="61" spans="1:12" ht="35.25" customHeight="1">
      <c r="A61" s="1361"/>
      <c r="B61" s="282"/>
      <c r="C61" s="269"/>
      <c r="D61" s="14" t="str">
        <f t="shared" si="1"/>
        <v/>
      </c>
      <c r="H61" s="267"/>
      <c r="I61" s="267"/>
      <c r="J61" s="267"/>
      <c r="K61" s="267"/>
      <c r="L61" s="267"/>
    </row>
    <row r="62" spans="1:12" ht="35.25" customHeight="1">
      <c r="A62" s="1361"/>
      <c r="B62" s="282"/>
      <c r="C62" s="269"/>
      <c r="D62" s="14" t="str">
        <f t="shared" si="1"/>
        <v/>
      </c>
      <c r="H62" s="267"/>
      <c r="I62" s="267"/>
      <c r="J62" s="267"/>
      <c r="K62" s="267"/>
      <c r="L62" s="267"/>
    </row>
    <row r="63" spans="1:12" ht="35.25" customHeight="1">
      <c r="A63" s="1361"/>
      <c r="B63" s="282"/>
      <c r="C63" s="269"/>
      <c r="D63" s="14" t="str">
        <f t="shared" si="1"/>
        <v/>
      </c>
      <c r="H63" s="267"/>
      <c r="I63" s="267"/>
      <c r="J63" s="267"/>
      <c r="K63" s="267"/>
      <c r="L63" s="267"/>
    </row>
    <row r="64" spans="1:12" ht="35.25" customHeight="1">
      <c r="A64" s="1361"/>
      <c r="B64" s="282"/>
      <c r="C64" s="269"/>
      <c r="D64" s="14" t="str">
        <f t="shared" si="1"/>
        <v/>
      </c>
      <c r="H64" s="267"/>
      <c r="I64" s="267"/>
      <c r="J64" s="267"/>
      <c r="K64" s="267"/>
      <c r="L64" s="267"/>
    </row>
    <row r="65" spans="1:12" ht="35.25" customHeight="1">
      <c r="A65" s="1361"/>
      <c r="B65" s="282"/>
      <c r="C65" s="269"/>
      <c r="D65" s="14" t="str">
        <f t="shared" si="1"/>
        <v/>
      </c>
      <c r="H65" s="267"/>
      <c r="I65" s="267"/>
      <c r="J65" s="267"/>
      <c r="K65" s="267"/>
      <c r="L65" s="267"/>
    </row>
    <row r="66" spans="1:12" ht="35.25" customHeight="1">
      <c r="A66" s="1361"/>
      <c r="B66" s="282"/>
      <c r="C66" s="269"/>
      <c r="D66" s="14" t="str">
        <f t="shared" si="1"/>
        <v/>
      </c>
      <c r="H66" s="267"/>
      <c r="I66" s="267"/>
      <c r="J66" s="267"/>
      <c r="K66" s="267"/>
      <c r="L66" s="267"/>
    </row>
    <row r="67" spans="1:12" ht="35.25" customHeight="1">
      <c r="A67" s="1361"/>
      <c r="B67" s="282"/>
      <c r="C67" s="269"/>
      <c r="D67" s="14" t="str">
        <f t="shared" si="1"/>
        <v/>
      </c>
      <c r="H67" s="267"/>
      <c r="I67" s="267"/>
      <c r="J67" s="267"/>
      <c r="K67" s="267"/>
      <c r="L67" s="267"/>
    </row>
    <row r="68" spans="1:12" ht="35.25" customHeight="1">
      <c r="A68" s="1361"/>
      <c r="B68" s="282"/>
      <c r="C68" s="269"/>
      <c r="D68" s="14" t="str">
        <f t="shared" si="1"/>
        <v/>
      </c>
      <c r="H68" s="267"/>
      <c r="I68" s="267"/>
      <c r="J68" s="267"/>
      <c r="K68" s="267"/>
      <c r="L68" s="267"/>
    </row>
    <row r="69" spans="1:12" ht="35.25" customHeight="1">
      <c r="A69" s="1361"/>
      <c r="B69" s="282"/>
      <c r="C69" s="269"/>
      <c r="D69" s="14" t="str">
        <f t="shared" si="1"/>
        <v/>
      </c>
      <c r="H69" s="267"/>
      <c r="I69" s="267"/>
      <c r="J69" s="267"/>
      <c r="K69" s="267"/>
      <c r="L69" s="267"/>
    </row>
    <row r="70" spans="1:12" ht="35.25" customHeight="1">
      <c r="A70" s="1361"/>
      <c r="B70" s="282"/>
      <c r="C70" s="269"/>
      <c r="D70" s="14" t="str">
        <f t="shared" si="1"/>
        <v/>
      </c>
      <c r="H70" s="267"/>
      <c r="I70" s="267"/>
      <c r="J70" s="267"/>
      <c r="K70" s="267"/>
      <c r="L70" s="267"/>
    </row>
    <row r="71" spans="1:12" ht="35.25" customHeight="1">
      <c r="A71" s="1361"/>
      <c r="B71" s="282"/>
      <c r="C71" s="269"/>
      <c r="D71" s="14" t="str">
        <f t="shared" si="1"/>
        <v/>
      </c>
      <c r="H71" s="267"/>
      <c r="I71" s="267"/>
      <c r="J71" s="267"/>
      <c r="K71" s="267"/>
      <c r="L71" s="267"/>
    </row>
    <row r="72" spans="1:12" ht="35.25" customHeight="1">
      <c r="A72" s="1361"/>
      <c r="B72" s="282"/>
      <c r="C72" s="269"/>
      <c r="D72" s="14" t="str">
        <f t="shared" si="1"/>
        <v/>
      </c>
      <c r="H72" s="267"/>
      <c r="I72" s="267"/>
      <c r="J72" s="267"/>
      <c r="K72" s="267"/>
      <c r="L72" s="267"/>
    </row>
    <row r="73" spans="1:12" ht="35.25" customHeight="1">
      <c r="A73" s="1361"/>
      <c r="B73" s="282"/>
      <c r="C73" s="269"/>
      <c r="D73" s="14" t="str">
        <f t="shared" si="1"/>
        <v/>
      </c>
      <c r="H73" s="267"/>
      <c r="I73" s="267"/>
      <c r="J73" s="267"/>
      <c r="K73" s="267"/>
      <c r="L73" s="267"/>
    </row>
    <row r="74" spans="1:12" ht="35.25" customHeight="1">
      <c r="A74" s="1361"/>
      <c r="B74" s="282"/>
      <c r="C74" s="269"/>
      <c r="D74" s="14" t="str">
        <f t="shared" si="1"/>
        <v/>
      </c>
      <c r="H74" s="267"/>
      <c r="I74" s="267"/>
      <c r="J74" s="267"/>
      <c r="K74" s="267"/>
      <c r="L74" s="267"/>
    </row>
    <row r="75" spans="1:12" ht="35.25" customHeight="1">
      <c r="A75" s="1361"/>
      <c r="B75" s="282"/>
      <c r="C75" s="269"/>
      <c r="D75" s="14" t="str">
        <f t="shared" si="1"/>
        <v/>
      </c>
      <c r="H75" s="267"/>
      <c r="I75" s="267"/>
      <c r="J75" s="267"/>
      <c r="K75" s="267"/>
      <c r="L75" s="267"/>
    </row>
    <row r="76" spans="1:12" ht="35.25" customHeight="1">
      <c r="A76" s="1361"/>
      <c r="B76" s="282"/>
      <c r="C76" s="269"/>
      <c r="D76" s="14" t="str">
        <f t="shared" si="1"/>
        <v/>
      </c>
      <c r="H76" s="267"/>
      <c r="I76" s="267"/>
      <c r="J76" s="267"/>
      <c r="K76" s="267"/>
      <c r="L76" s="267"/>
    </row>
    <row r="77" spans="1:12" ht="35.25" customHeight="1">
      <c r="A77" s="1361"/>
      <c r="B77" s="282"/>
      <c r="C77" s="269"/>
      <c r="D77" s="14" t="str">
        <f t="shared" si="1"/>
        <v/>
      </c>
      <c r="H77" s="267"/>
      <c r="I77" s="267"/>
      <c r="J77" s="267"/>
      <c r="K77" s="267"/>
      <c r="L77" s="267"/>
    </row>
    <row r="78" spans="1:12" ht="35.25" customHeight="1">
      <c r="A78" s="1361"/>
      <c r="B78" s="282"/>
      <c r="C78" s="269"/>
      <c r="D78" s="14" t="str">
        <f t="shared" si="1"/>
        <v/>
      </c>
      <c r="H78" s="267"/>
      <c r="I78" s="267"/>
      <c r="J78" s="267"/>
      <c r="K78" s="267"/>
      <c r="L78" s="267"/>
    </row>
    <row r="79" spans="1:12" ht="35.25" customHeight="1">
      <c r="A79" s="1361"/>
      <c r="B79" s="282"/>
      <c r="C79" s="269"/>
      <c r="D79" s="14" t="str">
        <f t="shared" si="1"/>
        <v/>
      </c>
      <c r="H79" s="267"/>
      <c r="I79" s="267"/>
      <c r="J79" s="267"/>
      <c r="K79" s="267"/>
      <c r="L79" s="267"/>
    </row>
    <row r="80" spans="1:12" ht="35.25" customHeight="1">
      <c r="A80" s="1361"/>
      <c r="B80" s="282"/>
      <c r="C80" s="269"/>
      <c r="D80" s="14" t="str">
        <f t="shared" si="1"/>
        <v/>
      </c>
      <c r="H80" s="267"/>
      <c r="I80" s="267"/>
      <c r="J80" s="267"/>
      <c r="K80" s="267"/>
      <c r="L80" s="267"/>
    </row>
    <row r="81" spans="1:12" ht="35.25" customHeight="1">
      <c r="A81" s="1361"/>
      <c r="B81" s="282"/>
      <c r="C81" s="269"/>
      <c r="D81" s="14" t="str">
        <f t="shared" ref="D81:D104" si="2">IF(C81="","",IF(OR(C81=H74,C81=H75,C81=H76,C81=H77),H84,IF(OR(C81=H78,C81=H80),H85,IF(C81=H79,H86,""))))</f>
        <v/>
      </c>
      <c r="H81" s="267"/>
      <c r="I81" s="267"/>
      <c r="J81" s="267"/>
      <c r="K81" s="267"/>
      <c r="L81" s="267"/>
    </row>
    <row r="82" spans="1:12" ht="35.25" customHeight="1">
      <c r="A82" s="1361"/>
      <c r="B82" s="282"/>
      <c r="C82" s="269"/>
      <c r="D82" s="14" t="str">
        <f t="shared" si="2"/>
        <v/>
      </c>
      <c r="H82" s="267"/>
      <c r="I82" s="267"/>
      <c r="J82" s="267"/>
      <c r="K82" s="267"/>
      <c r="L82" s="267"/>
    </row>
    <row r="83" spans="1:12" ht="35.25" customHeight="1">
      <c r="A83" s="1361"/>
      <c r="B83" s="282"/>
      <c r="C83" s="269"/>
      <c r="D83" s="14" t="str">
        <f t="shared" si="2"/>
        <v/>
      </c>
      <c r="H83" s="267"/>
      <c r="I83" s="267"/>
      <c r="J83" s="267"/>
      <c r="K83" s="267"/>
      <c r="L83" s="267"/>
    </row>
    <row r="84" spans="1:12" ht="35.25" customHeight="1">
      <c r="A84" s="1361"/>
      <c r="B84" s="282"/>
      <c r="C84" s="269"/>
      <c r="D84" s="14" t="str">
        <f t="shared" si="2"/>
        <v/>
      </c>
      <c r="H84" s="267"/>
      <c r="I84" s="267"/>
      <c r="J84" s="267"/>
      <c r="K84" s="267"/>
      <c r="L84" s="267"/>
    </row>
    <row r="85" spans="1:12" ht="35.25" customHeight="1">
      <c r="A85" s="1361"/>
      <c r="B85" s="282"/>
      <c r="C85" s="269"/>
      <c r="D85" s="14" t="str">
        <f t="shared" si="2"/>
        <v/>
      </c>
      <c r="H85" s="267"/>
      <c r="I85" s="267"/>
      <c r="J85" s="267"/>
      <c r="K85" s="267"/>
      <c r="L85" s="267"/>
    </row>
    <row r="86" spans="1:12" ht="35.25" customHeight="1">
      <c r="A86" s="1361"/>
      <c r="B86" s="282"/>
      <c r="C86" s="269"/>
      <c r="D86" s="14" t="str">
        <f t="shared" si="2"/>
        <v/>
      </c>
      <c r="H86" s="267"/>
      <c r="I86" s="267"/>
      <c r="J86" s="267"/>
      <c r="K86" s="267"/>
      <c r="L86" s="267"/>
    </row>
    <row r="87" spans="1:12" ht="35.25" customHeight="1">
      <c r="A87" s="1361"/>
      <c r="B87" s="282"/>
      <c r="C87" s="269"/>
      <c r="D87" s="14" t="str">
        <f t="shared" si="2"/>
        <v/>
      </c>
      <c r="H87" s="267"/>
      <c r="I87" s="267"/>
      <c r="J87" s="267"/>
      <c r="K87" s="267"/>
      <c r="L87" s="267"/>
    </row>
    <row r="88" spans="1:12" ht="35.25" customHeight="1">
      <c r="A88" s="1361"/>
      <c r="B88" s="282"/>
      <c r="C88" s="269"/>
      <c r="D88" s="14" t="str">
        <f t="shared" si="2"/>
        <v/>
      </c>
      <c r="H88" s="267"/>
      <c r="I88" s="267"/>
      <c r="J88" s="267"/>
      <c r="K88" s="267"/>
      <c r="L88" s="267"/>
    </row>
    <row r="89" spans="1:12" ht="35.25" customHeight="1">
      <c r="A89" s="1361"/>
      <c r="B89" s="282"/>
      <c r="C89" s="269"/>
      <c r="D89" s="14" t="str">
        <f t="shared" si="2"/>
        <v/>
      </c>
      <c r="H89" s="267"/>
      <c r="I89" s="267"/>
      <c r="J89" s="267"/>
      <c r="K89" s="267"/>
      <c r="L89" s="267"/>
    </row>
    <row r="90" spans="1:12" ht="35.25" customHeight="1">
      <c r="A90" s="1361"/>
      <c r="B90" s="282"/>
      <c r="C90" s="269"/>
      <c r="D90" s="14" t="str">
        <f t="shared" si="2"/>
        <v/>
      </c>
      <c r="H90" s="267"/>
      <c r="I90" s="267"/>
      <c r="J90" s="267"/>
      <c r="K90" s="267"/>
      <c r="L90" s="267"/>
    </row>
    <row r="91" spans="1:12" ht="35.25" customHeight="1">
      <c r="A91" s="1361"/>
      <c r="B91" s="282"/>
      <c r="C91" s="269"/>
      <c r="D91" s="14" t="str">
        <f t="shared" si="2"/>
        <v/>
      </c>
      <c r="H91" s="267"/>
      <c r="I91" s="267"/>
      <c r="J91" s="267"/>
      <c r="K91" s="267"/>
      <c r="L91" s="267"/>
    </row>
    <row r="92" spans="1:12" ht="35.25" customHeight="1">
      <c r="A92" s="1361"/>
      <c r="B92" s="282"/>
      <c r="C92" s="269"/>
      <c r="D92" s="14" t="str">
        <f t="shared" si="2"/>
        <v/>
      </c>
      <c r="H92" s="267"/>
      <c r="I92" s="267"/>
      <c r="J92" s="267"/>
      <c r="K92" s="267"/>
      <c r="L92" s="267"/>
    </row>
    <row r="93" spans="1:12" ht="35.25" customHeight="1">
      <c r="A93" s="1361"/>
      <c r="B93" s="282"/>
      <c r="C93" s="269"/>
      <c r="D93" s="14" t="str">
        <f t="shared" si="2"/>
        <v/>
      </c>
      <c r="H93" s="267"/>
      <c r="I93" s="267"/>
      <c r="J93" s="267"/>
      <c r="K93" s="267"/>
      <c r="L93" s="267"/>
    </row>
    <row r="94" spans="1:12" ht="35.25" customHeight="1">
      <c r="A94" s="1361"/>
      <c r="B94" s="282"/>
      <c r="C94" s="269"/>
      <c r="D94" s="14" t="str">
        <f t="shared" si="2"/>
        <v/>
      </c>
      <c r="H94" s="267"/>
      <c r="I94" s="267"/>
      <c r="J94" s="267"/>
      <c r="K94" s="267"/>
      <c r="L94" s="267"/>
    </row>
    <row r="95" spans="1:12" ht="35.25" customHeight="1">
      <c r="A95" s="1361"/>
      <c r="B95" s="282"/>
      <c r="C95" s="269"/>
      <c r="D95" s="14" t="str">
        <f t="shared" si="2"/>
        <v/>
      </c>
      <c r="H95" s="267"/>
      <c r="I95" s="267"/>
      <c r="J95" s="267"/>
      <c r="K95" s="267"/>
      <c r="L95" s="267"/>
    </row>
    <row r="96" spans="1:12" ht="35.25" customHeight="1">
      <c r="A96" s="1361"/>
      <c r="B96" s="282"/>
      <c r="C96" s="269"/>
      <c r="D96" s="14" t="str">
        <f t="shared" si="2"/>
        <v/>
      </c>
      <c r="H96" s="267"/>
      <c r="I96" s="267"/>
      <c r="J96" s="267"/>
      <c r="K96" s="267"/>
      <c r="L96" s="267"/>
    </row>
    <row r="97" spans="1:12" ht="35.25" customHeight="1">
      <c r="A97" s="1361"/>
      <c r="B97" s="282"/>
      <c r="C97" s="269"/>
      <c r="D97" s="14" t="str">
        <f t="shared" si="2"/>
        <v/>
      </c>
      <c r="H97" s="267"/>
      <c r="I97" s="267"/>
      <c r="J97" s="267"/>
      <c r="K97" s="267"/>
      <c r="L97" s="267"/>
    </row>
    <row r="98" spans="1:12" ht="35.25" customHeight="1">
      <c r="A98" s="1361"/>
      <c r="B98" s="282"/>
      <c r="C98" s="269"/>
      <c r="D98" s="14" t="str">
        <f t="shared" si="2"/>
        <v/>
      </c>
    </row>
    <row r="99" spans="1:12" ht="35.25" customHeight="1">
      <c r="A99" s="1361"/>
      <c r="B99" s="282"/>
      <c r="C99" s="269"/>
      <c r="D99" s="14" t="str">
        <f t="shared" si="2"/>
        <v/>
      </c>
    </row>
    <row r="100" spans="1:12" ht="35.25" customHeight="1">
      <c r="A100" s="1361"/>
      <c r="B100" s="282"/>
      <c r="C100" s="269"/>
      <c r="D100" s="14" t="str">
        <f t="shared" si="2"/>
        <v/>
      </c>
    </row>
    <row r="101" spans="1:12" ht="35.25" customHeight="1">
      <c r="A101" s="1361"/>
      <c r="B101" s="282"/>
      <c r="C101" s="269"/>
      <c r="D101" s="14" t="str">
        <f t="shared" si="2"/>
        <v/>
      </c>
    </row>
    <row r="102" spans="1:12" ht="35.25" customHeight="1">
      <c r="A102" s="1361"/>
      <c r="B102" s="282"/>
      <c r="C102" s="269"/>
      <c r="D102" s="14" t="str">
        <f t="shared" si="2"/>
        <v/>
      </c>
    </row>
    <row r="103" spans="1:12" ht="35.25" customHeight="1">
      <c r="A103" s="1361"/>
      <c r="B103" s="282"/>
      <c r="C103" s="269"/>
      <c r="D103" s="14" t="str">
        <f t="shared" si="2"/>
        <v/>
      </c>
    </row>
    <row r="104" spans="1:12" ht="35.25" customHeight="1" thickBot="1">
      <c r="A104" s="1362"/>
      <c r="B104" s="282"/>
      <c r="C104" s="270"/>
      <c r="D104" s="14" t="str">
        <f t="shared" si="2"/>
        <v/>
      </c>
    </row>
  </sheetData>
  <sheetProtection formatCells="0" formatColumns="0" formatRows="0" insertColumns="0" insertRows="0" insertHyperlinks="0" deleteColumns="0" deleteRows="0" sort="0" autoFilter="0" pivotTables="0"/>
  <mergeCells count="5">
    <mergeCell ref="B2:D2"/>
    <mergeCell ref="A17:A104"/>
    <mergeCell ref="B4:D4"/>
    <mergeCell ref="B9:D9"/>
    <mergeCell ref="A11:A14"/>
  </mergeCells>
  <phoneticPr fontId="11" type="noConversion"/>
  <dataValidations count="5">
    <dataValidation type="list" allowBlank="1" showInputMessage="1" showErrorMessage="1" sqref="C10" xr:uid="{5664F73D-52DB-4FA8-8D9A-5124B0363109}">
      <formula1>"1-Investissements,2-Frais généraux,3-Contributions en nature,4-Amortissement,5-Tx forf personnel+autoconst,6-Coût unitaire bananes,7-Coût unitaire cannes à sucre"</formula1>
    </dataValidation>
    <dataValidation type="list" allowBlank="1" showErrorMessage="1" promptTitle="Sélectionnez un type d'action" sqref="B11:B15 B17:B104" xr:uid="{5FDA93D4-9951-4646-AF67-24180B1FDBBF}">
      <formula1>$H$7:$H$7</formula1>
    </dataValidation>
    <dataValidation type="list" allowBlank="1" showInputMessage="1" showErrorMessage="1" sqref="C15" xr:uid="{361DD05A-7134-4378-8F75-75AA63BE9685}">
      <formula1>"1-Investissements,2-Frais généraux,3-Frais de personnel"</formula1>
    </dataValidation>
    <dataValidation allowBlank="1" showErrorMessage="1" promptTitle="Sélectionnez un type d'action" sqref="H7 B7" xr:uid="{61526F7A-E436-4E70-AFDD-7526E0BF0313}"/>
    <dataValidation type="list" allowBlank="1" showInputMessage="1" showErrorMessage="1" sqref="C11:C14 C17:C104 C7" xr:uid="{D51234AE-B1D8-40AD-B8C2-7BC60C5DB41F}">
      <formula1>$H$11:$H$17</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2:BH114"/>
  <sheetViews>
    <sheetView showGridLines="0" topLeftCell="G1" zoomScale="34" zoomScaleNormal="40" workbookViewId="0">
      <selection activeCell="I17" sqref="I17"/>
    </sheetView>
  </sheetViews>
  <sheetFormatPr defaultColWidth="11.42578125" defaultRowHeight="15" outlineLevelCol="1"/>
  <cols>
    <col min="1" max="1" width="12.42578125" bestFit="1" customWidth="1"/>
    <col min="2" max="2" width="22.42578125" customWidth="1"/>
    <col min="3" max="3" width="27.140625" customWidth="1"/>
    <col min="4" max="5" width="28.42578125" customWidth="1"/>
    <col min="6" max="6" width="27.42578125" customWidth="1"/>
    <col min="7" max="7" width="27" customWidth="1"/>
    <col min="8" max="8" width="31.85546875" customWidth="1"/>
    <col min="9" max="9" width="21" customWidth="1"/>
    <col min="10" max="10" width="19.42578125" customWidth="1"/>
    <col min="11" max="11" width="25" customWidth="1"/>
    <col min="12" max="12" width="22.42578125" customWidth="1"/>
    <col min="13" max="13" width="19.42578125" customWidth="1"/>
    <col min="14" max="14" width="20.85546875" customWidth="1"/>
    <col min="15" max="15" width="19.85546875" customWidth="1"/>
    <col min="16" max="16" width="21.140625" customWidth="1"/>
    <col min="17" max="17" width="20.85546875" customWidth="1"/>
    <col min="18" max="18" width="20.42578125" customWidth="1"/>
    <col min="19" max="19" width="21.140625" customWidth="1"/>
    <col min="20" max="20" width="21.42578125" customWidth="1"/>
    <col min="21" max="21" width="20.42578125" customWidth="1"/>
    <col min="22" max="22" width="35.42578125" customWidth="1"/>
    <col min="23" max="23" width="17.42578125" customWidth="1"/>
    <col min="24" max="25" width="18.140625" customWidth="1"/>
    <col min="26" max="26" width="49.42578125" customWidth="1"/>
    <col min="27" max="32" width="27.42578125" customWidth="1" outlineLevel="1"/>
    <col min="33" max="34" width="19.85546875" customWidth="1" outlineLevel="1"/>
    <col min="35" max="35" width="25" customWidth="1" outlineLevel="1"/>
    <col min="36" max="36" width="22.42578125" customWidth="1" outlineLevel="1"/>
    <col min="37" max="38" width="19.85546875" customWidth="1" outlineLevel="1"/>
    <col min="39" max="39" width="19.140625" customWidth="1" outlineLevel="1"/>
    <col min="40" max="45" width="20.42578125" customWidth="1" outlineLevel="1"/>
    <col min="46" max="46" width="19.85546875" customWidth="1" outlineLevel="1"/>
    <col min="47" max="47" width="24.42578125" customWidth="1" outlineLevel="1"/>
    <col min="48" max="48" width="25" customWidth="1" outlineLevel="1"/>
    <col min="49" max="49" width="27.42578125" customWidth="1" outlineLevel="1"/>
    <col min="50" max="53" width="25" customWidth="1" outlineLevel="1"/>
    <col min="54" max="54" width="43.140625" customWidth="1" outlineLevel="1"/>
    <col min="55" max="55" width="27.42578125" customWidth="1" outlineLevel="1"/>
    <col min="56" max="56" width="27.85546875" customWidth="1" outlineLevel="1"/>
    <col min="57" max="57" width="17.42578125" customWidth="1" outlineLevel="1"/>
    <col min="58" max="58" width="19.85546875" customWidth="1" outlineLevel="1"/>
    <col min="59" max="59" width="19.42578125" customWidth="1" outlineLevel="1"/>
  </cols>
  <sheetData>
    <row r="2" spans="1:60" ht="65.25" customHeight="1" thickBot="1"/>
    <row r="3" spans="1:60" ht="69.95" customHeight="1" thickBot="1">
      <c r="A3" s="1377" t="s">
        <v>67</v>
      </c>
      <c r="B3" s="1378"/>
      <c r="C3" s="1379"/>
      <c r="D3" s="1379"/>
      <c r="E3" s="1379"/>
      <c r="F3" s="1379"/>
      <c r="G3" s="1379"/>
      <c r="H3" s="1379"/>
      <c r="I3" s="1379"/>
      <c r="J3" s="1379"/>
      <c r="K3" s="1379"/>
      <c r="L3" s="1379"/>
      <c r="M3" s="1379"/>
      <c r="N3" s="1379"/>
      <c r="O3" s="1379"/>
      <c r="P3" s="1379"/>
      <c r="Q3" s="1379"/>
      <c r="R3" s="1379"/>
      <c r="S3" s="1379"/>
      <c r="T3" s="1379"/>
      <c r="U3" s="1379"/>
      <c r="V3" s="1379"/>
      <c r="W3" s="1379"/>
      <c r="X3" s="1379"/>
      <c r="Y3" s="1379"/>
      <c r="Z3" s="1380"/>
      <c r="AA3" s="1381" t="s">
        <v>68</v>
      </c>
      <c r="AB3" s="1381"/>
      <c r="AC3" s="1381"/>
      <c r="AD3" s="1381"/>
      <c r="AE3" s="1381"/>
      <c r="AF3" s="1381"/>
      <c r="AG3" s="1381"/>
      <c r="AH3" s="1381"/>
      <c r="AI3" s="1381"/>
      <c r="AJ3" s="1381"/>
      <c r="AK3" s="1381"/>
      <c r="AL3" s="1381"/>
      <c r="AM3" s="1381"/>
      <c r="AN3" s="1381"/>
      <c r="AO3" s="1381"/>
      <c r="AP3" s="1381"/>
      <c r="AQ3" s="1381"/>
      <c r="AR3" s="1381"/>
      <c r="AS3" s="1381"/>
      <c r="AT3" s="1381"/>
      <c r="AU3" s="1381"/>
      <c r="AV3" s="1381"/>
      <c r="AW3" s="1381"/>
      <c r="AX3" s="1381"/>
      <c r="AY3" s="1381"/>
      <c r="AZ3" s="1381"/>
      <c r="BA3" s="1381"/>
      <c r="BB3" s="1381"/>
      <c r="BC3" s="1381"/>
      <c r="BD3" s="1381"/>
      <c r="BE3" s="1381"/>
      <c r="BF3" s="1381"/>
      <c r="BG3" s="1382"/>
    </row>
    <row r="4" spans="1:60" s="96" customFormat="1" ht="78.95" customHeight="1">
      <c r="A4" s="121"/>
      <c r="B4" s="121"/>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row>
    <row r="5" spans="1:60" ht="189.75" customHeight="1">
      <c r="A5" s="1384" t="s">
        <v>69</v>
      </c>
      <c r="B5" s="1384"/>
      <c r="C5" s="1384"/>
      <c r="D5" s="1384"/>
      <c r="E5" s="1384"/>
      <c r="F5" s="1384"/>
      <c r="G5" s="1384"/>
      <c r="H5" s="1384"/>
      <c r="I5" s="1384"/>
      <c r="J5" s="1384"/>
      <c r="K5" s="1384"/>
      <c r="L5" s="1384"/>
      <c r="M5" s="1375" t="s">
        <v>70</v>
      </c>
      <c r="N5" s="1376"/>
      <c r="O5" s="1376"/>
      <c r="P5" s="1376"/>
      <c r="Q5" s="1376"/>
      <c r="R5" s="1376"/>
      <c r="S5" s="1376"/>
      <c r="T5" s="1376"/>
      <c r="U5" s="1376"/>
      <c r="V5" s="1386" t="s">
        <v>71</v>
      </c>
      <c r="W5" s="1388" t="s">
        <v>72</v>
      </c>
      <c r="X5" s="1388"/>
      <c r="Y5" s="1388"/>
      <c r="Z5" s="1387" t="s">
        <v>73</v>
      </c>
      <c r="AA5" s="1391" t="s">
        <v>74</v>
      </c>
      <c r="AB5" s="1391"/>
      <c r="AC5" s="1391"/>
      <c r="AD5" s="1391"/>
      <c r="AE5" s="1391"/>
      <c r="AF5" s="1391"/>
      <c r="AG5" s="1391"/>
      <c r="AH5" s="1391"/>
      <c r="AI5" s="1391"/>
      <c r="AJ5" s="1391"/>
      <c r="AK5" s="1390" t="s">
        <v>75</v>
      </c>
      <c r="AL5" s="1390"/>
      <c r="AM5" s="1390"/>
      <c r="AN5" s="1390"/>
      <c r="AO5" s="1390"/>
      <c r="AP5" s="1390"/>
      <c r="AQ5" s="1390"/>
      <c r="AR5" s="1390"/>
      <c r="AS5" s="1390"/>
      <c r="AT5" s="1390"/>
      <c r="AU5" s="1389" t="s">
        <v>76</v>
      </c>
      <c r="AV5" s="1394" t="s">
        <v>77</v>
      </c>
      <c r="AW5" s="1394"/>
      <c r="AX5" s="1394"/>
      <c r="AY5" s="1394"/>
      <c r="AZ5" s="1394"/>
      <c r="BA5" s="1394"/>
      <c r="BB5" s="1392" t="s">
        <v>78</v>
      </c>
      <c r="BC5" s="1393" t="s">
        <v>79</v>
      </c>
      <c r="BD5" s="1393"/>
      <c r="BE5" s="1389" t="s">
        <v>80</v>
      </c>
      <c r="BF5" s="1389"/>
      <c r="BG5" s="1389"/>
    </row>
    <row r="6" spans="1:60" ht="59.45" customHeight="1" thickBot="1">
      <c r="A6" s="1384"/>
      <c r="B6" s="1384"/>
      <c r="C6" s="1384"/>
      <c r="D6" s="1384"/>
      <c r="E6" s="1384"/>
      <c r="F6" s="1384"/>
      <c r="G6" s="1384"/>
      <c r="H6" s="1384"/>
      <c r="I6" s="1384"/>
      <c r="J6" s="1384"/>
      <c r="K6" s="1384"/>
      <c r="L6" s="1384"/>
      <c r="M6" s="1375" t="s">
        <v>81</v>
      </c>
      <c r="N6" s="1375"/>
      <c r="O6" s="1375"/>
      <c r="P6" s="1375" t="s">
        <v>82</v>
      </c>
      <c r="Q6" s="1376"/>
      <c r="R6" s="1376"/>
      <c r="S6" s="1385" t="s">
        <v>83</v>
      </c>
      <c r="T6" s="1376"/>
      <c r="U6" s="1376"/>
      <c r="V6" s="1386"/>
      <c r="W6" s="1388"/>
      <c r="X6" s="1388"/>
      <c r="Y6" s="1388"/>
      <c r="Z6" s="1387"/>
      <c r="AA6" s="1391"/>
      <c r="AB6" s="1391"/>
      <c r="AC6" s="1391"/>
      <c r="AD6" s="1391"/>
      <c r="AE6" s="1391"/>
      <c r="AF6" s="1391"/>
      <c r="AG6" s="1391"/>
      <c r="AH6" s="1391"/>
      <c r="AI6" s="1391"/>
      <c r="AJ6" s="1391"/>
      <c r="AK6" s="1390"/>
      <c r="AL6" s="1390"/>
      <c r="AM6" s="1390"/>
      <c r="AN6" s="1390"/>
      <c r="AO6" s="1390"/>
      <c r="AP6" s="1390"/>
      <c r="AQ6" s="1390"/>
      <c r="AR6" s="1390"/>
      <c r="AS6" s="1390"/>
      <c r="AT6" s="1390"/>
      <c r="AU6" s="1389"/>
      <c r="AV6" s="1394" t="s">
        <v>84</v>
      </c>
      <c r="AW6" s="1394"/>
      <c r="AX6" s="1394"/>
      <c r="AY6" s="1394" t="s">
        <v>85</v>
      </c>
      <c r="AZ6" s="1394"/>
      <c r="BA6" s="1394"/>
      <c r="BB6" s="1392"/>
      <c r="BC6" s="1393"/>
      <c r="BD6" s="1393"/>
      <c r="BE6" s="1389"/>
      <c r="BF6" s="1389"/>
      <c r="BG6" s="1389"/>
    </row>
    <row r="7" spans="1:60" s="32" customFormat="1" ht="164.25" customHeight="1">
      <c r="A7" s="1383" t="s">
        <v>86</v>
      </c>
      <c r="B7" s="781" t="s">
        <v>66</v>
      </c>
      <c r="C7" s="153" t="s">
        <v>87</v>
      </c>
      <c r="D7" s="153" t="s">
        <v>88</v>
      </c>
      <c r="E7" s="799" t="s">
        <v>89</v>
      </c>
      <c r="F7" s="153" t="s">
        <v>90</v>
      </c>
      <c r="G7" s="153" t="s">
        <v>91</v>
      </c>
      <c r="H7" s="153" t="s">
        <v>92</v>
      </c>
      <c r="I7" s="153" t="s">
        <v>93</v>
      </c>
      <c r="J7" s="153" t="s">
        <v>94</v>
      </c>
      <c r="K7" s="153" t="s">
        <v>95</v>
      </c>
      <c r="L7" s="153" t="s">
        <v>96</v>
      </c>
      <c r="M7" s="60" t="s">
        <v>97</v>
      </c>
      <c r="N7" s="60" t="s">
        <v>98</v>
      </c>
      <c r="O7" s="60" t="s">
        <v>99</v>
      </c>
      <c r="P7" s="60" t="s">
        <v>100</v>
      </c>
      <c r="Q7" s="60" t="s">
        <v>101</v>
      </c>
      <c r="R7" s="60" t="s">
        <v>102</v>
      </c>
      <c r="S7" s="60" t="s">
        <v>103</v>
      </c>
      <c r="T7" s="60" t="s">
        <v>104</v>
      </c>
      <c r="U7" s="60" t="s">
        <v>105</v>
      </c>
      <c r="V7" s="153" t="s">
        <v>106</v>
      </c>
      <c r="W7" s="6" t="s">
        <v>107</v>
      </c>
      <c r="X7" s="6" t="s">
        <v>108</v>
      </c>
      <c r="Y7" s="6" t="s">
        <v>109</v>
      </c>
      <c r="Z7" s="60" t="s">
        <v>110</v>
      </c>
      <c r="AA7" s="61" t="s">
        <v>87</v>
      </c>
      <c r="AB7" s="61" t="s">
        <v>88</v>
      </c>
      <c r="AC7" s="821" t="s">
        <v>89</v>
      </c>
      <c r="AD7" s="61" t="s">
        <v>90</v>
      </c>
      <c r="AE7" s="61" t="s">
        <v>91</v>
      </c>
      <c r="AF7" s="61" t="s">
        <v>92</v>
      </c>
      <c r="AG7" s="61" t="s">
        <v>93</v>
      </c>
      <c r="AH7" s="61" t="s">
        <v>111</v>
      </c>
      <c r="AI7" s="61" t="s">
        <v>95</v>
      </c>
      <c r="AJ7" s="61" t="s">
        <v>96</v>
      </c>
      <c r="AK7" s="61" t="s">
        <v>97</v>
      </c>
      <c r="AL7" s="61" t="s">
        <v>98</v>
      </c>
      <c r="AM7" s="61" t="s">
        <v>99</v>
      </c>
      <c r="AN7" s="61" t="s">
        <v>100</v>
      </c>
      <c r="AO7" s="61" t="s">
        <v>101</v>
      </c>
      <c r="AP7" s="61" t="s">
        <v>102</v>
      </c>
      <c r="AQ7" s="61" t="s">
        <v>103</v>
      </c>
      <c r="AR7" s="61" t="s">
        <v>104</v>
      </c>
      <c r="AS7" s="61" t="s">
        <v>105</v>
      </c>
      <c r="AT7" s="61" t="s">
        <v>112</v>
      </c>
      <c r="AU7" s="61" t="s">
        <v>113</v>
      </c>
      <c r="AV7" s="61" t="s">
        <v>114</v>
      </c>
      <c r="AW7" s="61" t="s">
        <v>115</v>
      </c>
      <c r="AX7" s="61" t="s">
        <v>116</v>
      </c>
      <c r="AY7" s="239" t="s">
        <v>117</v>
      </c>
      <c r="AZ7" s="239" t="s">
        <v>118</v>
      </c>
      <c r="BA7" s="239" t="s">
        <v>119</v>
      </c>
      <c r="BB7" s="61" t="s">
        <v>120</v>
      </c>
      <c r="BC7" s="61" t="s">
        <v>121</v>
      </c>
      <c r="BD7" s="61" t="s">
        <v>122</v>
      </c>
      <c r="BE7" s="239" t="s">
        <v>123</v>
      </c>
      <c r="BF7" s="239" t="s">
        <v>124</v>
      </c>
      <c r="BG7" s="239" t="s">
        <v>125</v>
      </c>
    </row>
    <row r="8" spans="1:60" s="1" customFormat="1" ht="209.45" customHeight="1">
      <c r="A8" s="1383"/>
      <c r="B8" s="782" t="s">
        <v>126</v>
      </c>
      <c r="C8" s="152" t="s">
        <v>127</v>
      </c>
      <c r="D8" s="152" t="s">
        <v>128</v>
      </c>
      <c r="E8" s="801" t="s">
        <v>129</v>
      </c>
      <c r="F8" s="152" t="s">
        <v>130</v>
      </c>
      <c r="G8" s="152" t="s">
        <v>131</v>
      </c>
      <c r="H8" s="152" t="s">
        <v>132</v>
      </c>
      <c r="I8" s="152" t="s">
        <v>133</v>
      </c>
      <c r="J8" s="152" t="s">
        <v>134</v>
      </c>
      <c r="K8" s="152" t="s">
        <v>135</v>
      </c>
      <c r="L8" s="152" t="s">
        <v>136</v>
      </c>
      <c r="M8" s="12" t="s">
        <v>137</v>
      </c>
      <c r="N8" s="12" t="s">
        <v>138</v>
      </c>
      <c r="O8" s="12" t="s">
        <v>139</v>
      </c>
      <c r="P8" s="12" t="s">
        <v>140</v>
      </c>
      <c r="Q8" s="12" t="s">
        <v>138</v>
      </c>
      <c r="R8" s="12" t="s">
        <v>141</v>
      </c>
      <c r="S8" s="12" t="s">
        <v>140</v>
      </c>
      <c r="T8" s="12" t="s">
        <v>138</v>
      </c>
      <c r="U8" s="12" t="s">
        <v>141</v>
      </c>
      <c r="V8" s="152" t="s">
        <v>142</v>
      </c>
      <c r="W8" s="62" t="s">
        <v>143</v>
      </c>
      <c r="X8" s="62" t="s">
        <v>143</v>
      </c>
      <c r="Y8" s="62" t="s">
        <v>143</v>
      </c>
      <c r="Z8" s="12" t="s">
        <v>144</v>
      </c>
      <c r="AA8" s="4" t="s">
        <v>145</v>
      </c>
      <c r="AB8" s="4" t="s">
        <v>145</v>
      </c>
      <c r="AC8" s="803" t="s">
        <v>129</v>
      </c>
      <c r="AD8" s="4" t="s">
        <v>145</v>
      </c>
      <c r="AE8" s="4" t="s">
        <v>145</v>
      </c>
      <c r="AF8" s="4" t="s">
        <v>145</v>
      </c>
      <c r="AG8" s="4" t="s">
        <v>145</v>
      </c>
      <c r="AH8" s="4" t="s">
        <v>145</v>
      </c>
      <c r="AI8" s="4" t="s">
        <v>145</v>
      </c>
      <c r="AJ8" s="4" t="s">
        <v>145</v>
      </c>
      <c r="AK8" s="4" t="s">
        <v>145</v>
      </c>
      <c r="AL8" s="4" t="s">
        <v>145</v>
      </c>
      <c r="AM8" s="4" t="s">
        <v>146</v>
      </c>
      <c r="AN8" s="4" t="s">
        <v>145</v>
      </c>
      <c r="AO8" s="4" t="s">
        <v>145</v>
      </c>
      <c r="AP8" s="4" t="s">
        <v>146</v>
      </c>
      <c r="AQ8" s="4" t="s">
        <v>145</v>
      </c>
      <c r="AR8" s="4" t="s">
        <v>145</v>
      </c>
      <c r="AS8" s="4" t="s">
        <v>146</v>
      </c>
      <c r="AT8" s="4" t="s">
        <v>145</v>
      </c>
      <c r="AU8" s="4" t="s">
        <v>147</v>
      </c>
      <c r="AV8" s="4" t="s">
        <v>146</v>
      </c>
      <c r="AW8" s="4" t="s">
        <v>146</v>
      </c>
      <c r="AX8" s="4" t="s">
        <v>146</v>
      </c>
      <c r="AY8" s="240" t="s">
        <v>146</v>
      </c>
      <c r="AZ8" s="240" t="s">
        <v>146</v>
      </c>
      <c r="BA8" s="240" t="s">
        <v>146</v>
      </c>
      <c r="BB8" s="4" t="s">
        <v>148</v>
      </c>
      <c r="BC8" s="4" t="s">
        <v>149</v>
      </c>
      <c r="BD8" s="4" t="s">
        <v>150</v>
      </c>
      <c r="BE8" s="240" t="s">
        <v>143</v>
      </c>
      <c r="BF8" s="240" t="s">
        <v>143</v>
      </c>
      <c r="BG8" s="240" t="s">
        <v>143</v>
      </c>
    </row>
    <row r="9" spans="1:60" s="34" customFormat="1" ht="48.95" thickBot="1">
      <c r="A9" s="189" t="s">
        <v>48</v>
      </c>
      <c r="B9" s="783" t="s">
        <v>11</v>
      </c>
      <c r="C9" s="190" t="s">
        <v>151</v>
      </c>
      <c r="D9" s="822">
        <v>1</v>
      </c>
      <c r="E9" s="800" t="s">
        <v>152</v>
      </c>
      <c r="F9" s="823" t="s">
        <v>153</v>
      </c>
      <c r="G9" s="823" t="s">
        <v>154</v>
      </c>
      <c r="H9" s="192" t="s">
        <v>43</v>
      </c>
      <c r="I9" s="190" t="s">
        <v>155</v>
      </c>
      <c r="J9" s="193">
        <v>900</v>
      </c>
      <c r="K9" s="194" t="s">
        <v>156</v>
      </c>
      <c r="L9" s="508">
        <v>1</v>
      </c>
      <c r="M9" s="509">
        <v>3900</v>
      </c>
      <c r="N9" s="195">
        <f>M9*0.085</f>
        <v>331.5</v>
      </c>
      <c r="O9" s="500">
        <f t="shared" ref="O9:O40" si="0">IF(OR(M9="", N9=""), "", IFERROR(VALUE(TRIM(SUBSTITUTE(M9,CHAR(160),""))),0) + IFERROR(VALUE(TRIM(SUBSTITUTE(N9,CHAR(160),""))),0))</f>
        <v>4231.5</v>
      </c>
      <c r="P9" s="510">
        <v>4200</v>
      </c>
      <c r="Q9" s="195">
        <f>0.085*P9</f>
        <v>357</v>
      </c>
      <c r="R9" s="500">
        <f t="shared" ref="R9:R40" si="1">IF(OR(P9="", Q9=""), "", IFERROR(VALUE(TRIM(SUBSTITUTE(P9,CHAR(160),""))),0) + IFERROR(VALUE(TRIM(SUBSTITUTE(Q9,CHAR(160),""))),0))</f>
        <v>4557</v>
      </c>
      <c r="S9" s="510"/>
      <c r="T9" s="195"/>
      <c r="U9" s="512" t="str">
        <f t="shared" ref="U9:U40" si="2">IF(OR(S9="", T9=""), "", IFERROR(VALUE(TRIM(SUBSTITUTE(S9,CHAR(160),""))),0) + IFERROR(VALUE(TRIM(SUBSTITUTE(T9,CHAR(160),""))),0))</f>
        <v/>
      </c>
      <c r="V9" s="511" t="s">
        <v>157</v>
      </c>
      <c r="W9" s="197" cm="1">
        <f t="array" ref="W9">IF((_xlfn.IFS(TRIM(SUBSTITUTE(V9,CHAR(160),""))="Devis 1",IFERROR(VALUE(TRIM(SUBSTITUTE(M9,CHAR(160),""))),0),TRIM(SUBSTITUTE(V9,CHAR(160),""))="Devis 2",IFERROR(VALUE(TRIM(SUBSTITUTE(P9,CHAR(160),""))),0),TRIM(SUBSTITUTE(V9,CHAR(160),""))="Devis 3",IFERROR(VALUE(TRIM(SUBSTITUTE(S9,CHAR(160),""))),0),TRUE,0)*IFERROR(VALUE(TRIM(SUBSTITUTE(D9,CHAR(160),""))),0))=0,"",_xlfn.IFS(TRIM(SUBSTITUTE(V9,CHAR(160),""))="Devis 1",IFERROR(VALUE(TRIM(SUBSTITUTE(M9,CHAR(160),""))),0),TRIM(SUBSTITUTE(V9,CHAR(160),""))="Devis 2",IFERROR(VALUE(TRIM(SUBSTITUTE(P9,CHAR(160),""))),0),TRIM(SUBSTITUTE(V9,CHAR(160),""))="Devis 3",IFERROR(VALUE(TRIM(SUBSTITUTE(S9,CHAR(160),""))),0),TRUE,0)*IFERROR(VALUE(TRIM(SUBSTITUTE(D9,CHAR(160),""))),0))</f>
        <v>3900</v>
      </c>
      <c r="X9" s="197" cm="1">
        <f t="array" ref="X9">IF(_xlfn.IFS(TRIM(SUBSTITUTE(V9,CHAR(160),""))="Devis 1",IFERROR(VALUE(TRIM(SUBSTITUTE(N9,CHAR(160),""))),0),TRIM(SUBSTITUTE(V9,CHAR(160),""))="Devis 2",IFERROR(VALUE(TRIM(SUBSTITUTE(Q9,CHAR(160),""))),0),TRIM(SUBSTITUTE(V9,CHAR(160),""))="Devis 3",IFERROR(VALUE(TRIM(SUBSTITUTE(T9,CHAR(160),""))),0),TRUE,0)*IFERROR(VALUE(TRIM(SUBSTITUTE(D9,CHAR(160),""))),0)=0,IF(W9&lt;&gt;"",0,""),_xlfn.IFS(TRIM(SUBSTITUTE(V9,CHAR(160),""))="Devis 1",IFERROR(VALUE(TRIM(SUBSTITUTE(N9,CHAR(160),""))),0),TRIM(SUBSTITUTE(V9,CHAR(160),""))="Devis 2",IFERROR(VALUE(TRIM(SUBSTITUTE(Q9,CHAR(160),""))),0),TRIM(SUBSTITUTE(V9,CHAR(160),""))="Devis 3",IFERROR(VALUE(TRIM(SUBSTITUTE(T9,CHAR(160),""))),0),TRUE,0)*IFERROR(VALUE(TRIM(SUBSTITUTE(D9,CHAR(160),""))),0))</f>
        <v>331.5</v>
      </c>
      <c r="Y9" s="198">
        <f t="shared" ref="Y9:Y40" si="3">IF(OR(W9="", X9=""), "", IFERROR(VALUE(TRIM(SUBSTITUTE(W9,CHAR(160),""))),0) + IFERROR(VALUE(TRIM(SUBSTITUTE(X9,CHAR(160),""))),0))</f>
        <v>4231.5</v>
      </c>
      <c r="Z9" s="199"/>
      <c r="AA9" s="200" t="str">
        <f t="shared" ref="AA9:AA40" si="4">IF(C9="","",C9)</f>
        <v>Chaînage carré</v>
      </c>
      <c r="AB9" s="201">
        <f>IF(D9="","",D9)</f>
        <v>1</v>
      </c>
      <c r="AC9" s="199" t="s">
        <v>152</v>
      </c>
      <c r="AD9" s="192" t="str">
        <f t="shared" ref="AD9:AD40" si="5">IF(F9="","",F9)</f>
        <v>Fer Plus</v>
      </c>
      <c r="AE9" s="192" t="str">
        <f t="shared" ref="AE9:AE40" si="6">IF(G9="","",G9)</f>
        <v>D230115102</v>
      </c>
      <c r="AF9" s="192" t="str">
        <f t="shared" ref="AF9:AF40" si="7">IF(H9="","",H9)</f>
        <v>Développement de nouveaux produits, pratiques, procédés et techniques</v>
      </c>
      <c r="AG9" s="192" t="str">
        <f t="shared" ref="AG9:AG40" si="8">IF(I9="","",I9)</f>
        <v xml:space="preserve">Pas de marché public </v>
      </c>
      <c r="AH9" s="202">
        <f t="shared" ref="AH9:AH40" si="9">IF(J9="","",J9)</f>
        <v>900</v>
      </c>
      <c r="AI9" s="192" t="str">
        <f t="shared" ref="AI9:AI40" si="10">IF(K9="","",K9)</f>
        <v>mètre</v>
      </c>
      <c r="AJ9" s="203">
        <f t="shared" ref="AJ9:AJ40" si="11">IF(L9="","",L9)</f>
        <v>1</v>
      </c>
      <c r="AK9" s="499">
        <f t="shared" ref="AK9:AK40" si="12">IF(M9="","",M9)</f>
        <v>3900</v>
      </c>
      <c r="AL9" s="196">
        <f t="shared" ref="AL9:AL40" si="13">IF(N9="","",N9)</f>
        <v>331.5</v>
      </c>
      <c r="AM9" s="500">
        <f t="shared" ref="AM9:AM40" si="14">IF(OR(AK9="", AL9=""), "", IFERROR(VALUE(TRIM(SUBSTITUTE(AK9,CHAR(160),""))),0) + IFERROR(VALUE(TRIM(SUBSTITUTE(AL9,CHAR(160),""))),0))</f>
        <v>4231.5</v>
      </c>
      <c r="AN9" s="499">
        <f t="shared" ref="AN9:AN40" si="15">IF(P9="","",P9)</f>
        <v>4200</v>
      </c>
      <c r="AO9" s="196">
        <f t="shared" ref="AO9:AO40" si="16">IF(Q9="","",Q9)</f>
        <v>357</v>
      </c>
      <c r="AP9" s="500">
        <f t="shared" ref="AP9:AP40" si="17">IF(OR(AN9="",AO9=""),"",IFERROR(VALUE(TRIM(SUBSTITUTE(AN9,CHAR(160),""))),0)+IFERROR(VALUE(TRIM(SUBSTITUTE(AO9,CHAR(160),""))),0))</f>
        <v>4557</v>
      </c>
      <c r="AQ9" s="499" t="str">
        <f t="shared" ref="AQ9:AQ40" si="18">IF(S9="","",S9)</f>
        <v/>
      </c>
      <c r="AR9" s="196" t="str">
        <f t="shared" ref="AR9:AR40" si="19">IF(T9="","",T9)</f>
        <v/>
      </c>
      <c r="AS9" s="500" t="str">
        <f t="shared" ref="AS9:AS40" si="20">IF(OR(AQ9="",AR9=""),"",IFERROR(VALUE(TRIM(SUBSTITUTE(AQ9,CHAR(160),""))),0)+IFERROR(VALUE(TRIM(SUBSTITUTE(AR9,CHAR(160),""))),0))</f>
        <v/>
      </c>
      <c r="AT9" s="505" t="str">
        <f t="shared" ref="AT9:AT40" si="21">IF(V9="","",V9)</f>
        <v>Devis 1</v>
      </c>
      <c r="AU9" s="505" t="s">
        <v>158</v>
      </c>
      <c r="AV9" s="502">
        <f t="shared" ref="AV9:AV40" si="22">IF((1.15*MIN(IF((IFERROR(VALUE(TRIM(SUBSTITUTE(AK9,CHAR(160),""))),0))=0,1E+30,(IFERROR(VALUE(TRIM(SUBSTITUTE(AK9,CHAR(160),""))),0))),IF((IFERROR(VALUE(TRIM(SUBSTITUTE(AN9,CHAR(160),""))),0))=0,1E+30,(IFERROR(VALUE(TRIM(SUBSTITUTE(AN9,CHAR(160),""))),0))),IF((IFERROR(VALUE(TRIM(SUBSTITUTE(AQ9,CHAR(160),""))),0))=0,1E+30,(IFERROR(VALUE(TRIM(SUBSTITUTE(AQ9,CHAR(160),""))),0))))*(IFERROR(VALUE(TRIM(SUBSTITUTE(AB9,CHAR(160),""))),0)))=0,"",(1.15*MIN(IF((IFERROR(VALUE(TRIM(SUBSTITUTE(AK9,CHAR(160),""))),0))=0,1E+30,(IFERROR(VALUE(TRIM(SUBSTITUTE(AK9,CHAR(160),""))),0))),IF((IFERROR(VALUE(TRIM(SUBSTITUTE(AN9,CHAR(160),""))),0))=0,1E+30,(IFERROR(VALUE(TRIM(SUBSTITUTE(AN9,CHAR(160),""))),0))),IF((IFERROR(VALUE(TRIM(SUBSTITUTE(AQ9,CHAR(160),""))),0))=0,1E+30,(IFERROR(VALUE(TRIM(SUBSTITUTE(AQ9,CHAR(160),""))),0))))*(IFERROR(VALUE(TRIM(SUBSTITUTE(AB9,CHAR(160),""))),0))))</f>
        <v>4485</v>
      </c>
      <c r="AW9" s="204">
        <f t="shared" ref="AW9:AW40" si="23">IF(AV9="","",IF( AND(IFERROR(VALUE(TRIM(SUBSTITUTE(AL9,CHAR(160),""))),0)=0,IFERROR(VALUE(TRIM(SUBSTITUTE(AO9,CHAR(160),""))),0)=0,IFERROR(VALUE(TRIM(SUBSTITUTE(AR9,CHAR(160),""))),0)=0),0,1.15*MIN(IF(IFERROR(VALUE(TRIM(SUBSTITUTE(AL9,CHAR(160),""))),0)=0, 1E+30, IFERROR(VALUE(TRIM(SUBSTITUTE(AL9,CHAR(160),""))),0)),IF(IFERROR(VALUE(TRIM(SUBSTITUTE(AO9,CHAR(160),""))),0)=0, 1E+30, IFERROR(VALUE(TRIM(SUBSTITUTE(AO9,CHAR(160),""))),0)),IF(IFERROR(VALUE(TRIM(SUBSTITUTE(AR9,CHAR(160),""))),0)=0, 1E+30, IFERROR(VALUE(TRIM(SUBSTITUTE(AR9,CHAR(160),""))),0))) *IFERROR(VALUE(TRIM(SUBSTITUTE(AB9,CHAR(160),""))),0)))</f>
        <v>381.22499999999997</v>
      </c>
      <c r="AX9" s="206">
        <f t="shared" ref="AX9:AX40" si="24">IF(AV9="","",AV9+AW9)</f>
        <v>4866.2250000000004</v>
      </c>
      <c r="AY9" s="503" cm="1">
        <f t="array" ref="AY9">IF($AB9="","",IF((IFERROR(_xlfn.IFS($AT9="Devis 1",(IFERROR(VALUE(TRIM(SUBSTITUTE(AK9,CHAR(160),""))),0)),$AT9="Devis 2",(IFERROR(VALUE(TRIM(SUBSTITUTE(AN9,CHAR(160),""))),0)),$AT9="Devis 3",(IFERROR(VALUE(TRIM(SUBSTITUTE(AQ9,CHAR(160),""))),0))),0))*(IFERROR(VALUE(TRIM(SUBSTITUTE($AB9,CHAR(160),""))),0))=0,"",(IFERROR(_xlfn.IFS($AT9="Devis 1",(IFERROR(VALUE(TRIM(SUBSTITUTE(AK9,CHAR(160),""))),0)),$AT9="Devis 2",(IFERROR(VALUE(TRIM(SUBSTITUTE(AN9,CHAR(160),""))),0)),$AT9="Devis 3",(IFERROR(VALUE(TRIM(SUBSTITUTE(AQ9,CHAR(160),""))),0))),0))*(IFERROR(VALUE(TRIM(SUBSTITUTE($AB9,CHAR(160),""))),0))))</f>
        <v>3900</v>
      </c>
      <c r="AZ9" s="205" cm="1">
        <f t="array" ref="AZ9">IF($AB9="","",IF((IFERROR(_xlfn.IFS(TRIM(SUBSTITUTE($AT9,CHAR(160),""))="Devis 1", IFERROR(VALUE(TRIM(SUBSTITUTE(AL9,CHAR(160),""))),0),TRIM(SUBSTITUTE($AT9,CHAR(160),""))="Devis 2", IFERROR(VALUE(TRIM(SUBSTITUTE(AO9,CHAR(160),""))),0),TRIM(SUBSTITUTE($AT9,CHAR(160),""))="Devis 3", IFERROR(VALUE(TRIM(SUBSTITUTE(AR9,CHAR(160),""))),0)),0) * IFERROR(VALUE(TRIM(SUBSTITUTE($AB9,CHAR(160),""))),0)) = 0,IF(AY9&lt;&gt;"",0,""),(IFERROR(_xlfn.IFS(TRIM(SUBSTITUTE($AT9,CHAR(160),""))="Devis 1", IFERROR(VALUE(TRIM(SUBSTITUTE(AL9,CHAR(160),""))),0),TRIM(SUBSTITUTE($AT9,CHAR(160),""))="Devis 2", IFERROR(VALUE(TRIM(SUBSTITUTE(AO9,CHAR(160),""))),0),TRIM(SUBSTITUTE($AT9,CHAR(160),""))="Devis 3", IFERROR(VALUE(TRIM(SUBSTITUTE(AR9,CHAR(160),""))),0)),0) * IFERROR(VALUE(TRIM(SUBSTITUTE($AB9,CHAR(160),""))),0))))</f>
        <v>331.5</v>
      </c>
      <c r="BA9" s="504" cm="1">
        <f t="array" ref="BA9">IF($AB9="","",IF(IFERROR(_xlfn.IFS($AT9="Devis 1",IFERROR(VALUE(TRIM(SUBSTITUTE(AM9,CHAR(160),""))),0),$AT9="Devis 2",IFERROR(VALUE(TRIM(SUBSTITUTE(AP9,CHAR(160),""))),0),$AT9="Devis 3",IFERROR(VALUE(TRIM(SUBSTITUTE(AS9,CHAR(160),""))),0)),0)*IFERROR(VALUE(TRIM(SUBSTITUTE($AB9,CHAR(160),""))),0)=0,"",IFERROR(_xlfn.IFS($AT9="Devis 1",IFERROR(VALUE(TRIM(SUBSTITUTE(AM9,CHAR(160),""))),0),$AT9="Devis 2",IFERROR(VALUE(TRIM(SUBSTITUTE(AP9,CHAR(160),""))),0),$AT9="Devis 3",IFERROR(VALUE(TRIM(SUBSTITUTE(AS9,CHAR(160),""))),0)),0)*IFERROR(VALUE(TRIM(SUBSTITUTE($AB9,CHAR(160),""))),0)))</f>
        <v>4231.5</v>
      </c>
      <c r="BB9" s="505"/>
      <c r="BC9" s="506" t="str" cm="1">
        <f t="array" ref="BC9">IF(OR(BA9="",AX9="",AY9="",AV9="",AZ9="",AW9=""),"",_xlfn.IFS((IFERROR(VALUE(TRIM(SUBSTITUTE(BA9,CHAR(160),""))),0))&gt;(IFERROR(VALUE(TRIM(SUBSTITUTE(AX9,CHAR(160),""))),0)),"KO : Le montant retenu TTC est supérieur au montant raisonnable TTC. Merci de revoir la ligne de dépense ou plafonner son montant.",(IFERROR(VALUE(TRIM(SUBSTITUTE(AY9,CHAR(160),""))),0))&gt;(IFERROR(VALUE(TRIM(SUBSTITUTE(AV9,CHAR(160),""))),0)),"Attention : Le montant retenu HT est supérieur au montant HT raisonnable. Merci de revoir la ligne de dépense, plafonner son montant, ou justifier la reventillation HT / TVA.",(IFERROR(VALUE(TRIM(SUBSTITUTE(AZ9,CHAR(160),""))),0))&gt;(IFERROR(VALUE(TRIM(SUBSTITUTE(AW9,CHAR(160),""))),0)),"Attention : Le montant TVA retenu est supérieur au montant TVA raisonnable. Merci de revoir la ligne de dépense, plafonner son montant, ou justifier la reventillation HT / TVA.",(IFERROR(VALUE(TRIM(SUBSTITUTE(BA9,CHAR(160),""))),0))=0,"",(IFERROR(VALUE(TRIM(SUBSTITUTE(AX9,CHAR(160),""))),0))=(IFERROR(VALUE(TRIM(SUBSTITUTE(BA9,CHAR(160),""))),0)),"OK",(IFERROR(VALUE(TRIM(SUBSTITUTE(AX9,CHAR(160),""))),0))&gt;(IFERROR(VALUE(TRIM(SUBSTITUTE(BA9,CHAR(160),""))),0))," OK : Montant instruit inférieur au montant raisonnable.",TRUE,""))</f>
        <v xml:space="preserve"> OK : Montant instruit inférieur au montant raisonnable.</v>
      </c>
      <c r="BD9" s="507" t="str" cm="1">
        <f t="array" ref="BD9">IF(OR(BA9="",Y9="",AY9="",W9="",AZ9="",X9=""),"",_xlfn.IFS((IFERROR(VALUE(TRIM(SUBSTITUTE(BA9,CHAR(160),""))),0))&gt;(IFERROR(VALUE(TRIM(SUBSTITUTE(Y9,CHAR(160),""))),0)),"KO : Le montant retenu TTC est supérieur au montant présenté TTC. Merci de revoir la ligne de dépense ou plafonner son montant.",(IFERROR(VALUE(TRIM(SUBSTITUTE(AY9,CHAR(160),""))),0))&gt;(IFERROR(VALUE(TRIM(SUBSTITUTE(W9,CHAR(160),""))),0)),"Attention : Le montant retenu HT est supérieur au montant HT présenté. Merci de revoir la ligne de dépense,plafonner son montant,ou justifier la reventillation HT/TVA.",(IFERROR(VALUE(TRIM(SUBSTITUTE(AZ9,CHAR(160),""))),0))&gt;(IFERROR(VALUE(TRIM(SUBSTITUTE(X9,CHAR(160),""))),0)),"Attention : Le montant TVA retenu est supérieur au montant TVA présenté. Merci de revoir la ligne de dépense,plafonner son montant,ou justifier la reventillation HT/TVA.",(IFERROR(VALUE(TRIM(SUBSTITUTE(Y9,CHAR(160),""))),0))=0,"",(IFERROR(VALUE(TRIM(SUBSTITUTE(BA9,CHAR(160),""))),0))=(IFERROR(VALUE(TRIM(SUBSTITUTE(Y9,CHAR(160),""))),0)),"OK",
OR((IFERROR(VALUE(TRIM(SUBSTITUTE(BA9,CHAR(160),""))),0))=0,(IFERROR(VALUE(TRIM(SUBSTITUTE(AY9,CHAR(160),""))),0))=0),"Attention : montant présenté entièrement écarté",(IFERROR(VALUE(TRIM(SUBSTITUTE(BA9,CHAR(160),""))),0))&lt;(IFERROR(VALUE(TRIM(SUBSTITUTE(Y9,CHAR(160),""))),0)),"Attention : montant présenté partiellement écarté",TRUE,""))</f>
        <v>OK</v>
      </c>
      <c r="BE9" s="502">
        <f t="shared" ref="BE9:BE40" si="25">IF(OR(W9="",AY9=""),"",(IFERROR(VALUE(TRIM(SUBSTITUTE(W9,CHAR(160),""))),0))-(IFERROR(VALUE(TRIM(SUBSTITUTE(AY9,CHAR(160),""))),0)))</f>
        <v>0</v>
      </c>
      <c r="BF9" s="204">
        <f t="shared" ref="BF9:BF40" si="26">IF(OR(X9="",AZ9=""),"",(IFERROR(VALUE(TRIM(SUBSTITUTE(X9,CHAR(160),""))),0))-(IFERROR(VALUE(TRIM(SUBSTITUTE(AZ9,CHAR(160),""))),0)))</f>
        <v>0</v>
      </c>
      <c r="BG9" s="206">
        <f t="shared" ref="BG9:BG40" si="27">IF(OR(Y9="",BA9=""),"",(IFERROR(VALUE(TRIM(SUBSTITUTE(Y9,CHAR(160),""))),0))-(IFERROR(VALUE(TRIM(SUBSTITUTE(BA9,CHAR(160),""))),0)))</f>
        <v>0</v>
      </c>
    </row>
    <row r="10" spans="1:60" s="1" customFormat="1" ht="64.5" customHeight="1" thickBot="1">
      <c r="A10" s="159">
        <v>1</v>
      </c>
      <c r="B10" s="778" t="s">
        <v>11</v>
      </c>
      <c r="C10" s="160" t="s">
        <v>159</v>
      </c>
      <c r="D10" s="11">
        <v>1</v>
      </c>
      <c r="E10" s="458" t="s">
        <v>160</v>
      </c>
      <c r="F10" s="7" t="s">
        <v>159</v>
      </c>
      <c r="G10" s="7" t="s">
        <v>159</v>
      </c>
      <c r="H10" s="160" t="s">
        <v>43</v>
      </c>
      <c r="I10" s="160" t="s">
        <v>155</v>
      </c>
      <c r="J10" s="162">
        <v>1</v>
      </c>
      <c r="K10" s="160" t="s">
        <v>161</v>
      </c>
      <c r="L10" s="163">
        <v>2</v>
      </c>
      <c r="M10" s="164">
        <v>2000</v>
      </c>
      <c r="N10" s="165">
        <v>100</v>
      </c>
      <c r="O10" s="166">
        <f t="shared" si="0"/>
        <v>2100</v>
      </c>
      <c r="P10" s="167">
        <v>20000</v>
      </c>
      <c r="Q10" s="165">
        <v>100</v>
      </c>
      <c r="R10" s="166">
        <f t="shared" si="1"/>
        <v>20100</v>
      </c>
      <c r="S10" s="168">
        <v>20000</v>
      </c>
      <c r="T10" s="165">
        <v>200</v>
      </c>
      <c r="U10" s="169">
        <f>IF(OR(S10="", T10=""), "", IFERROR(VALUE(TRIM(SUBSTITUTE(S10,CHAR(160),""))),0) + IFERROR(VALUE(TRIM(SUBSTITUTE(T10,CHAR(160),""))),0))</f>
        <v>20200</v>
      </c>
      <c r="V10" s="170" t="s">
        <v>157</v>
      </c>
      <c r="W10" s="770" cm="1">
        <f t="array" ref="W10">IF((_xlfn.IFS(TRIM(SUBSTITUTE(V10,CHAR(160),""))="Devis 1",IFERROR(VALUE(TRIM(SUBSTITUTE(M10,CHAR(160),""))),0),TRIM(SUBSTITUTE(V10,CHAR(160),""))="Devis 2",IFERROR(VALUE(TRIM(SUBSTITUTE(P10,CHAR(160),""))),0),TRIM(SUBSTITUTE(V10,CHAR(160),""))="Devis 3",IFERROR(VALUE(TRIM(SUBSTITUTE(S10,CHAR(160),""))),0),TRUE,0)*IFERROR(VALUE(TRIM(SUBSTITUTE(D10,CHAR(160),""))),0))=0,"",_xlfn.IFS(TRIM(SUBSTITUTE(V10,CHAR(160),""))="Devis 1",IFERROR(VALUE(TRIM(SUBSTITUTE(M10,CHAR(160),""))),0),TRIM(SUBSTITUTE(V10,CHAR(160),""))="Devis 2",IFERROR(VALUE(TRIM(SUBSTITUTE(P10,CHAR(160),""))),0),TRIM(SUBSTITUTE(V10,CHAR(160),""))="Devis 3",IFERROR(VALUE(TRIM(SUBSTITUTE(S10,CHAR(160),""))),0),TRUE,0)*IFERROR(VALUE(TRIM(SUBSTITUTE(D10,CHAR(160),""))),0))</f>
        <v>2000</v>
      </c>
      <c r="X10" s="171" cm="1">
        <f t="array" ref="X10">IF(_xlfn.IFS(TRIM(SUBSTITUTE(V10,CHAR(160),""))="Devis 1",IFERROR(VALUE(TRIM(SUBSTITUTE(N10,CHAR(160),""))),0),TRIM(SUBSTITUTE(V10,CHAR(160),""))="Devis 2",IFERROR(VALUE(TRIM(SUBSTITUTE(Q10,CHAR(160),""))),0),TRIM(SUBSTITUTE(V10,CHAR(160),""))="Devis 3",IFERROR(VALUE(TRIM(SUBSTITUTE(T10,CHAR(160),""))),0),TRUE,0)*IFERROR(VALUE(TRIM(SUBSTITUTE(D10,CHAR(160),""))),0)=0,IF(W10&lt;&gt;"",0,""),_xlfn.IFS(TRIM(SUBSTITUTE(V10,CHAR(160),""))="Devis 1",IFERROR(VALUE(TRIM(SUBSTITUTE(N10,CHAR(160),""))),0),TRIM(SUBSTITUTE(V10,CHAR(160),""))="Devis 2",IFERROR(VALUE(TRIM(SUBSTITUTE(Q10,CHAR(160),""))),0),TRIM(SUBSTITUTE(V10,CHAR(160),""))="Devis 3",IFERROR(VALUE(TRIM(SUBSTITUTE(T10,CHAR(160),""))),0),TRUE,0)*IFERROR(VALUE(TRIM(SUBSTITUTE(D10,CHAR(160),""))),0))</f>
        <v>100</v>
      </c>
      <c r="Y10" s="172">
        <f>IF(OR(W10="", X10=""), "", IFERROR(VALUE(TRIM(SUBSTITUTE(W10,CHAR(160),""))),0) + IFERROR(VALUE(TRIM(SUBSTITUTE(X10,CHAR(160),""))),0))</f>
        <v>2100</v>
      </c>
      <c r="Z10" s="173" t="s">
        <v>159</v>
      </c>
      <c r="AA10" s="174" t="str">
        <f t="shared" si="4"/>
        <v>Test</v>
      </c>
      <c r="AB10" s="175">
        <f>IF(D10="","",D10)</f>
        <v>1</v>
      </c>
      <c r="AC10" s="175" t="str">
        <f>IF(E10="","",E10)</f>
        <v>Non</v>
      </c>
      <c r="AD10" s="176" t="str">
        <f t="shared" si="5"/>
        <v>Test</v>
      </c>
      <c r="AE10" s="176" t="str">
        <f t="shared" si="6"/>
        <v>Test</v>
      </c>
      <c r="AF10" s="176" t="str">
        <f t="shared" si="7"/>
        <v>Développement de nouveaux produits, pratiques, procédés et techniques</v>
      </c>
      <c r="AG10" s="176" t="str">
        <f t="shared" si="8"/>
        <v xml:space="preserve">Pas de marché public </v>
      </c>
      <c r="AH10" s="177">
        <f t="shared" si="9"/>
        <v>1</v>
      </c>
      <c r="AI10" s="176" t="str">
        <f t="shared" si="10"/>
        <v>unité</v>
      </c>
      <c r="AJ10" s="178">
        <f t="shared" si="11"/>
        <v>2</v>
      </c>
      <c r="AK10" s="179">
        <f t="shared" si="12"/>
        <v>2000</v>
      </c>
      <c r="AL10" s="180">
        <f t="shared" si="13"/>
        <v>100</v>
      </c>
      <c r="AM10" s="166">
        <f>IF(OR(AK10="", AL10=""), "", IFERROR(VALUE(TRIM(SUBSTITUTE(AK10,CHAR(160),""))),0) + IFERROR(VALUE(TRIM(SUBSTITUTE(AL10,CHAR(160),""))),0))</f>
        <v>2100</v>
      </c>
      <c r="AN10" s="181">
        <f t="shared" si="15"/>
        <v>20000</v>
      </c>
      <c r="AO10" s="180">
        <f t="shared" si="16"/>
        <v>100</v>
      </c>
      <c r="AP10" s="166">
        <f t="shared" si="17"/>
        <v>20100</v>
      </c>
      <c r="AQ10" s="182">
        <f t="shared" si="18"/>
        <v>20000</v>
      </c>
      <c r="AR10" s="180">
        <f t="shared" si="19"/>
        <v>200</v>
      </c>
      <c r="AS10" s="183">
        <f t="shared" si="20"/>
        <v>20200</v>
      </c>
      <c r="AT10" s="174" t="str">
        <f t="shared" si="21"/>
        <v>Devis 1</v>
      </c>
      <c r="AU10" s="184" t="s">
        <v>158</v>
      </c>
      <c r="AV10" s="185">
        <f t="shared" si="22"/>
        <v>2300</v>
      </c>
      <c r="AW10" s="185">
        <f t="shared" si="23"/>
        <v>114.99999999999999</v>
      </c>
      <c r="AX10" s="185">
        <f t="shared" si="24"/>
        <v>2415</v>
      </c>
      <c r="AY10" s="186" cm="1">
        <f t="array" ref="AY10">IF($AB10="","",IF((IFERROR(_xlfn.IFS($AT10="Devis 1",(IFERROR(VALUE(TRIM(SUBSTITUTE(AK10,CHAR(160),""))),0)),$AT10="Devis 2",(IFERROR(VALUE(TRIM(SUBSTITUTE(AN10,CHAR(160),""))),0)),$AT10="Devis 3",(IFERROR(VALUE(TRIM(SUBSTITUTE(AQ10,CHAR(160),""))),0))),0))*(IFERROR(VALUE(TRIM(SUBSTITUTE($AB10,CHAR(160),""))),0))=0,"",(IFERROR(_xlfn.IFS($AT10="Devis 1",(IFERROR(VALUE(TRIM(SUBSTITUTE(AK10,CHAR(160),""))),0)),$AT10="Devis 2",(IFERROR(VALUE(TRIM(SUBSTITUTE(AN10,CHAR(160),""))),0)),$AT10="Devis 3",(IFERROR(VALUE(TRIM(SUBSTITUTE(AQ10,CHAR(160),""))),0))),0))*(IFERROR(VALUE(TRIM(SUBSTITUTE($AB10,CHAR(160),""))),0))))</f>
        <v>2000</v>
      </c>
      <c r="AZ10" s="186" cm="1">
        <f t="array" ref="AZ10">IF($AB10="","",IF((IFERROR(_xlfn.IFS(TRIM(SUBSTITUTE($AT10,CHAR(160),""))="Devis 1", IFERROR(VALUE(TRIM(SUBSTITUTE(AL10,CHAR(160),""))),0),TRIM(SUBSTITUTE($AT10,CHAR(160),""))="Devis 2", IFERROR(VALUE(TRIM(SUBSTITUTE(AO10,CHAR(160),""))),0),TRIM(SUBSTITUTE($AT10,CHAR(160),""))="Devis 3", IFERROR(VALUE(TRIM(SUBSTITUTE(AR10,CHAR(160),""))),0)),0) * IFERROR(VALUE(TRIM(SUBSTITUTE($AB10,CHAR(160),""))),0)) = 0,IF(AY10&lt;&gt;"",0,""),(IFERROR(_xlfn.IFS(TRIM(SUBSTITUTE($AT10,CHAR(160),""))="Devis 1", IFERROR(VALUE(TRIM(SUBSTITUTE(AL10,CHAR(160),""))),0),TRIM(SUBSTITUTE($AT10,CHAR(160),""))="Devis 2", IFERROR(VALUE(TRIM(SUBSTITUTE(AO10,CHAR(160),""))),0),TRIM(SUBSTITUTE($AT10,CHAR(160),""))="Devis 3", IFERROR(VALUE(TRIM(SUBSTITUTE(AR10,CHAR(160),""))),0)),0) * IFERROR(VALUE(TRIM(SUBSTITUTE($AB10,CHAR(160),""))),0))))</f>
        <v>100</v>
      </c>
      <c r="BA10" s="74" cm="1">
        <f t="array" ref="BA10">IF($AB10="","",IF(IFERROR(_xlfn.IFS($AT10="Devis 1",IFERROR(VALUE(TRIM(SUBSTITUTE(AM10,CHAR(160),""))),0),$AT10="Devis 2",IFERROR(VALUE(TRIM(SUBSTITUTE(AP10,CHAR(160),""))),0),$AT10="Devis 3",IFERROR(VALUE(TRIM(SUBSTITUTE(AS10,CHAR(160),""))),0)),0)*IFERROR(VALUE(TRIM(SUBSTITUTE($AB10,CHAR(160),""))),0)=0,"",IFERROR(_xlfn.IFS($AT10="Devis 1",IFERROR(VALUE(TRIM(SUBSTITUTE(AM10,CHAR(160),""))),0),$AT10="Devis 2",IFERROR(VALUE(TRIM(SUBSTITUTE(AP10,CHAR(160),""))),0),$AT10="Devis 3",IFERROR(VALUE(TRIM(SUBSTITUTE(AS10,CHAR(160),""))),0)),0)*IFERROR(VALUE(TRIM(SUBSTITUTE($AB10,CHAR(160),""))),0)))</f>
        <v>2100</v>
      </c>
      <c r="BB10" s="184" t="s">
        <v>162</v>
      </c>
      <c r="BC10" s="187" t="str" cm="1">
        <f t="array" ref="BC10">IF(OR(BA10="",AX10="",AY10="",AV10="",AZ10="",AW10=""),"",_xlfn.IFS((IFERROR(VALUE(TRIM(SUBSTITUTE(BA10,CHAR(160),""))),0))&gt;(IFERROR(VALUE(TRIM(SUBSTITUTE(AX10,CHAR(160),""))),0)),"KO : Le montant retenu TTC est supérieur au montant raisonnable TTC. Merci de revoir la ligne de dépense ou plafonner son montant.",(IFERROR(VALUE(TRIM(SUBSTITUTE(AY10,CHAR(160),""))),0))&gt;(IFERROR(VALUE(TRIM(SUBSTITUTE(AV10,CHAR(160),""))),0)),"Attention : Le montant retenu HT est supérieur au montant HT raisonnable. Merci de revoir la ligne de dépense, plafonner son montant, ou justifier la reventillation HT / TVA.",(IFERROR(VALUE(TRIM(SUBSTITUTE(AZ10,CHAR(160),""))),0))&gt;(IFERROR(VALUE(TRIM(SUBSTITUTE(AW10,CHAR(160),""))),0)),"Attention : Le montant TVA retenu est supérieur au montant TVA raisonnable. Merci de revoir la ligne de dépense, plafonner son montant, ou justifier la reventillation HT / TVA.",(IFERROR(VALUE(TRIM(SUBSTITUTE(BA10,CHAR(160),""))),0))=0,"",(IFERROR(VALUE(TRIM(SUBSTITUTE(AX10,CHAR(160),""))),0))=(IFERROR(VALUE(TRIM(SUBSTITUTE(BA10,CHAR(160),""))),0)),"OK",(IFERROR(VALUE(TRIM(SUBSTITUTE(AX10,CHAR(160),""))),0))&gt;(IFERROR(VALUE(TRIM(SUBSTITUTE(BA10,CHAR(160),""))),0))," OK : Montant instruit inférieur au montant raisonnable.",TRUE,""))</f>
        <v xml:space="preserve"> OK : Montant instruit inférieur au montant raisonnable.</v>
      </c>
      <c r="BD10" s="187" t="str" cm="1">
        <f t="array" ref="BD10">IF(OR(BA10="",Y10="",AY10="",W10="",AZ10="",X10=""),"",_xlfn.IFS((IFERROR(VALUE(TRIM(SUBSTITUTE(BA10,CHAR(160),""))),0))&gt;(IFERROR(VALUE(TRIM(SUBSTITUTE(Y10,CHAR(160),""))),0)),"KO : Le montant retenu TTC est supérieur au montant présenté TTC. Merci de revoir la ligne de dépense ou plafonner son montant.",(IFERROR(VALUE(TRIM(SUBSTITUTE(AY10,CHAR(160),""))),0))&gt;(IFERROR(VALUE(TRIM(SUBSTITUTE(W10,CHAR(160),""))),0)),"Attention : Le montant retenu HT est supérieur au montant HT présenté. Merci de revoir la ligne de dépense,plafonner son montant,ou justifier la reventillation HT/TVA.",(IFERROR(VALUE(TRIM(SUBSTITUTE(AZ10,CHAR(160),""))),0))&gt;(IFERROR(VALUE(TRIM(SUBSTITUTE(X10,CHAR(160),""))),0)),"Attention : Le montant TVA retenu est supérieur au montant TVA présenté. Merci de revoir la ligne de dépense,plafonner son montant,ou justifier la reventillation HT/TVA.",(IFERROR(VALUE(TRIM(SUBSTITUTE(Y10,CHAR(160),""))),0))=0,"",(IFERROR(VALUE(TRIM(SUBSTITUTE(BA10,CHAR(160),""))),0))=(IFERROR(VALUE(TRIM(SUBSTITUTE(Y10,CHAR(160),""))),0)),"OK",
OR((IFERROR(VALUE(TRIM(SUBSTITUTE(BA10,CHAR(160),""))),0))=0,(IFERROR(VALUE(TRIM(SUBSTITUTE(AY10,CHAR(160),""))),0))=0),"Attention : montant présenté entièrement écarté",(IFERROR(VALUE(TRIM(SUBSTITUTE(BA10,CHAR(160),""))),0))&lt;(IFERROR(VALUE(TRIM(SUBSTITUTE(Y10,CHAR(160),""))),0)),"Attention : montant présenté partiellement écarté",TRUE,""))</f>
        <v>OK</v>
      </c>
      <c r="BE10" s="185">
        <f t="shared" si="25"/>
        <v>0</v>
      </c>
      <c r="BF10" s="185">
        <f t="shared" si="26"/>
        <v>0</v>
      </c>
      <c r="BG10" s="188">
        <f t="shared" si="27"/>
        <v>0</v>
      </c>
      <c r="BH10" s="3"/>
    </row>
    <row r="11" spans="1:60" s="1" customFormat="1" ht="48">
      <c r="A11" s="68">
        <v>2</v>
      </c>
      <c r="B11" s="778" t="s">
        <v>13</v>
      </c>
      <c r="C11" s="160" t="s">
        <v>163</v>
      </c>
      <c r="D11" s="11">
        <v>1</v>
      </c>
      <c r="E11" s="458" t="s">
        <v>160</v>
      </c>
      <c r="F11" s="7" t="s">
        <v>159</v>
      </c>
      <c r="G11" s="7" t="s">
        <v>159</v>
      </c>
      <c r="H11" s="160" t="s">
        <v>43</v>
      </c>
      <c r="I11" s="160" t="s">
        <v>155</v>
      </c>
      <c r="J11" s="162">
        <v>1</v>
      </c>
      <c r="K11" s="160" t="s">
        <v>161</v>
      </c>
      <c r="L11" s="163">
        <v>2</v>
      </c>
      <c r="M11" s="164">
        <v>1000</v>
      </c>
      <c r="N11" s="165">
        <v>100</v>
      </c>
      <c r="O11" s="166">
        <f t="shared" ref="O11" si="28">IF(OR(M11="", N11=""), "", IFERROR(VALUE(TRIM(SUBSTITUTE(M11,CHAR(160),""))),0) + IFERROR(VALUE(TRIM(SUBSTITUTE(N11,CHAR(160),""))),0))</f>
        <v>1100</v>
      </c>
      <c r="P11" s="167">
        <v>20000</v>
      </c>
      <c r="Q11" s="165">
        <v>100</v>
      </c>
      <c r="R11" s="166">
        <f t="shared" ref="R11" si="29">IF(OR(P11="", Q11=""), "", IFERROR(VALUE(TRIM(SUBSTITUTE(P11,CHAR(160),""))),0) + IFERROR(VALUE(TRIM(SUBSTITUTE(Q11,CHAR(160),""))),0))</f>
        <v>20100</v>
      </c>
      <c r="S11" s="168">
        <v>20000</v>
      </c>
      <c r="T11" s="165">
        <v>200</v>
      </c>
      <c r="U11" s="169">
        <f>IF(OR(S11="", T11=""), "", IFERROR(VALUE(TRIM(SUBSTITUTE(S11,CHAR(160),""))),0) + IFERROR(VALUE(TRIM(SUBSTITUTE(T11,CHAR(160),""))),0))</f>
        <v>20200</v>
      </c>
      <c r="V11" s="170" t="s">
        <v>157</v>
      </c>
      <c r="W11" s="770" cm="1">
        <f t="array" ref="W11">IF((_xlfn.IFS(TRIM(SUBSTITUTE(V11,CHAR(160),""))="Devis 1",IFERROR(VALUE(TRIM(SUBSTITUTE(M11,CHAR(160),""))),0),TRIM(SUBSTITUTE(V11,CHAR(160),""))="Devis 2",IFERROR(VALUE(TRIM(SUBSTITUTE(P11,CHAR(160),""))),0),TRIM(SUBSTITUTE(V11,CHAR(160),""))="Devis 3",IFERROR(VALUE(TRIM(SUBSTITUTE(S11,CHAR(160),""))),0),TRUE,0)*IFERROR(VALUE(TRIM(SUBSTITUTE(D11,CHAR(160),""))),0))=0,"",_xlfn.IFS(TRIM(SUBSTITUTE(V11,CHAR(160),""))="Devis 1",IFERROR(VALUE(TRIM(SUBSTITUTE(M11,CHAR(160),""))),0),TRIM(SUBSTITUTE(V11,CHAR(160),""))="Devis 2",IFERROR(VALUE(TRIM(SUBSTITUTE(P11,CHAR(160),""))),0),TRIM(SUBSTITUTE(V11,CHAR(160),""))="Devis 3",IFERROR(VALUE(TRIM(SUBSTITUTE(S11,CHAR(160),""))),0),TRUE,0)*IFERROR(VALUE(TRIM(SUBSTITUTE(D11,CHAR(160),""))),0))</f>
        <v>1000</v>
      </c>
      <c r="X11" s="171" cm="1">
        <f t="array" ref="X11">IF(_xlfn.IFS(TRIM(SUBSTITUTE(V11,CHAR(160),""))="Devis 1",IFERROR(VALUE(TRIM(SUBSTITUTE(N11,CHAR(160),""))),0),TRIM(SUBSTITUTE(V11,CHAR(160),""))="Devis 2",IFERROR(VALUE(TRIM(SUBSTITUTE(Q11,CHAR(160),""))),0),TRIM(SUBSTITUTE(V11,CHAR(160),""))="Devis 3",IFERROR(VALUE(TRIM(SUBSTITUTE(T11,CHAR(160),""))),0),TRUE,0)*IFERROR(VALUE(TRIM(SUBSTITUTE(D11,CHAR(160),""))),0)=0,IF(W11&lt;&gt;"",0,""),_xlfn.IFS(TRIM(SUBSTITUTE(V11,CHAR(160),""))="Devis 1",IFERROR(VALUE(TRIM(SUBSTITUTE(N11,CHAR(160),""))),0),TRIM(SUBSTITUTE(V11,CHAR(160),""))="Devis 2",IFERROR(VALUE(TRIM(SUBSTITUTE(Q11,CHAR(160),""))),0),TRIM(SUBSTITUTE(V11,CHAR(160),""))="Devis 3",IFERROR(VALUE(TRIM(SUBSTITUTE(T11,CHAR(160),""))),0),TRUE,0)*IFERROR(VALUE(TRIM(SUBSTITUTE(D11,CHAR(160),""))),0))</f>
        <v>100</v>
      </c>
      <c r="Y11" s="172">
        <f>IF(OR(W11="", X11=""), "", IFERROR(VALUE(TRIM(SUBSTITUTE(W11,CHAR(160),""))),0) + IFERROR(VALUE(TRIM(SUBSTITUTE(X11,CHAR(160),""))),0))</f>
        <v>1100</v>
      </c>
      <c r="Z11" s="173" t="s">
        <v>159</v>
      </c>
      <c r="AA11" s="36" t="str">
        <f t="shared" si="4"/>
        <v>Test2</v>
      </c>
      <c r="AB11" s="37">
        <f t="shared" ref="AB11:AB40" si="30">IF(D11="","",D11)</f>
        <v>1</v>
      </c>
      <c r="AC11" s="37" t="str">
        <f t="shared" ref="AC11:AC74" si="31">IF(E11="","",E11)</f>
        <v>Non</v>
      </c>
      <c r="AD11" s="14" t="str">
        <f t="shared" si="5"/>
        <v>Test</v>
      </c>
      <c r="AE11" s="14" t="str">
        <f t="shared" si="6"/>
        <v>Test</v>
      </c>
      <c r="AF11" s="14" t="str">
        <f t="shared" si="7"/>
        <v>Développement de nouveaux produits, pratiques, procédés et techniques</v>
      </c>
      <c r="AG11" s="14" t="str">
        <f t="shared" si="8"/>
        <v xml:space="preserve">Pas de marché public </v>
      </c>
      <c r="AH11" s="38">
        <f t="shared" si="9"/>
        <v>1</v>
      </c>
      <c r="AI11" s="14" t="str">
        <f t="shared" si="10"/>
        <v>unité</v>
      </c>
      <c r="AJ11" s="39">
        <f t="shared" si="11"/>
        <v>2</v>
      </c>
      <c r="AK11" s="40">
        <f t="shared" si="12"/>
        <v>1000</v>
      </c>
      <c r="AL11" s="20">
        <f t="shared" si="13"/>
        <v>100</v>
      </c>
      <c r="AM11" s="35">
        <f t="shared" si="14"/>
        <v>1100</v>
      </c>
      <c r="AN11" s="41">
        <f t="shared" si="15"/>
        <v>20000</v>
      </c>
      <c r="AO11" s="20">
        <f t="shared" si="16"/>
        <v>100</v>
      </c>
      <c r="AP11" s="35">
        <f t="shared" si="17"/>
        <v>20100</v>
      </c>
      <c r="AQ11" s="42">
        <f t="shared" si="18"/>
        <v>20000</v>
      </c>
      <c r="AR11" s="20">
        <f t="shared" si="19"/>
        <v>200</v>
      </c>
      <c r="AS11" s="43">
        <f t="shared" si="20"/>
        <v>20200</v>
      </c>
      <c r="AT11" s="36" t="str">
        <f t="shared" si="21"/>
        <v>Devis 1</v>
      </c>
      <c r="AU11" s="184" t="s">
        <v>164</v>
      </c>
      <c r="AV11" s="44">
        <f t="shared" si="22"/>
        <v>1150</v>
      </c>
      <c r="AW11" s="44">
        <f t="shared" si="23"/>
        <v>114.99999999999999</v>
      </c>
      <c r="AX11" s="44">
        <f t="shared" si="24"/>
        <v>1265</v>
      </c>
      <c r="AY11" s="74" cm="1">
        <f t="array" ref="AY11">IF($AB11="","",IF((IFERROR(_xlfn.IFS($AT11="Devis 1",(IFERROR(VALUE(TRIM(SUBSTITUTE(AK11,CHAR(160),""))),0)),$AT11="Devis 2",(IFERROR(VALUE(TRIM(SUBSTITUTE(AN11,CHAR(160),""))),0)),$AT11="Devis 3",(IFERROR(VALUE(TRIM(SUBSTITUTE(AQ11,CHAR(160),""))),0))),0))*(IFERROR(VALUE(TRIM(SUBSTITUTE($AB11,CHAR(160),""))),0))=0,"",(IFERROR(_xlfn.IFS($AT11="Devis 1",(IFERROR(VALUE(TRIM(SUBSTITUTE(AK11,CHAR(160),""))),0)),$AT11="Devis 2",(IFERROR(VALUE(TRIM(SUBSTITUTE(AN11,CHAR(160),""))),0)),$AT11="Devis 3",(IFERROR(VALUE(TRIM(SUBSTITUTE(AQ11,CHAR(160),""))),0))),0))*(IFERROR(VALUE(TRIM(SUBSTITUTE($AB11,CHAR(160),""))),0))))</f>
        <v>1000</v>
      </c>
      <c r="AZ11" s="74" cm="1">
        <f t="array" ref="AZ11">IF($AB11="","",IF((IFERROR(_xlfn.IFS(TRIM(SUBSTITUTE($AT11,CHAR(160),""))="Devis 1", IFERROR(VALUE(TRIM(SUBSTITUTE(AL11,CHAR(160),""))),0),TRIM(SUBSTITUTE($AT11,CHAR(160),""))="Devis 2", IFERROR(VALUE(TRIM(SUBSTITUTE(AO11,CHAR(160),""))),0),TRIM(SUBSTITUTE($AT11,CHAR(160),""))="Devis 3", IFERROR(VALUE(TRIM(SUBSTITUTE(AR11,CHAR(160),""))),0)),0) * IFERROR(VALUE(TRIM(SUBSTITUTE($AB11,CHAR(160),""))),0)) = 0,IF(AY11&lt;&gt;"",0,""),(IFERROR(_xlfn.IFS(TRIM(SUBSTITUTE($AT11,CHAR(160),""))="Devis 1", IFERROR(VALUE(TRIM(SUBSTITUTE(AL11,CHAR(160),""))),0),TRIM(SUBSTITUTE($AT11,CHAR(160),""))="Devis 2", IFERROR(VALUE(TRIM(SUBSTITUTE(AO11,CHAR(160),""))),0),TRIM(SUBSTITUTE($AT11,CHAR(160),""))="Devis 3", IFERROR(VALUE(TRIM(SUBSTITUTE(AR11,CHAR(160),""))),0)),0) * IFERROR(VALUE(TRIM(SUBSTITUTE($AB11,CHAR(160),""))),0))))</f>
        <v>100</v>
      </c>
      <c r="BA11" s="74" cm="1">
        <f t="array" ref="BA11">IF($AB11="","",IF(IFERROR(_xlfn.IFS($AT11="Devis 1",IFERROR(VALUE(TRIM(SUBSTITUTE(AM11,CHAR(160),""))),0),$AT11="Devis 2",IFERROR(VALUE(TRIM(SUBSTITUTE(AP11,CHAR(160),""))),0),$AT11="Devis 3",IFERROR(VALUE(TRIM(SUBSTITUTE(AS11,CHAR(160),""))),0)),0)*IFERROR(VALUE(TRIM(SUBSTITUTE($AB11,CHAR(160),""))),0)=0,"",IFERROR(_xlfn.IFS($AT11="Devis 1",IFERROR(VALUE(TRIM(SUBSTITUTE(AM11,CHAR(160),""))),0),$AT11="Devis 2",IFERROR(VALUE(TRIM(SUBSTITUTE(AP11,CHAR(160),""))),0),$AT11="Devis 3",IFERROR(VALUE(TRIM(SUBSTITUTE(AS11,CHAR(160),""))),0)),0)*IFERROR(VALUE(TRIM(SUBSTITUTE($AB11,CHAR(160),""))),0)))</f>
        <v>1100</v>
      </c>
      <c r="BB11" s="184"/>
      <c r="BC11" s="13" t="str" cm="1">
        <f t="array" ref="BC11">IF(OR(BA11="",AX11="",AY11="",AV11="",AZ11="",AW11=""),"",_xlfn.IFS((IFERROR(VALUE(TRIM(SUBSTITUTE(BA11,CHAR(160),""))),0))&gt;(IFERROR(VALUE(TRIM(SUBSTITUTE(AX11,CHAR(160),""))),0)),"KO : Le montant retenu TTC est supérieur au montant raisonnable TTC. Merci de revoir la ligne de dépense ou plafonner son montant.",(IFERROR(VALUE(TRIM(SUBSTITUTE(AY11,CHAR(160),""))),0))&gt;(IFERROR(VALUE(TRIM(SUBSTITUTE(AV11,CHAR(160),""))),0)),"Attention : Le montant retenu HT est supérieur au montant HT raisonnable. Merci de revoir la ligne de dépense, plafonner son montant, ou justifier la reventillation HT / TVA.",(IFERROR(VALUE(TRIM(SUBSTITUTE(AZ11,CHAR(160),""))),0))&gt;(IFERROR(VALUE(TRIM(SUBSTITUTE(AW11,CHAR(160),""))),0)),"Attention : Le montant TVA retenu est supérieur au montant TVA raisonnable. Merci de revoir la ligne de dépense, plafonner son montant, ou justifier la reventillation HT / TVA.",(IFERROR(VALUE(TRIM(SUBSTITUTE(BA11,CHAR(160),""))),0))=0,"",(IFERROR(VALUE(TRIM(SUBSTITUTE(AX11,CHAR(160),""))),0))=(IFERROR(VALUE(TRIM(SUBSTITUTE(BA11,CHAR(160),""))),0)),"OK",(IFERROR(VALUE(TRIM(SUBSTITUTE(AX11,CHAR(160),""))),0))&gt;(IFERROR(VALUE(TRIM(SUBSTITUTE(BA11,CHAR(160),""))),0))," OK : Montant instruit inférieur au montant raisonnable.",TRUE,""))</f>
        <v xml:space="preserve"> OK : Montant instruit inférieur au montant raisonnable.</v>
      </c>
      <c r="BD11" s="187" t="str" cm="1">
        <f t="array" ref="BD11">IF(OR(BA11="",Y11="",AY11="",W11="",AZ11="",X11=""),"",_xlfn.IFS((IFERROR(VALUE(TRIM(SUBSTITUTE(BA11,CHAR(160),""))),0))&gt;(IFERROR(VALUE(TRIM(SUBSTITUTE(Y11,CHAR(160),""))),0)),"KO : Le montant retenu TTC est supérieur au montant présenté TTC. Merci de revoir la ligne de dépense ou plafonner son montant.",(IFERROR(VALUE(TRIM(SUBSTITUTE(AY11,CHAR(160),""))),0))&gt;(IFERROR(VALUE(TRIM(SUBSTITUTE(W11,CHAR(160),""))),0)),"Attention : Le montant retenu HT est supérieur au montant HT présenté. Merci de revoir la ligne de dépense,plafonner son montant,ou justifier la reventillation HT/TVA.",(IFERROR(VALUE(TRIM(SUBSTITUTE(AZ11,CHAR(160),""))),0))&gt;(IFERROR(VALUE(TRIM(SUBSTITUTE(X11,CHAR(160),""))),0)),"Attention : Le montant TVA retenu est supérieur au montant TVA présenté. Merci de revoir la ligne de dépense,plafonner son montant,ou justifier la reventillation HT/TVA.",(IFERROR(VALUE(TRIM(SUBSTITUTE(Y11,CHAR(160),""))),0))=0,"",(IFERROR(VALUE(TRIM(SUBSTITUTE(BA11,CHAR(160),""))),0))=(IFERROR(VALUE(TRIM(SUBSTITUTE(Y11,CHAR(160),""))),0)),"OK",
OR((IFERROR(VALUE(TRIM(SUBSTITUTE(BA11,CHAR(160),""))),0))=0,(IFERROR(VALUE(TRIM(SUBSTITUTE(AY11,CHAR(160),""))),0))=0),"Attention : montant présenté entièrement écarté",(IFERROR(VALUE(TRIM(SUBSTITUTE(BA11,CHAR(160),""))),0))&lt;(IFERROR(VALUE(TRIM(SUBSTITUTE(Y11,CHAR(160),""))),0)),"Attention : montant présenté partiellement écarté",TRUE,""))</f>
        <v>OK</v>
      </c>
      <c r="BE11" s="44">
        <f t="shared" si="25"/>
        <v>0</v>
      </c>
      <c r="BF11" s="44">
        <f t="shared" si="26"/>
        <v>0</v>
      </c>
      <c r="BG11" s="21">
        <f t="shared" si="27"/>
        <v>0</v>
      </c>
      <c r="BH11" s="3"/>
    </row>
    <row r="12" spans="1:60" ht="15.95">
      <c r="A12" s="70">
        <v>3</v>
      </c>
      <c r="B12" s="784"/>
      <c r="C12" s="7"/>
      <c r="D12" s="11"/>
      <c r="E12" s="458"/>
      <c r="F12" s="7"/>
      <c r="G12" s="7"/>
      <c r="H12" s="7"/>
      <c r="I12" s="7"/>
      <c r="J12" s="17"/>
      <c r="K12" s="7"/>
      <c r="L12" s="132"/>
      <c r="M12" s="138"/>
      <c r="N12" s="8"/>
      <c r="O12" s="35" t="str">
        <f t="shared" si="0"/>
        <v/>
      </c>
      <c r="P12" s="9"/>
      <c r="Q12" s="8"/>
      <c r="R12" s="35" t="str">
        <f t="shared" si="1"/>
        <v/>
      </c>
      <c r="S12" s="10"/>
      <c r="T12" s="8"/>
      <c r="U12" s="139" t="str">
        <f t="shared" si="2"/>
        <v/>
      </c>
      <c r="V12" s="147"/>
      <c r="W12" s="770" t="str" cm="1">
        <f t="array" ref="W12">IF((_xlfn.IFS(TRIM(SUBSTITUTE(V12,CHAR(160),""))="Devis 1",IFERROR(VALUE(TRIM(SUBSTITUTE(M12,CHAR(160),""))),0),TRIM(SUBSTITUTE(V12,CHAR(160),""))="Devis 2",IFERROR(VALUE(TRIM(SUBSTITUTE(P12,CHAR(160),""))),0),TRIM(SUBSTITUTE(V12,CHAR(160),""))="Devis 3",IFERROR(VALUE(TRIM(SUBSTITUTE(S12,CHAR(160),""))),0),TRUE,0)*IFERROR(VALUE(TRIM(SUBSTITUTE(D12,CHAR(160),""))),0))=0,"",_xlfn.IFS(TRIM(SUBSTITUTE(V12,CHAR(160),""))="Devis 1",IFERROR(VALUE(TRIM(SUBSTITUTE(M12,CHAR(160),""))),0),TRIM(SUBSTITUTE(V12,CHAR(160),""))="Devis 2",IFERROR(VALUE(TRIM(SUBSTITUTE(P12,CHAR(160),""))),0),TRIM(SUBSTITUTE(V12,CHAR(160),""))="Devis 3",IFERROR(VALUE(TRIM(SUBSTITUTE(S12,CHAR(160),""))),0),TRUE,0)*IFERROR(VALUE(TRIM(SUBSTITUTE(D12,CHAR(160),""))),0))</f>
        <v/>
      </c>
      <c r="X12" s="73" t="str" cm="1">
        <f t="array" ref="X12">IF(_xlfn.IFS(TRIM(SUBSTITUTE(V12,CHAR(160),""))="Devis 1",IFERROR(VALUE(TRIM(SUBSTITUTE(N12,CHAR(160),""))),0),TRIM(SUBSTITUTE(V12,CHAR(160),""))="Devis 2",IFERROR(VALUE(TRIM(SUBSTITUTE(Q12,CHAR(160),""))),0),TRIM(SUBSTITUTE(V12,CHAR(160),""))="Devis 3",IFERROR(VALUE(TRIM(SUBSTITUTE(T12,CHAR(160),""))),0),TRUE,0)*IFERROR(VALUE(TRIM(SUBSTITUTE(D12,CHAR(160),""))),0)=0,IF(W12&lt;&gt;"",0,""),_xlfn.IFS(TRIM(SUBSTITUTE(V12,CHAR(160),""))="Devis 1",IFERROR(VALUE(TRIM(SUBSTITUTE(N12,CHAR(160),""))),0),TRIM(SUBSTITUTE(V12,CHAR(160),""))="Devis 2",IFERROR(VALUE(TRIM(SUBSTITUTE(Q12,CHAR(160),""))),0),TRIM(SUBSTITUTE(V12,CHAR(160),""))="Devis 3",IFERROR(VALUE(TRIM(SUBSTITUTE(T12,CHAR(160),""))),0),TRUE,0)*IFERROR(VALUE(TRIM(SUBSTITUTE(D12,CHAR(160),""))),0))</f>
        <v/>
      </c>
      <c r="Y12" s="149" t="str">
        <f t="shared" si="3"/>
        <v/>
      </c>
      <c r="Z12" s="150"/>
      <c r="AA12" s="36" t="str">
        <f t="shared" si="4"/>
        <v/>
      </c>
      <c r="AB12" s="37" t="str">
        <f t="shared" si="30"/>
        <v/>
      </c>
      <c r="AC12" s="37" t="str">
        <f t="shared" si="31"/>
        <v/>
      </c>
      <c r="AD12" s="14" t="str">
        <f t="shared" si="5"/>
        <v/>
      </c>
      <c r="AE12" s="14" t="str">
        <f t="shared" si="6"/>
        <v/>
      </c>
      <c r="AF12" s="14" t="str">
        <f t="shared" si="7"/>
        <v/>
      </c>
      <c r="AG12" s="14" t="str">
        <f t="shared" si="8"/>
        <v/>
      </c>
      <c r="AH12" s="38" t="str">
        <f t="shared" si="9"/>
        <v/>
      </c>
      <c r="AI12" s="14" t="str">
        <f t="shared" si="10"/>
        <v/>
      </c>
      <c r="AJ12" s="39" t="str">
        <f t="shared" si="11"/>
        <v/>
      </c>
      <c r="AK12" s="40" t="str">
        <f t="shared" si="12"/>
        <v/>
      </c>
      <c r="AL12" s="20" t="str">
        <f t="shared" si="13"/>
        <v/>
      </c>
      <c r="AM12" s="35" t="str">
        <f t="shared" si="14"/>
        <v/>
      </c>
      <c r="AN12" s="41" t="str">
        <f t="shared" si="15"/>
        <v/>
      </c>
      <c r="AO12" s="20" t="str">
        <f t="shared" si="16"/>
        <v/>
      </c>
      <c r="AP12" s="35" t="str">
        <f t="shared" si="17"/>
        <v/>
      </c>
      <c r="AQ12" s="42" t="str">
        <f t="shared" si="18"/>
        <v/>
      </c>
      <c r="AR12" s="20" t="str">
        <f t="shared" si="19"/>
        <v/>
      </c>
      <c r="AS12" s="43" t="str">
        <f t="shared" si="20"/>
        <v/>
      </c>
      <c r="AT12" s="36" t="str">
        <f t="shared" si="21"/>
        <v/>
      </c>
      <c r="AU12" s="184"/>
      <c r="AV12" s="44" t="str">
        <f t="shared" si="22"/>
        <v/>
      </c>
      <c r="AW12" s="44" t="str">
        <f t="shared" si="23"/>
        <v/>
      </c>
      <c r="AX12" s="44" t="str">
        <f t="shared" si="24"/>
        <v/>
      </c>
      <c r="AY12" s="74" t="str" cm="1">
        <f t="array" ref="AY12">IF($AB12="","",IF((IFERROR(_xlfn.IFS($AT12="Devis 1",(IFERROR(VALUE(TRIM(SUBSTITUTE(AK12,CHAR(160),""))),0)),$AT12="Devis 2",(IFERROR(VALUE(TRIM(SUBSTITUTE(AN12,CHAR(160),""))),0)),$AT12="Devis 3",(IFERROR(VALUE(TRIM(SUBSTITUTE(AQ12,CHAR(160),""))),0))),0))*(IFERROR(VALUE(TRIM(SUBSTITUTE($AB12,CHAR(160),""))),0))=0,"",(IFERROR(_xlfn.IFS($AT12="Devis 1",(IFERROR(VALUE(TRIM(SUBSTITUTE(AK12,CHAR(160),""))),0)),$AT12="Devis 2",(IFERROR(VALUE(TRIM(SUBSTITUTE(AN12,CHAR(160),""))),0)),$AT12="Devis 3",(IFERROR(VALUE(TRIM(SUBSTITUTE(AQ12,CHAR(160),""))),0))),0))*(IFERROR(VALUE(TRIM(SUBSTITUTE($AB12,CHAR(160),""))),0))))</f>
        <v/>
      </c>
      <c r="AZ12" s="74" t="str" cm="1">
        <f t="array" ref="AZ12">IF($AB12="","",IF((IFERROR(_xlfn.IFS(TRIM(SUBSTITUTE($AT12,CHAR(160),""))="Devis 1", IFERROR(VALUE(TRIM(SUBSTITUTE(AL12,CHAR(160),""))),0),TRIM(SUBSTITUTE($AT12,CHAR(160),""))="Devis 2", IFERROR(VALUE(TRIM(SUBSTITUTE(AO12,CHAR(160),""))),0),TRIM(SUBSTITUTE($AT12,CHAR(160),""))="Devis 3", IFERROR(VALUE(TRIM(SUBSTITUTE(AR12,CHAR(160),""))),0)),0) * IFERROR(VALUE(TRIM(SUBSTITUTE($AB12,CHAR(160),""))),0)) = 0,IF(AY12&lt;&gt;"",0,""),(IFERROR(_xlfn.IFS(TRIM(SUBSTITUTE($AT12,CHAR(160),""))="Devis 1", IFERROR(VALUE(TRIM(SUBSTITUTE(AL12,CHAR(160),""))),0),TRIM(SUBSTITUTE($AT12,CHAR(160),""))="Devis 2", IFERROR(VALUE(TRIM(SUBSTITUTE(AO12,CHAR(160),""))),0),TRIM(SUBSTITUTE($AT12,CHAR(160),""))="Devis 3", IFERROR(VALUE(TRIM(SUBSTITUTE(AR12,CHAR(160),""))),0)),0) * IFERROR(VALUE(TRIM(SUBSTITUTE($AB12,CHAR(160),""))),0))))</f>
        <v/>
      </c>
      <c r="BA12" s="74" t="str" cm="1">
        <f t="array" ref="BA12">IF($AB12="","",IF(IFERROR(_xlfn.IFS($AT12="Devis 1",IFERROR(VALUE(TRIM(SUBSTITUTE(AM12,CHAR(160),""))),0),$AT12="Devis 2",IFERROR(VALUE(TRIM(SUBSTITUTE(AP12,CHAR(160),""))),0),$AT12="Devis 3",IFERROR(VALUE(TRIM(SUBSTITUTE(AS12,CHAR(160),""))),0)),0)*IFERROR(VALUE(TRIM(SUBSTITUTE($AB12,CHAR(160),""))),0)=0,"",IFERROR(_xlfn.IFS($AT12="Devis 1",IFERROR(VALUE(TRIM(SUBSTITUTE(AM12,CHAR(160),""))),0),$AT12="Devis 2",IFERROR(VALUE(TRIM(SUBSTITUTE(AP12,CHAR(160),""))),0),$AT12="Devis 3",IFERROR(VALUE(TRIM(SUBSTITUTE(AS12,CHAR(160),""))),0)),0)*IFERROR(VALUE(TRIM(SUBSTITUTE($AB12,CHAR(160),""))),0)))</f>
        <v/>
      </c>
      <c r="BB12" s="184"/>
      <c r="BC12" s="13" t="str" cm="1">
        <f t="array" ref="BC12">IF(OR(BA12="",AX12="",AY12="",AV12="",AZ12="",AW12=""),"",_xlfn.IFS((IFERROR(VALUE(TRIM(SUBSTITUTE(BA12,CHAR(160),""))),0))&gt;(IFERROR(VALUE(TRIM(SUBSTITUTE(AX12,CHAR(160),""))),0)),"KO : Le montant retenu TTC est supérieur au montant raisonnable TTC. Merci de revoir la ligne de dépense ou plafonner son montant.",(IFERROR(VALUE(TRIM(SUBSTITUTE(AY12,CHAR(160),""))),0))&gt;(IFERROR(VALUE(TRIM(SUBSTITUTE(AV12,CHAR(160),""))),0)),"Attention : Le montant retenu HT est supérieur au montant HT raisonnable. Merci de revoir la ligne de dépense, plafonner son montant, ou justifier la reventillation HT / TVA.",(IFERROR(VALUE(TRIM(SUBSTITUTE(AZ12,CHAR(160),""))),0))&gt;(IFERROR(VALUE(TRIM(SUBSTITUTE(AW12,CHAR(160),""))),0)),"Attention : Le montant TVA retenu est supérieur au montant TVA raisonnable. Merci de revoir la ligne de dépense, plafonner son montant, ou justifier la reventillation HT / TVA.",(IFERROR(VALUE(TRIM(SUBSTITUTE(BA12,CHAR(160),""))),0))=0,"",(IFERROR(VALUE(TRIM(SUBSTITUTE(AX12,CHAR(160),""))),0))=(IFERROR(VALUE(TRIM(SUBSTITUTE(BA12,CHAR(160),""))),0)),"OK",(IFERROR(VALUE(TRIM(SUBSTITUTE(AX12,CHAR(160),""))),0))&gt;(IFERROR(VALUE(TRIM(SUBSTITUTE(BA12,CHAR(160),""))),0))," OK : Montant instruit inférieur au montant raisonnable.",TRUE,""))</f>
        <v/>
      </c>
      <c r="BD12" s="187" t="str" cm="1">
        <f t="array" ref="BD12">IF(OR(BA12="",Y12="",AY12="",W12="",AZ12="",X12=""),"",_xlfn.IFS((IFERROR(VALUE(TRIM(SUBSTITUTE(BA12,CHAR(160),""))),0))&gt;(IFERROR(VALUE(TRIM(SUBSTITUTE(Y12,CHAR(160),""))),0)),"KO : Le montant retenu TTC est supérieur au montant présenté TTC. Merci de revoir la ligne de dépense ou plafonner son montant.",(IFERROR(VALUE(TRIM(SUBSTITUTE(AY12,CHAR(160),""))),0))&gt;(IFERROR(VALUE(TRIM(SUBSTITUTE(W12,CHAR(160),""))),0)),"Attention : Le montant retenu HT est supérieur au montant HT présenté. Merci de revoir la ligne de dépense,plafonner son montant,ou justifier la reventillation HT/TVA.",(IFERROR(VALUE(TRIM(SUBSTITUTE(AZ12,CHAR(160),""))),0))&gt;(IFERROR(VALUE(TRIM(SUBSTITUTE(X12,CHAR(160),""))),0)),"Attention : Le montant TVA retenu est supérieur au montant TVA présenté. Merci de revoir la ligne de dépense,plafonner son montant,ou justifier la reventillation HT/TVA.",(IFERROR(VALUE(TRIM(SUBSTITUTE(Y12,CHAR(160),""))),0))=0,"",(IFERROR(VALUE(TRIM(SUBSTITUTE(BA12,CHAR(160),""))),0))=(IFERROR(VALUE(TRIM(SUBSTITUTE(Y12,CHAR(160),""))),0)),"OK",
OR((IFERROR(VALUE(TRIM(SUBSTITUTE(BA12,CHAR(160),""))),0))=0,(IFERROR(VALUE(TRIM(SUBSTITUTE(AY12,CHAR(160),""))),0))=0),"Attention : montant présenté entièrement écarté",(IFERROR(VALUE(TRIM(SUBSTITUTE(BA12,CHAR(160),""))),0))&lt;(IFERROR(VALUE(TRIM(SUBSTITUTE(Y12,CHAR(160),""))),0)),"Attention : montant présenté partiellement écarté",TRUE,""))</f>
        <v/>
      </c>
      <c r="BE12" s="44" t="str">
        <f t="shared" si="25"/>
        <v/>
      </c>
      <c r="BF12" s="44" t="str">
        <f t="shared" si="26"/>
        <v/>
      </c>
      <c r="BG12" s="21" t="str">
        <f t="shared" si="27"/>
        <v/>
      </c>
      <c r="BH12" s="46"/>
    </row>
    <row r="13" spans="1:60" ht="15" customHeight="1">
      <c r="A13" s="70">
        <v>4</v>
      </c>
      <c r="B13" s="784"/>
      <c r="C13" s="7"/>
      <c r="D13" s="11"/>
      <c r="E13" s="458"/>
      <c r="F13" s="7"/>
      <c r="G13" s="7"/>
      <c r="H13" s="7"/>
      <c r="I13" s="7"/>
      <c r="J13" s="17"/>
      <c r="K13" s="7"/>
      <c r="L13" s="132"/>
      <c r="M13" s="138"/>
      <c r="N13" s="8"/>
      <c r="O13" s="35" t="str">
        <f t="shared" si="0"/>
        <v/>
      </c>
      <c r="P13" s="9"/>
      <c r="Q13" s="8"/>
      <c r="R13" s="35" t="str">
        <f t="shared" si="1"/>
        <v/>
      </c>
      <c r="S13" s="10"/>
      <c r="T13" s="8"/>
      <c r="U13" s="139" t="str">
        <f t="shared" si="2"/>
        <v/>
      </c>
      <c r="V13" s="147"/>
      <c r="W13" s="770" t="str" cm="1">
        <f t="array" ref="W13">IF((_xlfn.IFS(TRIM(SUBSTITUTE(V13,CHAR(160),""))="Devis 1",IFERROR(VALUE(TRIM(SUBSTITUTE(M13,CHAR(160),""))),0),TRIM(SUBSTITUTE(V13,CHAR(160),""))="Devis 2",IFERROR(VALUE(TRIM(SUBSTITUTE(P13,CHAR(160),""))),0),TRIM(SUBSTITUTE(V13,CHAR(160),""))="Devis 3",IFERROR(VALUE(TRIM(SUBSTITUTE(S13,CHAR(160),""))),0),TRUE,0)*IFERROR(VALUE(TRIM(SUBSTITUTE(D13,CHAR(160),""))),0))=0,"",_xlfn.IFS(TRIM(SUBSTITUTE(V13,CHAR(160),""))="Devis 1",IFERROR(VALUE(TRIM(SUBSTITUTE(M13,CHAR(160),""))),0),TRIM(SUBSTITUTE(V13,CHAR(160),""))="Devis 2",IFERROR(VALUE(TRIM(SUBSTITUTE(P13,CHAR(160),""))),0),TRIM(SUBSTITUTE(V13,CHAR(160),""))="Devis 3",IFERROR(VALUE(TRIM(SUBSTITUTE(S13,CHAR(160),""))),0),TRUE,0)*IFERROR(VALUE(TRIM(SUBSTITUTE(D13,CHAR(160),""))),0))</f>
        <v/>
      </c>
      <c r="X13" s="73" t="str" cm="1">
        <f t="array" ref="X13">IF(_xlfn.IFS(TRIM(SUBSTITUTE(V13,CHAR(160),""))="Devis 1",IFERROR(VALUE(TRIM(SUBSTITUTE(N13,CHAR(160),""))),0),TRIM(SUBSTITUTE(V13,CHAR(160),""))="Devis 2",IFERROR(VALUE(TRIM(SUBSTITUTE(Q13,CHAR(160),""))),0),TRIM(SUBSTITUTE(V13,CHAR(160),""))="Devis 3",IFERROR(VALUE(TRIM(SUBSTITUTE(T13,CHAR(160),""))),0),TRUE,0)*IFERROR(VALUE(TRIM(SUBSTITUTE(D13,CHAR(160),""))),0)=0,IF(W13&lt;&gt;"",0,""),_xlfn.IFS(TRIM(SUBSTITUTE(V13,CHAR(160),""))="Devis 1",IFERROR(VALUE(TRIM(SUBSTITUTE(N13,CHAR(160),""))),0),TRIM(SUBSTITUTE(V13,CHAR(160),""))="Devis 2",IFERROR(VALUE(TRIM(SUBSTITUTE(Q13,CHAR(160),""))),0),TRIM(SUBSTITUTE(V13,CHAR(160),""))="Devis 3",IFERROR(VALUE(TRIM(SUBSTITUTE(T13,CHAR(160),""))),0),TRUE,0)*IFERROR(VALUE(TRIM(SUBSTITUTE(D13,CHAR(160),""))),0))</f>
        <v/>
      </c>
      <c r="Y13" s="149" t="str">
        <f t="shared" si="3"/>
        <v/>
      </c>
      <c r="Z13" s="150"/>
      <c r="AA13" s="36" t="str">
        <f t="shared" si="4"/>
        <v/>
      </c>
      <c r="AB13" s="37" t="str">
        <f t="shared" si="30"/>
        <v/>
      </c>
      <c r="AC13" s="37" t="str">
        <f t="shared" si="31"/>
        <v/>
      </c>
      <c r="AD13" s="14" t="str">
        <f t="shared" si="5"/>
        <v/>
      </c>
      <c r="AE13" s="14" t="str">
        <f t="shared" si="6"/>
        <v/>
      </c>
      <c r="AF13" s="14" t="str">
        <f t="shared" si="7"/>
        <v/>
      </c>
      <c r="AG13" s="14" t="str">
        <f t="shared" si="8"/>
        <v/>
      </c>
      <c r="AH13" s="38" t="str">
        <f t="shared" si="9"/>
        <v/>
      </c>
      <c r="AI13" s="14" t="str">
        <f t="shared" si="10"/>
        <v/>
      </c>
      <c r="AJ13" s="39" t="str">
        <f t="shared" si="11"/>
        <v/>
      </c>
      <c r="AK13" s="40" t="str">
        <f t="shared" si="12"/>
        <v/>
      </c>
      <c r="AL13" s="20" t="str">
        <f t="shared" si="13"/>
        <v/>
      </c>
      <c r="AM13" s="35" t="str">
        <f t="shared" si="14"/>
        <v/>
      </c>
      <c r="AN13" s="41" t="str">
        <f t="shared" si="15"/>
        <v/>
      </c>
      <c r="AO13" s="20" t="str">
        <f t="shared" si="16"/>
        <v/>
      </c>
      <c r="AP13" s="35" t="str">
        <f t="shared" si="17"/>
        <v/>
      </c>
      <c r="AQ13" s="42" t="str">
        <f t="shared" si="18"/>
        <v/>
      </c>
      <c r="AR13" s="20" t="str">
        <f t="shared" si="19"/>
        <v/>
      </c>
      <c r="AS13" s="43" t="str">
        <f t="shared" si="20"/>
        <v/>
      </c>
      <c r="AT13" s="36" t="str">
        <f t="shared" si="21"/>
        <v/>
      </c>
      <c r="AU13" s="184"/>
      <c r="AV13" s="44" t="str">
        <f t="shared" si="22"/>
        <v/>
      </c>
      <c r="AW13" s="44" t="str">
        <f t="shared" si="23"/>
        <v/>
      </c>
      <c r="AX13" s="44" t="str">
        <f t="shared" si="24"/>
        <v/>
      </c>
      <c r="AY13" s="74" t="str" cm="1">
        <f t="array" ref="AY13">IF($AB13="","",IF((IFERROR(_xlfn.IFS($AT13="Devis 1",(IFERROR(VALUE(TRIM(SUBSTITUTE(AK13,CHAR(160),""))),0)),$AT13="Devis 2",(IFERROR(VALUE(TRIM(SUBSTITUTE(AN13,CHAR(160),""))),0)),$AT13="Devis 3",(IFERROR(VALUE(TRIM(SUBSTITUTE(AQ13,CHAR(160),""))),0))),0))*(IFERROR(VALUE(TRIM(SUBSTITUTE($AB13,CHAR(160),""))),0))=0,"",(IFERROR(_xlfn.IFS($AT13="Devis 1",(IFERROR(VALUE(TRIM(SUBSTITUTE(AK13,CHAR(160),""))),0)),$AT13="Devis 2",(IFERROR(VALUE(TRIM(SUBSTITUTE(AN13,CHAR(160),""))),0)),$AT13="Devis 3",(IFERROR(VALUE(TRIM(SUBSTITUTE(AQ13,CHAR(160),""))),0))),0))*(IFERROR(VALUE(TRIM(SUBSTITUTE($AB13,CHAR(160),""))),0))))</f>
        <v/>
      </c>
      <c r="AZ13" s="74" t="str" cm="1">
        <f t="array" ref="AZ13">IF($AB13="","",IF((IFERROR(_xlfn.IFS(TRIM(SUBSTITUTE($AT13,CHAR(160),""))="Devis 1", IFERROR(VALUE(TRIM(SUBSTITUTE(AL13,CHAR(160),""))),0),TRIM(SUBSTITUTE($AT13,CHAR(160),""))="Devis 2", IFERROR(VALUE(TRIM(SUBSTITUTE(AO13,CHAR(160),""))),0),TRIM(SUBSTITUTE($AT13,CHAR(160),""))="Devis 3", IFERROR(VALUE(TRIM(SUBSTITUTE(AR13,CHAR(160),""))),0)),0) * IFERROR(VALUE(TRIM(SUBSTITUTE($AB13,CHAR(160),""))),0)) = 0,IF(AY13&lt;&gt;"",0,""),(IFERROR(_xlfn.IFS(TRIM(SUBSTITUTE($AT13,CHAR(160),""))="Devis 1", IFERROR(VALUE(TRIM(SUBSTITUTE(AL13,CHAR(160),""))),0),TRIM(SUBSTITUTE($AT13,CHAR(160),""))="Devis 2", IFERROR(VALUE(TRIM(SUBSTITUTE(AO13,CHAR(160),""))),0),TRIM(SUBSTITUTE($AT13,CHAR(160),""))="Devis 3", IFERROR(VALUE(TRIM(SUBSTITUTE(AR13,CHAR(160),""))),0)),0) * IFERROR(VALUE(TRIM(SUBSTITUTE($AB13,CHAR(160),""))),0))))</f>
        <v/>
      </c>
      <c r="BA13" s="74" t="str" cm="1">
        <f t="array" ref="BA13">IF($AB13="","",IF(IFERROR(_xlfn.IFS($AT13="Devis 1",IFERROR(VALUE(TRIM(SUBSTITUTE(AM13,CHAR(160),""))),0),$AT13="Devis 2",IFERROR(VALUE(TRIM(SUBSTITUTE(AP13,CHAR(160),""))),0),$AT13="Devis 3",IFERROR(VALUE(TRIM(SUBSTITUTE(AS13,CHAR(160),""))),0)),0)*IFERROR(VALUE(TRIM(SUBSTITUTE($AB13,CHAR(160),""))),0)=0,"",IFERROR(_xlfn.IFS($AT13="Devis 1",IFERROR(VALUE(TRIM(SUBSTITUTE(AM13,CHAR(160),""))),0),$AT13="Devis 2",IFERROR(VALUE(TRIM(SUBSTITUTE(AP13,CHAR(160),""))),0),$AT13="Devis 3",IFERROR(VALUE(TRIM(SUBSTITUTE(AS13,CHAR(160),""))),0)),0)*IFERROR(VALUE(TRIM(SUBSTITUTE($AB13,CHAR(160),""))),0)))</f>
        <v/>
      </c>
      <c r="BB13" s="45"/>
      <c r="BC13" s="13" t="str" cm="1">
        <f t="array" ref="BC13">IF(OR(BA13="",AX13="",AY13="",AV13="",AZ13="",AW13=""),"",_xlfn.IFS((IFERROR(VALUE(TRIM(SUBSTITUTE(BA13,CHAR(160),""))),0))&gt;(IFERROR(VALUE(TRIM(SUBSTITUTE(AX13,CHAR(160),""))),0)),"KO : Le montant retenu TTC est supérieur au montant raisonnable TTC. Merci de revoir la ligne de dépense ou plafonner son montant.",(IFERROR(VALUE(TRIM(SUBSTITUTE(AY13,CHAR(160),""))),0))&gt;(IFERROR(VALUE(TRIM(SUBSTITUTE(AV13,CHAR(160),""))),0)),"Attention : Le montant retenu HT est supérieur au montant HT raisonnable. Merci de revoir la ligne de dépense, plafonner son montant, ou justifier la reventillation HT / TVA.",(IFERROR(VALUE(TRIM(SUBSTITUTE(AZ13,CHAR(160),""))),0))&gt;(IFERROR(VALUE(TRIM(SUBSTITUTE(AW13,CHAR(160),""))),0)),"Attention : Le montant TVA retenu est supérieur au montant TVA raisonnable. Merci de revoir la ligne de dépense, plafonner son montant, ou justifier la reventillation HT / TVA.",(IFERROR(VALUE(TRIM(SUBSTITUTE(BA13,CHAR(160),""))),0))=0,"",(IFERROR(VALUE(TRIM(SUBSTITUTE(AX13,CHAR(160),""))),0))=(IFERROR(VALUE(TRIM(SUBSTITUTE(BA13,CHAR(160),""))),0)),"OK",(IFERROR(VALUE(TRIM(SUBSTITUTE(AX13,CHAR(160),""))),0))&gt;(IFERROR(VALUE(TRIM(SUBSTITUTE(BA13,CHAR(160),""))),0))," OK : Montant instruit inférieur au montant raisonnable.",TRUE,""))</f>
        <v/>
      </c>
      <c r="BD13" s="187" t="str" cm="1">
        <f t="array" ref="BD13">IF(OR(BA13="",Y13="",AY13="",W13="",AZ13="",X13=""),"",_xlfn.IFS((IFERROR(VALUE(TRIM(SUBSTITUTE(BA13,CHAR(160),""))),0))&gt;(IFERROR(VALUE(TRIM(SUBSTITUTE(Y13,CHAR(160),""))),0)),"KO : Le montant retenu TTC est supérieur au montant présenté TTC. Merci de revoir la ligne de dépense ou plafonner son montant.",(IFERROR(VALUE(TRIM(SUBSTITUTE(AY13,CHAR(160),""))),0))&gt;(IFERROR(VALUE(TRIM(SUBSTITUTE(W13,CHAR(160),""))),0)),"Attention : Le montant retenu HT est supérieur au montant HT présenté. Merci de revoir la ligne de dépense,plafonner son montant,ou justifier la reventillation HT/TVA.",(IFERROR(VALUE(TRIM(SUBSTITUTE(AZ13,CHAR(160),""))),0))&gt;(IFERROR(VALUE(TRIM(SUBSTITUTE(X13,CHAR(160),""))),0)),"Attention : Le montant TVA retenu est supérieur au montant TVA présenté. Merci de revoir la ligne de dépense,plafonner son montant,ou justifier la reventillation HT/TVA.",(IFERROR(VALUE(TRIM(SUBSTITUTE(Y13,CHAR(160),""))),0))=0,"",(IFERROR(VALUE(TRIM(SUBSTITUTE(BA13,CHAR(160),""))),0))=(IFERROR(VALUE(TRIM(SUBSTITUTE(Y13,CHAR(160),""))),0)),"OK",
OR((IFERROR(VALUE(TRIM(SUBSTITUTE(BA13,CHAR(160),""))),0))=0,(IFERROR(VALUE(TRIM(SUBSTITUTE(AY13,CHAR(160),""))),0))=0),"Attention : montant présenté entièrement écarté",(IFERROR(VALUE(TRIM(SUBSTITUTE(BA13,CHAR(160),""))),0))&lt;(IFERROR(VALUE(TRIM(SUBSTITUTE(Y13,CHAR(160),""))),0)),"Attention : montant présenté partiellement écarté",TRUE,""))</f>
        <v/>
      </c>
      <c r="BE13" s="44" t="str">
        <f t="shared" si="25"/>
        <v/>
      </c>
      <c r="BF13" s="44" t="str">
        <f t="shared" si="26"/>
        <v/>
      </c>
      <c r="BG13" s="21" t="str">
        <f t="shared" si="27"/>
        <v/>
      </c>
      <c r="BH13" s="46"/>
    </row>
    <row r="14" spans="1:60" ht="15" customHeight="1">
      <c r="A14" s="70">
        <v>5</v>
      </c>
      <c r="B14" s="784"/>
      <c r="C14" s="7"/>
      <c r="D14" s="161"/>
      <c r="E14" s="824"/>
      <c r="F14" s="160"/>
      <c r="G14" s="160"/>
      <c r="H14" s="7"/>
      <c r="I14" s="7"/>
      <c r="J14" s="17"/>
      <c r="K14" s="7"/>
      <c r="L14" s="132"/>
      <c r="M14" s="138"/>
      <c r="N14" s="8"/>
      <c r="O14" s="35" t="str">
        <f t="shared" si="0"/>
        <v/>
      </c>
      <c r="P14" s="9"/>
      <c r="Q14" s="8"/>
      <c r="R14" s="35" t="str">
        <f t="shared" si="1"/>
        <v/>
      </c>
      <c r="S14" s="10"/>
      <c r="T14" s="8"/>
      <c r="U14" s="139" t="str">
        <f t="shared" si="2"/>
        <v/>
      </c>
      <c r="V14" s="147"/>
      <c r="W14" s="770" t="str" cm="1">
        <f t="array" ref="W14">IF((_xlfn.IFS(TRIM(SUBSTITUTE(V14,CHAR(160),""))="Devis 1",IFERROR(VALUE(TRIM(SUBSTITUTE(M14,CHAR(160),""))),0),TRIM(SUBSTITUTE(V14,CHAR(160),""))="Devis 2",IFERROR(VALUE(TRIM(SUBSTITUTE(P14,CHAR(160),""))),0),TRIM(SUBSTITUTE(V14,CHAR(160),""))="Devis 3",IFERROR(VALUE(TRIM(SUBSTITUTE(S14,CHAR(160),""))),0),TRUE,0)*IFERROR(VALUE(TRIM(SUBSTITUTE(D14,CHAR(160),""))),0))=0,"",_xlfn.IFS(TRIM(SUBSTITUTE(V14,CHAR(160),""))="Devis 1",IFERROR(VALUE(TRIM(SUBSTITUTE(M14,CHAR(160),""))),0),TRIM(SUBSTITUTE(V14,CHAR(160),""))="Devis 2",IFERROR(VALUE(TRIM(SUBSTITUTE(P14,CHAR(160),""))),0),TRIM(SUBSTITUTE(V14,CHAR(160),""))="Devis 3",IFERROR(VALUE(TRIM(SUBSTITUTE(S14,CHAR(160),""))),0),TRUE,0)*IFERROR(VALUE(TRIM(SUBSTITUTE(D14,CHAR(160),""))),0))</f>
        <v/>
      </c>
      <c r="X14" s="73" t="str" cm="1">
        <f t="array" ref="X14">IF(_xlfn.IFS(TRIM(SUBSTITUTE(V14,CHAR(160),""))="Devis 1",IFERROR(VALUE(TRIM(SUBSTITUTE(N14,CHAR(160),""))),0),TRIM(SUBSTITUTE(V14,CHAR(160),""))="Devis 2",IFERROR(VALUE(TRIM(SUBSTITUTE(Q14,CHAR(160),""))),0),TRIM(SUBSTITUTE(V14,CHAR(160),""))="Devis 3",IFERROR(VALUE(TRIM(SUBSTITUTE(T14,CHAR(160),""))),0),TRUE,0)*IFERROR(VALUE(TRIM(SUBSTITUTE(D14,CHAR(160),""))),0)=0,IF(W14&lt;&gt;"",0,""),_xlfn.IFS(TRIM(SUBSTITUTE(V14,CHAR(160),""))="Devis 1",IFERROR(VALUE(TRIM(SUBSTITUTE(N14,CHAR(160),""))),0),TRIM(SUBSTITUTE(V14,CHAR(160),""))="Devis 2",IFERROR(VALUE(TRIM(SUBSTITUTE(Q14,CHAR(160),""))),0),TRIM(SUBSTITUTE(V14,CHAR(160),""))="Devis 3",IFERROR(VALUE(TRIM(SUBSTITUTE(T14,CHAR(160),""))),0),TRUE,0)*IFERROR(VALUE(TRIM(SUBSTITUTE(D14,CHAR(160),""))),0))</f>
        <v/>
      </c>
      <c r="Y14" s="149" t="str">
        <f t="shared" si="3"/>
        <v/>
      </c>
      <c r="Z14" s="150"/>
      <c r="AA14" s="36" t="str">
        <f t="shared" si="4"/>
        <v/>
      </c>
      <c r="AB14" s="37" t="str">
        <f t="shared" si="30"/>
        <v/>
      </c>
      <c r="AC14" s="37" t="str">
        <f t="shared" si="31"/>
        <v/>
      </c>
      <c r="AD14" s="14" t="str">
        <f t="shared" si="5"/>
        <v/>
      </c>
      <c r="AE14" s="14" t="str">
        <f t="shared" si="6"/>
        <v/>
      </c>
      <c r="AF14" s="14" t="str">
        <f t="shared" si="7"/>
        <v/>
      </c>
      <c r="AG14" s="14" t="str">
        <f t="shared" si="8"/>
        <v/>
      </c>
      <c r="AH14" s="38" t="str">
        <f t="shared" si="9"/>
        <v/>
      </c>
      <c r="AI14" s="14" t="str">
        <f t="shared" si="10"/>
        <v/>
      </c>
      <c r="AJ14" s="39" t="str">
        <f t="shared" si="11"/>
        <v/>
      </c>
      <c r="AK14" s="40" t="str">
        <f t="shared" si="12"/>
        <v/>
      </c>
      <c r="AL14" s="20" t="str">
        <f t="shared" si="13"/>
        <v/>
      </c>
      <c r="AM14" s="35" t="str">
        <f t="shared" si="14"/>
        <v/>
      </c>
      <c r="AN14" s="41" t="str">
        <f t="shared" si="15"/>
        <v/>
      </c>
      <c r="AO14" s="20" t="str">
        <f t="shared" si="16"/>
        <v/>
      </c>
      <c r="AP14" s="35" t="str">
        <f t="shared" si="17"/>
        <v/>
      </c>
      <c r="AQ14" s="42" t="str">
        <f t="shared" si="18"/>
        <v/>
      </c>
      <c r="AR14" s="20" t="str">
        <f t="shared" si="19"/>
        <v/>
      </c>
      <c r="AS14" s="43" t="str">
        <f t="shared" si="20"/>
        <v/>
      </c>
      <c r="AT14" s="36" t="str">
        <f t="shared" si="21"/>
        <v/>
      </c>
      <c r="AU14" s="184"/>
      <c r="AV14" s="44" t="str">
        <f t="shared" si="22"/>
        <v/>
      </c>
      <c r="AW14" s="44" t="str">
        <f t="shared" si="23"/>
        <v/>
      </c>
      <c r="AX14" s="44" t="str">
        <f t="shared" si="24"/>
        <v/>
      </c>
      <c r="AY14" s="74" t="str" cm="1">
        <f t="array" ref="AY14">IF($AB14="","",IF((IFERROR(_xlfn.IFS($AT14="Devis 1",(IFERROR(VALUE(TRIM(SUBSTITUTE(AK14,CHAR(160),""))),0)),$AT14="Devis 2",(IFERROR(VALUE(TRIM(SUBSTITUTE(AN14,CHAR(160),""))),0)),$AT14="Devis 3",(IFERROR(VALUE(TRIM(SUBSTITUTE(AQ14,CHAR(160),""))),0))),0))*(IFERROR(VALUE(TRIM(SUBSTITUTE($AB14,CHAR(160),""))),0))=0,"",(IFERROR(_xlfn.IFS($AT14="Devis 1",(IFERROR(VALUE(TRIM(SUBSTITUTE(AK14,CHAR(160),""))),0)),$AT14="Devis 2",(IFERROR(VALUE(TRIM(SUBSTITUTE(AN14,CHAR(160),""))),0)),$AT14="Devis 3",(IFERROR(VALUE(TRIM(SUBSTITUTE(AQ14,CHAR(160),""))),0))),0))*(IFERROR(VALUE(TRIM(SUBSTITUTE($AB14,CHAR(160),""))),0))))</f>
        <v/>
      </c>
      <c r="AZ14" s="74" t="str" cm="1">
        <f t="array" ref="AZ14">IF($AB14="","",IF((IFERROR(_xlfn.IFS(TRIM(SUBSTITUTE($AT14,CHAR(160),""))="Devis 1", IFERROR(VALUE(TRIM(SUBSTITUTE(AL14,CHAR(160),""))),0),TRIM(SUBSTITUTE($AT14,CHAR(160),""))="Devis 2", IFERROR(VALUE(TRIM(SUBSTITUTE(AO14,CHAR(160),""))),0),TRIM(SUBSTITUTE($AT14,CHAR(160),""))="Devis 3", IFERROR(VALUE(TRIM(SUBSTITUTE(AR14,CHAR(160),""))),0)),0) * IFERROR(VALUE(TRIM(SUBSTITUTE($AB14,CHAR(160),""))),0)) = 0,IF(AY14&lt;&gt;"",0,""),(IFERROR(_xlfn.IFS(TRIM(SUBSTITUTE($AT14,CHAR(160),""))="Devis 1", IFERROR(VALUE(TRIM(SUBSTITUTE(AL14,CHAR(160),""))),0),TRIM(SUBSTITUTE($AT14,CHAR(160),""))="Devis 2", IFERROR(VALUE(TRIM(SUBSTITUTE(AO14,CHAR(160),""))),0),TRIM(SUBSTITUTE($AT14,CHAR(160),""))="Devis 3", IFERROR(VALUE(TRIM(SUBSTITUTE(AR14,CHAR(160),""))),0)),0) * IFERROR(VALUE(TRIM(SUBSTITUTE($AB14,CHAR(160),""))),0))))</f>
        <v/>
      </c>
      <c r="BA14" s="74" t="str" cm="1">
        <f t="array" ref="BA14">IF($AB14="","",IF(IFERROR(_xlfn.IFS($AT14="Devis 1",IFERROR(VALUE(TRIM(SUBSTITUTE(AM14,CHAR(160),""))),0),$AT14="Devis 2",IFERROR(VALUE(TRIM(SUBSTITUTE(AP14,CHAR(160),""))),0),$AT14="Devis 3",IFERROR(VALUE(TRIM(SUBSTITUTE(AS14,CHAR(160),""))),0)),0)*IFERROR(VALUE(TRIM(SUBSTITUTE($AB14,CHAR(160),""))),0)=0,"",IFERROR(_xlfn.IFS($AT14="Devis 1",IFERROR(VALUE(TRIM(SUBSTITUTE(AM14,CHAR(160),""))),0),$AT14="Devis 2",IFERROR(VALUE(TRIM(SUBSTITUTE(AP14,CHAR(160),""))),0),$AT14="Devis 3",IFERROR(VALUE(TRIM(SUBSTITUTE(AS14,CHAR(160),""))),0)),0)*IFERROR(VALUE(TRIM(SUBSTITUTE($AB14,CHAR(160),""))),0)))</f>
        <v/>
      </c>
      <c r="BB14" s="45"/>
      <c r="BC14" s="13" t="str" cm="1">
        <f t="array" ref="BC14">IF(OR(BA14="",AX14="",AY14="",AV14="",AZ14="",AW14=""),"",_xlfn.IFS((IFERROR(VALUE(TRIM(SUBSTITUTE(BA14,CHAR(160),""))),0))&gt;(IFERROR(VALUE(TRIM(SUBSTITUTE(AX14,CHAR(160),""))),0)),"KO : Le montant retenu TTC est supérieur au montant raisonnable TTC. Merci de revoir la ligne de dépense ou plafonner son montant.",(IFERROR(VALUE(TRIM(SUBSTITUTE(AY14,CHAR(160),""))),0))&gt;(IFERROR(VALUE(TRIM(SUBSTITUTE(AV14,CHAR(160),""))),0)),"Attention : Le montant retenu HT est supérieur au montant HT raisonnable. Merci de revoir la ligne de dépense, plafonner son montant, ou justifier la reventillation HT / TVA.",(IFERROR(VALUE(TRIM(SUBSTITUTE(AZ14,CHAR(160),""))),0))&gt;(IFERROR(VALUE(TRIM(SUBSTITUTE(AW14,CHAR(160),""))),0)),"Attention : Le montant TVA retenu est supérieur au montant TVA raisonnable. Merci de revoir la ligne de dépense, plafonner son montant, ou justifier la reventillation HT / TVA.",(IFERROR(VALUE(TRIM(SUBSTITUTE(BA14,CHAR(160),""))),0))=0,"",(IFERROR(VALUE(TRIM(SUBSTITUTE(AX14,CHAR(160),""))),0))=(IFERROR(VALUE(TRIM(SUBSTITUTE(BA14,CHAR(160),""))),0)),"OK",(IFERROR(VALUE(TRIM(SUBSTITUTE(AX14,CHAR(160),""))),0))&gt;(IFERROR(VALUE(TRIM(SUBSTITUTE(BA14,CHAR(160),""))),0))," OK : Montant instruit inférieur au montant raisonnable.",TRUE,""))</f>
        <v/>
      </c>
      <c r="BD14" s="187" t="str" cm="1">
        <f t="array" ref="BD14">IF(OR(BA14="",Y14="",AY14="",W14="",AZ14="",X14=""),"",_xlfn.IFS((IFERROR(VALUE(TRIM(SUBSTITUTE(BA14,CHAR(160),""))),0))&gt;(IFERROR(VALUE(TRIM(SUBSTITUTE(Y14,CHAR(160),""))),0)),"KO : Le montant retenu TTC est supérieur au montant présenté TTC. Merci de revoir la ligne de dépense ou plafonner son montant.",(IFERROR(VALUE(TRIM(SUBSTITUTE(AY14,CHAR(160),""))),0))&gt;(IFERROR(VALUE(TRIM(SUBSTITUTE(W14,CHAR(160),""))),0)),"Attention : Le montant retenu HT est supérieur au montant HT présenté. Merci de revoir la ligne de dépense,plafonner son montant,ou justifier la reventillation HT/TVA.",(IFERROR(VALUE(TRIM(SUBSTITUTE(AZ14,CHAR(160),""))),0))&gt;(IFERROR(VALUE(TRIM(SUBSTITUTE(X14,CHAR(160),""))),0)),"Attention : Le montant TVA retenu est supérieur au montant TVA présenté. Merci de revoir la ligne de dépense,plafonner son montant,ou justifier la reventillation HT/TVA.",(IFERROR(VALUE(TRIM(SUBSTITUTE(Y14,CHAR(160),""))),0))=0,"",(IFERROR(VALUE(TRIM(SUBSTITUTE(BA14,CHAR(160),""))),0))=(IFERROR(VALUE(TRIM(SUBSTITUTE(Y14,CHAR(160),""))),0)),"OK",
OR((IFERROR(VALUE(TRIM(SUBSTITUTE(BA14,CHAR(160),""))),0))=0,(IFERROR(VALUE(TRIM(SUBSTITUTE(AY14,CHAR(160),""))),0))=0),"Attention : montant présenté entièrement écarté",(IFERROR(VALUE(TRIM(SUBSTITUTE(BA14,CHAR(160),""))),0))&lt;(IFERROR(VALUE(TRIM(SUBSTITUTE(Y14,CHAR(160),""))),0)),"Attention : montant présenté partiellement écarté",TRUE,""))</f>
        <v/>
      </c>
      <c r="BE14" s="44" t="str">
        <f t="shared" si="25"/>
        <v/>
      </c>
      <c r="BF14" s="44" t="str">
        <f t="shared" si="26"/>
        <v/>
      </c>
      <c r="BG14" s="21" t="str">
        <f t="shared" si="27"/>
        <v/>
      </c>
      <c r="BH14" s="46"/>
    </row>
    <row r="15" spans="1:60" ht="15" customHeight="1">
      <c r="A15" s="70">
        <v>6</v>
      </c>
      <c r="B15" s="784"/>
      <c r="C15" s="7"/>
      <c r="D15" s="11"/>
      <c r="E15" s="451"/>
      <c r="F15" s="7"/>
      <c r="G15" s="7"/>
      <c r="H15" s="7"/>
      <c r="I15" s="7"/>
      <c r="J15" s="17"/>
      <c r="K15" s="7"/>
      <c r="L15" s="132"/>
      <c r="M15" s="138"/>
      <c r="N15" s="8"/>
      <c r="O15" s="35" t="str">
        <f t="shared" si="0"/>
        <v/>
      </c>
      <c r="P15" s="9"/>
      <c r="Q15" s="8"/>
      <c r="R15" s="35" t="str">
        <f t="shared" si="1"/>
        <v/>
      </c>
      <c r="S15" s="10"/>
      <c r="T15" s="8"/>
      <c r="U15" s="139" t="str">
        <f t="shared" si="2"/>
        <v/>
      </c>
      <c r="V15" s="147"/>
      <c r="W15" s="770" t="str" cm="1">
        <f t="array" ref="W15">IF((_xlfn.IFS(TRIM(SUBSTITUTE(V15,CHAR(160),""))="Devis 1",IFERROR(VALUE(TRIM(SUBSTITUTE(M15,CHAR(160),""))),0),TRIM(SUBSTITUTE(V15,CHAR(160),""))="Devis 2",IFERROR(VALUE(TRIM(SUBSTITUTE(P15,CHAR(160),""))),0),TRIM(SUBSTITUTE(V15,CHAR(160),""))="Devis 3",IFERROR(VALUE(TRIM(SUBSTITUTE(S15,CHAR(160),""))),0),TRUE,0)*IFERROR(VALUE(TRIM(SUBSTITUTE(D15,CHAR(160),""))),0))=0,"",_xlfn.IFS(TRIM(SUBSTITUTE(V15,CHAR(160),""))="Devis 1",IFERROR(VALUE(TRIM(SUBSTITUTE(M15,CHAR(160),""))),0),TRIM(SUBSTITUTE(V15,CHAR(160),""))="Devis 2",IFERROR(VALUE(TRIM(SUBSTITUTE(P15,CHAR(160),""))),0),TRIM(SUBSTITUTE(V15,CHAR(160),""))="Devis 3",IFERROR(VALUE(TRIM(SUBSTITUTE(S15,CHAR(160),""))),0),TRUE,0)*IFERROR(VALUE(TRIM(SUBSTITUTE(D15,CHAR(160),""))),0))</f>
        <v/>
      </c>
      <c r="X15" s="73" t="str" cm="1">
        <f t="array" ref="X15">IF(_xlfn.IFS(TRIM(SUBSTITUTE(V15,CHAR(160),""))="Devis 1",IFERROR(VALUE(TRIM(SUBSTITUTE(N15,CHAR(160),""))),0),TRIM(SUBSTITUTE(V15,CHAR(160),""))="Devis 2",IFERROR(VALUE(TRIM(SUBSTITUTE(Q15,CHAR(160),""))),0),TRIM(SUBSTITUTE(V15,CHAR(160),""))="Devis 3",IFERROR(VALUE(TRIM(SUBSTITUTE(T15,CHAR(160),""))),0),TRUE,0)*IFERROR(VALUE(TRIM(SUBSTITUTE(D15,CHAR(160),""))),0)=0,IF(W15&lt;&gt;"",0,""),_xlfn.IFS(TRIM(SUBSTITUTE(V15,CHAR(160),""))="Devis 1",IFERROR(VALUE(TRIM(SUBSTITUTE(N15,CHAR(160),""))),0),TRIM(SUBSTITUTE(V15,CHAR(160),""))="Devis 2",IFERROR(VALUE(TRIM(SUBSTITUTE(Q15,CHAR(160),""))),0),TRIM(SUBSTITUTE(V15,CHAR(160),""))="Devis 3",IFERROR(VALUE(TRIM(SUBSTITUTE(T15,CHAR(160),""))),0),TRUE,0)*IFERROR(VALUE(TRIM(SUBSTITUTE(D15,CHAR(160),""))),0))</f>
        <v/>
      </c>
      <c r="Y15" s="149" t="str">
        <f t="shared" si="3"/>
        <v/>
      </c>
      <c r="Z15" s="150"/>
      <c r="AA15" s="36" t="str">
        <f t="shared" si="4"/>
        <v/>
      </c>
      <c r="AB15" s="37" t="str">
        <f t="shared" si="30"/>
        <v/>
      </c>
      <c r="AC15" s="37" t="str">
        <f t="shared" si="31"/>
        <v/>
      </c>
      <c r="AD15" s="14" t="str">
        <f t="shared" si="5"/>
        <v/>
      </c>
      <c r="AE15" s="14" t="str">
        <f t="shared" si="6"/>
        <v/>
      </c>
      <c r="AF15" s="14" t="str">
        <f t="shared" si="7"/>
        <v/>
      </c>
      <c r="AG15" s="14" t="str">
        <f t="shared" si="8"/>
        <v/>
      </c>
      <c r="AH15" s="38" t="str">
        <f t="shared" si="9"/>
        <v/>
      </c>
      <c r="AI15" s="14" t="str">
        <f t="shared" si="10"/>
        <v/>
      </c>
      <c r="AJ15" s="39" t="str">
        <f t="shared" si="11"/>
        <v/>
      </c>
      <c r="AK15" s="40" t="str">
        <f t="shared" si="12"/>
        <v/>
      </c>
      <c r="AL15" s="20" t="str">
        <f t="shared" si="13"/>
        <v/>
      </c>
      <c r="AM15" s="35" t="str">
        <f t="shared" si="14"/>
        <v/>
      </c>
      <c r="AN15" s="41" t="str">
        <f t="shared" si="15"/>
        <v/>
      </c>
      <c r="AO15" s="20" t="str">
        <f t="shared" si="16"/>
        <v/>
      </c>
      <c r="AP15" s="35" t="str">
        <f t="shared" si="17"/>
        <v/>
      </c>
      <c r="AQ15" s="42" t="str">
        <f t="shared" si="18"/>
        <v/>
      </c>
      <c r="AR15" s="20" t="str">
        <f t="shared" si="19"/>
        <v/>
      </c>
      <c r="AS15" s="43" t="str">
        <f t="shared" si="20"/>
        <v/>
      </c>
      <c r="AT15" s="36" t="str">
        <f t="shared" si="21"/>
        <v/>
      </c>
      <c r="AU15" s="184"/>
      <c r="AV15" s="44" t="str">
        <f t="shared" si="22"/>
        <v/>
      </c>
      <c r="AW15" s="44" t="str">
        <f t="shared" si="23"/>
        <v/>
      </c>
      <c r="AX15" s="44" t="str">
        <f t="shared" si="24"/>
        <v/>
      </c>
      <c r="AY15" s="74" t="str" cm="1">
        <f t="array" ref="AY15">IF($AB15="","",IF((IFERROR(_xlfn.IFS($AT15="Devis 1",(IFERROR(VALUE(TRIM(SUBSTITUTE(AK15,CHAR(160),""))),0)),$AT15="Devis 2",(IFERROR(VALUE(TRIM(SUBSTITUTE(AN15,CHAR(160),""))),0)),$AT15="Devis 3",(IFERROR(VALUE(TRIM(SUBSTITUTE(AQ15,CHAR(160),""))),0))),0))*(IFERROR(VALUE(TRIM(SUBSTITUTE($AB15,CHAR(160),""))),0))=0,"",(IFERROR(_xlfn.IFS($AT15="Devis 1",(IFERROR(VALUE(TRIM(SUBSTITUTE(AK15,CHAR(160),""))),0)),$AT15="Devis 2",(IFERROR(VALUE(TRIM(SUBSTITUTE(AN15,CHAR(160),""))),0)),$AT15="Devis 3",(IFERROR(VALUE(TRIM(SUBSTITUTE(AQ15,CHAR(160),""))),0))),0))*(IFERROR(VALUE(TRIM(SUBSTITUTE($AB15,CHAR(160),""))),0))))</f>
        <v/>
      </c>
      <c r="AZ15" s="74" t="str" cm="1">
        <f t="array" ref="AZ15">IF($AB15="","",IF((IFERROR(_xlfn.IFS(TRIM(SUBSTITUTE($AT15,CHAR(160),""))="Devis 1", IFERROR(VALUE(TRIM(SUBSTITUTE(AL15,CHAR(160),""))),0),TRIM(SUBSTITUTE($AT15,CHAR(160),""))="Devis 2", IFERROR(VALUE(TRIM(SUBSTITUTE(AO15,CHAR(160),""))),0),TRIM(SUBSTITUTE($AT15,CHAR(160),""))="Devis 3", IFERROR(VALUE(TRIM(SUBSTITUTE(AR15,CHAR(160),""))),0)),0) * IFERROR(VALUE(TRIM(SUBSTITUTE($AB15,CHAR(160),""))),0)) = 0,IF(AY15&lt;&gt;"",0,""),(IFERROR(_xlfn.IFS(TRIM(SUBSTITUTE($AT15,CHAR(160),""))="Devis 1", IFERROR(VALUE(TRIM(SUBSTITUTE(AL15,CHAR(160),""))),0),TRIM(SUBSTITUTE($AT15,CHAR(160),""))="Devis 2", IFERROR(VALUE(TRIM(SUBSTITUTE(AO15,CHAR(160),""))),0),TRIM(SUBSTITUTE($AT15,CHAR(160),""))="Devis 3", IFERROR(VALUE(TRIM(SUBSTITUTE(AR15,CHAR(160),""))),0)),0) * IFERROR(VALUE(TRIM(SUBSTITUTE($AB15,CHAR(160),""))),0))))</f>
        <v/>
      </c>
      <c r="BA15" s="74" t="str" cm="1">
        <f t="array" ref="BA15">IF($AB15="","",IF(IFERROR(_xlfn.IFS($AT15="Devis 1",IFERROR(VALUE(TRIM(SUBSTITUTE(AM15,CHAR(160),""))),0),$AT15="Devis 2",IFERROR(VALUE(TRIM(SUBSTITUTE(AP15,CHAR(160),""))),0),$AT15="Devis 3",IFERROR(VALUE(TRIM(SUBSTITUTE(AS15,CHAR(160),""))),0)),0)*IFERROR(VALUE(TRIM(SUBSTITUTE($AB15,CHAR(160),""))),0)=0,"",IFERROR(_xlfn.IFS($AT15="Devis 1",IFERROR(VALUE(TRIM(SUBSTITUTE(AM15,CHAR(160),""))),0),$AT15="Devis 2",IFERROR(VALUE(TRIM(SUBSTITUTE(AP15,CHAR(160),""))),0),$AT15="Devis 3",IFERROR(VALUE(TRIM(SUBSTITUTE(AS15,CHAR(160),""))),0)),0)*IFERROR(VALUE(TRIM(SUBSTITUTE($AB15,CHAR(160),""))),0)))</f>
        <v/>
      </c>
      <c r="BB15" s="45"/>
      <c r="BC15" s="13" t="str" cm="1">
        <f t="array" ref="BC15">IF(OR(BA15="",AX15="",AY15="",AV15="",AZ15="",AW15=""),"",_xlfn.IFS((IFERROR(VALUE(TRIM(SUBSTITUTE(BA15,CHAR(160),""))),0))&gt;(IFERROR(VALUE(TRIM(SUBSTITUTE(AX15,CHAR(160),""))),0)),"KO : Le montant retenu TTC est supérieur au montant raisonnable TTC. Merci de revoir la ligne de dépense ou plafonner son montant.",(IFERROR(VALUE(TRIM(SUBSTITUTE(AY15,CHAR(160),""))),0))&gt;(IFERROR(VALUE(TRIM(SUBSTITUTE(AV15,CHAR(160),""))),0)),"Attention : Le montant retenu HT est supérieur au montant HT raisonnable. Merci de revoir la ligne de dépense, plafonner son montant, ou justifier la reventillation HT / TVA.",(IFERROR(VALUE(TRIM(SUBSTITUTE(AZ15,CHAR(160),""))),0))&gt;(IFERROR(VALUE(TRIM(SUBSTITUTE(AW15,CHAR(160),""))),0)),"Attention : Le montant TVA retenu est supérieur au montant TVA raisonnable. Merci de revoir la ligne de dépense, plafonner son montant, ou justifier la reventillation HT / TVA.",(IFERROR(VALUE(TRIM(SUBSTITUTE(BA15,CHAR(160),""))),0))=0,"",(IFERROR(VALUE(TRIM(SUBSTITUTE(AX15,CHAR(160),""))),0))=(IFERROR(VALUE(TRIM(SUBSTITUTE(BA15,CHAR(160),""))),0)),"OK",(IFERROR(VALUE(TRIM(SUBSTITUTE(AX15,CHAR(160),""))),0))&gt;(IFERROR(VALUE(TRIM(SUBSTITUTE(BA15,CHAR(160),""))),0))," OK : Montant instruit inférieur au montant raisonnable.",TRUE,""))</f>
        <v/>
      </c>
      <c r="BD15" s="187" t="str" cm="1">
        <f t="array" ref="BD15">IF(OR(BA15="",Y15="",AY15="",W15="",AZ15="",X15=""),"",_xlfn.IFS((IFERROR(VALUE(TRIM(SUBSTITUTE(BA15,CHAR(160),""))),0))&gt;(IFERROR(VALUE(TRIM(SUBSTITUTE(Y15,CHAR(160),""))),0)),"KO : Le montant retenu TTC est supérieur au montant présenté TTC. Merci de revoir la ligne de dépense ou plafonner son montant.",(IFERROR(VALUE(TRIM(SUBSTITUTE(AY15,CHAR(160),""))),0))&gt;(IFERROR(VALUE(TRIM(SUBSTITUTE(W15,CHAR(160),""))),0)),"Attention : Le montant retenu HT est supérieur au montant HT présenté. Merci de revoir la ligne de dépense,plafonner son montant,ou justifier la reventillation HT/TVA.",(IFERROR(VALUE(TRIM(SUBSTITUTE(AZ15,CHAR(160),""))),0))&gt;(IFERROR(VALUE(TRIM(SUBSTITUTE(X15,CHAR(160),""))),0)),"Attention : Le montant TVA retenu est supérieur au montant TVA présenté. Merci de revoir la ligne de dépense,plafonner son montant,ou justifier la reventillation HT/TVA.",(IFERROR(VALUE(TRIM(SUBSTITUTE(Y15,CHAR(160),""))),0))=0,"",(IFERROR(VALUE(TRIM(SUBSTITUTE(BA15,CHAR(160),""))),0))=(IFERROR(VALUE(TRIM(SUBSTITUTE(Y15,CHAR(160),""))),0)),"OK",
OR((IFERROR(VALUE(TRIM(SUBSTITUTE(BA15,CHAR(160),""))),0))=0,(IFERROR(VALUE(TRIM(SUBSTITUTE(AY15,CHAR(160),""))),0))=0),"Attention : montant présenté entièrement écarté",(IFERROR(VALUE(TRIM(SUBSTITUTE(BA15,CHAR(160),""))),0))&lt;(IFERROR(VALUE(TRIM(SUBSTITUTE(Y15,CHAR(160),""))),0)),"Attention : montant présenté partiellement écarté",TRUE,""))</f>
        <v/>
      </c>
      <c r="BE15" s="44" t="str">
        <f t="shared" si="25"/>
        <v/>
      </c>
      <c r="BF15" s="44" t="str">
        <f t="shared" si="26"/>
        <v/>
      </c>
      <c r="BG15" s="21" t="str">
        <f t="shared" si="27"/>
        <v/>
      </c>
      <c r="BH15" s="46"/>
    </row>
    <row r="16" spans="1:60" ht="15" customHeight="1">
      <c r="A16" s="70">
        <v>7</v>
      </c>
      <c r="B16" s="784"/>
      <c r="C16" s="7"/>
      <c r="D16" s="11"/>
      <c r="E16" s="451"/>
      <c r="F16" s="7"/>
      <c r="G16" s="7"/>
      <c r="H16" s="7"/>
      <c r="I16" s="7"/>
      <c r="J16" s="17"/>
      <c r="K16" s="7"/>
      <c r="L16" s="132"/>
      <c r="M16" s="138"/>
      <c r="N16" s="8"/>
      <c r="O16" s="35" t="str">
        <f t="shared" si="0"/>
        <v/>
      </c>
      <c r="P16" s="9"/>
      <c r="Q16" s="8"/>
      <c r="R16" s="35" t="str">
        <f t="shared" si="1"/>
        <v/>
      </c>
      <c r="S16" s="10"/>
      <c r="T16" s="8"/>
      <c r="U16" s="139" t="str">
        <f t="shared" si="2"/>
        <v/>
      </c>
      <c r="V16" s="147"/>
      <c r="W16" s="770" t="str" cm="1">
        <f t="array" ref="W16">IF((_xlfn.IFS(TRIM(SUBSTITUTE(V16,CHAR(160),""))="Devis 1",IFERROR(VALUE(TRIM(SUBSTITUTE(M16,CHAR(160),""))),0),TRIM(SUBSTITUTE(V16,CHAR(160),""))="Devis 2",IFERROR(VALUE(TRIM(SUBSTITUTE(P16,CHAR(160),""))),0),TRIM(SUBSTITUTE(V16,CHAR(160),""))="Devis 3",IFERROR(VALUE(TRIM(SUBSTITUTE(S16,CHAR(160),""))),0),TRUE,0)*IFERROR(VALUE(TRIM(SUBSTITUTE(D16,CHAR(160),""))),0))=0,"",_xlfn.IFS(TRIM(SUBSTITUTE(V16,CHAR(160),""))="Devis 1",IFERROR(VALUE(TRIM(SUBSTITUTE(M16,CHAR(160),""))),0),TRIM(SUBSTITUTE(V16,CHAR(160),""))="Devis 2",IFERROR(VALUE(TRIM(SUBSTITUTE(P16,CHAR(160),""))),0),TRIM(SUBSTITUTE(V16,CHAR(160),""))="Devis 3",IFERROR(VALUE(TRIM(SUBSTITUTE(S16,CHAR(160),""))),0),TRUE,0)*IFERROR(VALUE(TRIM(SUBSTITUTE(D16,CHAR(160),""))),0))</f>
        <v/>
      </c>
      <c r="X16" s="73" t="str" cm="1">
        <f t="array" ref="X16">IF(_xlfn.IFS(TRIM(SUBSTITUTE(V16,CHAR(160),""))="Devis 1",IFERROR(VALUE(TRIM(SUBSTITUTE(N16,CHAR(160),""))),0),TRIM(SUBSTITUTE(V16,CHAR(160),""))="Devis 2",IFERROR(VALUE(TRIM(SUBSTITUTE(Q16,CHAR(160),""))),0),TRIM(SUBSTITUTE(V16,CHAR(160),""))="Devis 3",IFERROR(VALUE(TRIM(SUBSTITUTE(T16,CHAR(160),""))),0),TRUE,0)*IFERROR(VALUE(TRIM(SUBSTITUTE(D16,CHAR(160),""))),0)=0,IF(W16&lt;&gt;"",0,""),_xlfn.IFS(TRIM(SUBSTITUTE(V16,CHAR(160),""))="Devis 1",IFERROR(VALUE(TRIM(SUBSTITUTE(N16,CHAR(160),""))),0),TRIM(SUBSTITUTE(V16,CHAR(160),""))="Devis 2",IFERROR(VALUE(TRIM(SUBSTITUTE(Q16,CHAR(160),""))),0),TRIM(SUBSTITUTE(V16,CHAR(160),""))="Devis 3",IFERROR(VALUE(TRIM(SUBSTITUTE(T16,CHAR(160),""))),0),TRUE,0)*IFERROR(VALUE(TRIM(SUBSTITUTE(D16,CHAR(160),""))),0))</f>
        <v/>
      </c>
      <c r="Y16" s="149" t="str">
        <f t="shared" si="3"/>
        <v/>
      </c>
      <c r="Z16" s="150"/>
      <c r="AA16" s="36" t="str">
        <f t="shared" si="4"/>
        <v/>
      </c>
      <c r="AB16" s="37" t="str">
        <f t="shared" si="30"/>
        <v/>
      </c>
      <c r="AC16" s="37" t="str">
        <f t="shared" si="31"/>
        <v/>
      </c>
      <c r="AD16" s="14" t="str">
        <f t="shared" si="5"/>
        <v/>
      </c>
      <c r="AE16" s="14" t="str">
        <f t="shared" si="6"/>
        <v/>
      </c>
      <c r="AF16" s="14" t="str">
        <f t="shared" si="7"/>
        <v/>
      </c>
      <c r="AG16" s="14" t="str">
        <f t="shared" si="8"/>
        <v/>
      </c>
      <c r="AH16" s="38" t="str">
        <f t="shared" si="9"/>
        <v/>
      </c>
      <c r="AI16" s="14" t="str">
        <f t="shared" si="10"/>
        <v/>
      </c>
      <c r="AJ16" s="39" t="str">
        <f t="shared" si="11"/>
        <v/>
      </c>
      <c r="AK16" s="40" t="str">
        <f t="shared" si="12"/>
        <v/>
      </c>
      <c r="AL16" s="20" t="str">
        <f t="shared" si="13"/>
        <v/>
      </c>
      <c r="AM16" s="35" t="str">
        <f t="shared" si="14"/>
        <v/>
      </c>
      <c r="AN16" s="41" t="str">
        <f t="shared" si="15"/>
        <v/>
      </c>
      <c r="AO16" s="20" t="str">
        <f t="shared" si="16"/>
        <v/>
      </c>
      <c r="AP16" s="35" t="str">
        <f t="shared" si="17"/>
        <v/>
      </c>
      <c r="AQ16" s="42" t="str">
        <f t="shared" si="18"/>
        <v/>
      </c>
      <c r="AR16" s="20" t="str">
        <f t="shared" si="19"/>
        <v/>
      </c>
      <c r="AS16" s="43" t="str">
        <f t="shared" si="20"/>
        <v/>
      </c>
      <c r="AT16" s="36" t="str">
        <f t="shared" si="21"/>
        <v/>
      </c>
      <c r="AU16" s="184"/>
      <c r="AV16" s="44" t="str">
        <f t="shared" si="22"/>
        <v/>
      </c>
      <c r="AW16" s="44" t="str">
        <f t="shared" si="23"/>
        <v/>
      </c>
      <c r="AX16" s="44" t="str">
        <f t="shared" si="24"/>
        <v/>
      </c>
      <c r="AY16" s="74" t="str" cm="1">
        <f t="array" ref="AY16">IF($AB16="","",IF((IFERROR(_xlfn.IFS($AT16="Devis 1",(IFERROR(VALUE(TRIM(SUBSTITUTE(AK16,CHAR(160),""))),0)),$AT16="Devis 2",(IFERROR(VALUE(TRIM(SUBSTITUTE(AN16,CHAR(160),""))),0)),$AT16="Devis 3",(IFERROR(VALUE(TRIM(SUBSTITUTE(AQ16,CHAR(160),""))),0))),0))*(IFERROR(VALUE(TRIM(SUBSTITUTE($AB16,CHAR(160),""))),0))=0,"",(IFERROR(_xlfn.IFS($AT16="Devis 1",(IFERROR(VALUE(TRIM(SUBSTITUTE(AK16,CHAR(160),""))),0)),$AT16="Devis 2",(IFERROR(VALUE(TRIM(SUBSTITUTE(AN16,CHAR(160),""))),0)),$AT16="Devis 3",(IFERROR(VALUE(TRIM(SUBSTITUTE(AQ16,CHAR(160),""))),0))),0))*(IFERROR(VALUE(TRIM(SUBSTITUTE($AB16,CHAR(160),""))),0))))</f>
        <v/>
      </c>
      <c r="AZ16" s="74" t="str" cm="1">
        <f t="array" ref="AZ16">IF($AB16="","",IF((IFERROR(_xlfn.IFS(TRIM(SUBSTITUTE($AT16,CHAR(160),""))="Devis 1", IFERROR(VALUE(TRIM(SUBSTITUTE(AL16,CHAR(160),""))),0),TRIM(SUBSTITUTE($AT16,CHAR(160),""))="Devis 2", IFERROR(VALUE(TRIM(SUBSTITUTE(AO16,CHAR(160),""))),0),TRIM(SUBSTITUTE($AT16,CHAR(160),""))="Devis 3", IFERROR(VALUE(TRIM(SUBSTITUTE(AR16,CHAR(160),""))),0)),0) * IFERROR(VALUE(TRIM(SUBSTITUTE($AB16,CHAR(160),""))),0)) = 0,IF(AY16&lt;&gt;"",0,""),(IFERROR(_xlfn.IFS(TRIM(SUBSTITUTE($AT16,CHAR(160),""))="Devis 1", IFERROR(VALUE(TRIM(SUBSTITUTE(AL16,CHAR(160),""))),0),TRIM(SUBSTITUTE($AT16,CHAR(160),""))="Devis 2", IFERROR(VALUE(TRIM(SUBSTITUTE(AO16,CHAR(160),""))),0),TRIM(SUBSTITUTE($AT16,CHAR(160),""))="Devis 3", IFERROR(VALUE(TRIM(SUBSTITUTE(AR16,CHAR(160),""))),0)),0) * IFERROR(VALUE(TRIM(SUBSTITUTE($AB16,CHAR(160),""))),0))))</f>
        <v/>
      </c>
      <c r="BA16" s="74" t="str" cm="1">
        <f t="array" ref="BA16">IF($AB16="","",IF(IFERROR(_xlfn.IFS($AT16="Devis 1",IFERROR(VALUE(TRIM(SUBSTITUTE(AM16,CHAR(160),""))),0),$AT16="Devis 2",IFERROR(VALUE(TRIM(SUBSTITUTE(AP16,CHAR(160),""))),0),$AT16="Devis 3",IFERROR(VALUE(TRIM(SUBSTITUTE(AS16,CHAR(160),""))),0)),0)*IFERROR(VALUE(TRIM(SUBSTITUTE($AB16,CHAR(160),""))),0)=0,"",IFERROR(_xlfn.IFS($AT16="Devis 1",IFERROR(VALUE(TRIM(SUBSTITUTE(AM16,CHAR(160),""))),0),$AT16="Devis 2",IFERROR(VALUE(TRIM(SUBSTITUTE(AP16,CHAR(160),""))),0),$AT16="Devis 3",IFERROR(VALUE(TRIM(SUBSTITUTE(AS16,CHAR(160),""))),0)),0)*IFERROR(VALUE(TRIM(SUBSTITUTE($AB16,CHAR(160),""))),0)))</f>
        <v/>
      </c>
      <c r="BB16" s="45"/>
      <c r="BC16" s="13" t="str" cm="1">
        <f t="array" ref="BC16">IF(OR(BA16="",AX16="",AY16="",AV16="",AZ16="",AW16=""),"",_xlfn.IFS((IFERROR(VALUE(TRIM(SUBSTITUTE(BA16,CHAR(160),""))),0))&gt;(IFERROR(VALUE(TRIM(SUBSTITUTE(AX16,CHAR(160),""))),0)),"KO : Le montant retenu TTC est supérieur au montant raisonnable TTC. Merci de revoir la ligne de dépense ou plafonner son montant.",(IFERROR(VALUE(TRIM(SUBSTITUTE(AY16,CHAR(160),""))),0))&gt;(IFERROR(VALUE(TRIM(SUBSTITUTE(AV16,CHAR(160),""))),0)),"Attention : Le montant retenu HT est supérieur au montant HT raisonnable. Merci de revoir la ligne de dépense, plafonner son montant, ou justifier la reventillation HT / TVA.",(IFERROR(VALUE(TRIM(SUBSTITUTE(AZ16,CHAR(160),""))),0))&gt;(IFERROR(VALUE(TRIM(SUBSTITUTE(AW16,CHAR(160),""))),0)),"Attention : Le montant TVA retenu est supérieur au montant TVA raisonnable. Merci de revoir la ligne de dépense, plafonner son montant, ou justifier la reventillation HT / TVA.",(IFERROR(VALUE(TRIM(SUBSTITUTE(BA16,CHAR(160),""))),0))=0,"",(IFERROR(VALUE(TRIM(SUBSTITUTE(AX16,CHAR(160),""))),0))=(IFERROR(VALUE(TRIM(SUBSTITUTE(BA16,CHAR(160),""))),0)),"OK",(IFERROR(VALUE(TRIM(SUBSTITUTE(AX16,CHAR(160),""))),0))&gt;(IFERROR(VALUE(TRIM(SUBSTITUTE(BA16,CHAR(160),""))),0))," OK : Montant instruit inférieur au montant raisonnable.",TRUE,""))</f>
        <v/>
      </c>
      <c r="BD16" s="187" t="str" cm="1">
        <f t="array" ref="BD16">IF(OR(BA16="",Y16="",AY16="",W16="",AZ16="",X16=""),"",_xlfn.IFS((IFERROR(VALUE(TRIM(SUBSTITUTE(BA16,CHAR(160),""))),0))&gt;(IFERROR(VALUE(TRIM(SUBSTITUTE(Y16,CHAR(160),""))),0)),"KO : Le montant retenu TTC est supérieur au montant présenté TTC. Merci de revoir la ligne de dépense ou plafonner son montant.",(IFERROR(VALUE(TRIM(SUBSTITUTE(AY16,CHAR(160),""))),0))&gt;(IFERROR(VALUE(TRIM(SUBSTITUTE(W16,CHAR(160),""))),0)),"Attention : Le montant retenu HT est supérieur au montant HT présenté. Merci de revoir la ligne de dépense,plafonner son montant,ou justifier la reventillation HT/TVA.",(IFERROR(VALUE(TRIM(SUBSTITUTE(AZ16,CHAR(160),""))),0))&gt;(IFERROR(VALUE(TRIM(SUBSTITUTE(X16,CHAR(160),""))),0)),"Attention : Le montant TVA retenu est supérieur au montant TVA présenté. Merci de revoir la ligne de dépense,plafonner son montant,ou justifier la reventillation HT/TVA.",(IFERROR(VALUE(TRIM(SUBSTITUTE(Y16,CHAR(160),""))),0))=0,"",(IFERROR(VALUE(TRIM(SUBSTITUTE(BA16,CHAR(160),""))),0))=(IFERROR(VALUE(TRIM(SUBSTITUTE(Y16,CHAR(160),""))),0)),"OK",
OR((IFERROR(VALUE(TRIM(SUBSTITUTE(BA16,CHAR(160),""))),0))=0,(IFERROR(VALUE(TRIM(SUBSTITUTE(AY16,CHAR(160),""))),0))=0),"Attention : montant présenté entièrement écarté",(IFERROR(VALUE(TRIM(SUBSTITUTE(BA16,CHAR(160),""))),0))&lt;(IFERROR(VALUE(TRIM(SUBSTITUTE(Y16,CHAR(160),""))),0)),"Attention : montant présenté partiellement écarté",TRUE,""))</f>
        <v/>
      </c>
      <c r="BE16" s="44" t="str">
        <f t="shared" si="25"/>
        <v/>
      </c>
      <c r="BF16" s="44" t="str">
        <f t="shared" si="26"/>
        <v/>
      </c>
      <c r="BG16" s="21" t="str">
        <f t="shared" si="27"/>
        <v/>
      </c>
      <c r="BH16" s="46"/>
    </row>
    <row r="17" spans="1:60" ht="15" customHeight="1">
      <c r="A17" s="70">
        <v>8</v>
      </c>
      <c r="B17" s="784"/>
      <c r="C17" s="7"/>
      <c r="D17" s="11"/>
      <c r="E17" s="451"/>
      <c r="F17" s="7"/>
      <c r="G17" s="7"/>
      <c r="H17" s="7"/>
      <c r="I17" s="7"/>
      <c r="J17" s="17"/>
      <c r="K17" s="7"/>
      <c r="L17" s="132"/>
      <c r="M17" s="138"/>
      <c r="N17" s="8"/>
      <c r="O17" s="35" t="str">
        <f t="shared" si="0"/>
        <v/>
      </c>
      <c r="P17" s="9"/>
      <c r="Q17" s="8"/>
      <c r="R17" s="35" t="str">
        <f t="shared" si="1"/>
        <v/>
      </c>
      <c r="S17" s="10"/>
      <c r="T17" s="8"/>
      <c r="U17" s="139" t="str">
        <f t="shared" si="2"/>
        <v/>
      </c>
      <c r="V17" s="147"/>
      <c r="W17" s="770" t="str" cm="1">
        <f t="array" ref="W17">IF((_xlfn.IFS(TRIM(SUBSTITUTE(V17,CHAR(160),""))="Devis 1",IFERROR(VALUE(TRIM(SUBSTITUTE(M17,CHAR(160),""))),0),TRIM(SUBSTITUTE(V17,CHAR(160),""))="Devis 2",IFERROR(VALUE(TRIM(SUBSTITUTE(P17,CHAR(160),""))),0),TRIM(SUBSTITUTE(V17,CHAR(160),""))="Devis 3",IFERROR(VALUE(TRIM(SUBSTITUTE(S17,CHAR(160),""))),0),TRUE,0)*IFERROR(VALUE(TRIM(SUBSTITUTE(D17,CHAR(160),""))),0))=0,"",_xlfn.IFS(TRIM(SUBSTITUTE(V17,CHAR(160),""))="Devis 1",IFERROR(VALUE(TRIM(SUBSTITUTE(M17,CHAR(160),""))),0),TRIM(SUBSTITUTE(V17,CHAR(160),""))="Devis 2",IFERROR(VALUE(TRIM(SUBSTITUTE(P17,CHAR(160),""))),0),TRIM(SUBSTITUTE(V17,CHAR(160),""))="Devis 3",IFERROR(VALUE(TRIM(SUBSTITUTE(S17,CHAR(160),""))),0),TRUE,0)*IFERROR(VALUE(TRIM(SUBSTITUTE(D17,CHAR(160),""))),0))</f>
        <v/>
      </c>
      <c r="X17" s="73" t="str" cm="1">
        <f t="array" ref="X17">IF(_xlfn.IFS(TRIM(SUBSTITUTE(V17,CHAR(160),""))="Devis 1",IFERROR(VALUE(TRIM(SUBSTITUTE(N17,CHAR(160),""))),0),TRIM(SUBSTITUTE(V17,CHAR(160),""))="Devis 2",IFERROR(VALUE(TRIM(SUBSTITUTE(Q17,CHAR(160),""))),0),TRIM(SUBSTITUTE(V17,CHAR(160),""))="Devis 3",IFERROR(VALUE(TRIM(SUBSTITUTE(T17,CHAR(160),""))),0),TRUE,0)*IFERROR(VALUE(TRIM(SUBSTITUTE(D17,CHAR(160),""))),0)=0,IF(W17&lt;&gt;"",0,""),_xlfn.IFS(TRIM(SUBSTITUTE(V17,CHAR(160),""))="Devis 1",IFERROR(VALUE(TRIM(SUBSTITUTE(N17,CHAR(160),""))),0),TRIM(SUBSTITUTE(V17,CHAR(160),""))="Devis 2",IFERROR(VALUE(TRIM(SUBSTITUTE(Q17,CHAR(160),""))),0),TRIM(SUBSTITUTE(V17,CHAR(160),""))="Devis 3",IFERROR(VALUE(TRIM(SUBSTITUTE(T17,CHAR(160),""))),0),TRUE,0)*IFERROR(VALUE(TRIM(SUBSTITUTE(D17,CHAR(160),""))),0))</f>
        <v/>
      </c>
      <c r="Y17" s="149" t="str">
        <f t="shared" si="3"/>
        <v/>
      </c>
      <c r="Z17" s="150"/>
      <c r="AA17" s="36" t="str">
        <f t="shared" si="4"/>
        <v/>
      </c>
      <c r="AB17" s="37" t="str">
        <f t="shared" si="30"/>
        <v/>
      </c>
      <c r="AC17" s="37" t="str">
        <f t="shared" si="31"/>
        <v/>
      </c>
      <c r="AD17" s="14" t="str">
        <f t="shared" si="5"/>
        <v/>
      </c>
      <c r="AE17" s="14" t="str">
        <f t="shared" si="6"/>
        <v/>
      </c>
      <c r="AF17" s="14" t="str">
        <f t="shared" si="7"/>
        <v/>
      </c>
      <c r="AG17" s="14" t="str">
        <f t="shared" si="8"/>
        <v/>
      </c>
      <c r="AH17" s="38" t="str">
        <f t="shared" si="9"/>
        <v/>
      </c>
      <c r="AI17" s="14" t="str">
        <f t="shared" si="10"/>
        <v/>
      </c>
      <c r="AJ17" s="39" t="str">
        <f t="shared" si="11"/>
        <v/>
      </c>
      <c r="AK17" s="40" t="str">
        <f t="shared" si="12"/>
        <v/>
      </c>
      <c r="AL17" s="20" t="str">
        <f t="shared" si="13"/>
        <v/>
      </c>
      <c r="AM17" s="35" t="str">
        <f t="shared" si="14"/>
        <v/>
      </c>
      <c r="AN17" s="41" t="str">
        <f t="shared" si="15"/>
        <v/>
      </c>
      <c r="AO17" s="20" t="str">
        <f t="shared" si="16"/>
        <v/>
      </c>
      <c r="AP17" s="35" t="str">
        <f t="shared" si="17"/>
        <v/>
      </c>
      <c r="AQ17" s="42" t="str">
        <f t="shared" si="18"/>
        <v/>
      </c>
      <c r="AR17" s="20" t="str">
        <f t="shared" si="19"/>
        <v/>
      </c>
      <c r="AS17" s="43" t="str">
        <f t="shared" si="20"/>
        <v/>
      </c>
      <c r="AT17" s="36" t="str">
        <f t="shared" si="21"/>
        <v/>
      </c>
      <c r="AU17" s="184"/>
      <c r="AV17" s="44" t="str">
        <f t="shared" si="22"/>
        <v/>
      </c>
      <c r="AW17" s="44" t="str">
        <f t="shared" si="23"/>
        <v/>
      </c>
      <c r="AX17" s="44" t="str">
        <f t="shared" si="24"/>
        <v/>
      </c>
      <c r="AY17" s="74" t="str" cm="1">
        <f t="array" ref="AY17">IF($AB17="","",IF((IFERROR(_xlfn.IFS($AT17="Devis 1",(IFERROR(VALUE(TRIM(SUBSTITUTE(AK17,CHAR(160),""))),0)),$AT17="Devis 2",(IFERROR(VALUE(TRIM(SUBSTITUTE(AN17,CHAR(160),""))),0)),$AT17="Devis 3",(IFERROR(VALUE(TRIM(SUBSTITUTE(AQ17,CHAR(160),""))),0))),0))*(IFERROR(VALUE(TRIM(SUBSTITUTE($AB17,CHAR(160),""))),0))=0,"",(IFERROR(_xlfn.IFS($AT17="Devis 1",(IFERROR(VALUE(TRIM(SUBSTITUTE(AK17,CHAR(160),""))),0)),$AT17="Devis 2",(IFERROR(VALUE(TRIM(SUBSTITUTE(AN17,CHAR(160),""))),0)),$AT17="Devis 3",(IFERROR(VALUE(TRIM(SUBSTITUTE(AQ17,CHAR(160),""))),0))),0))*(IFERROR(VALUE(TRIM(SUBSTITUTE($AB17,CHAR(160),""))),0))))</f>
        <v/>
      </c>
      <c r="AZ17" s="74" t="str" cm="1">
        <f t="array" ref="AZ17">IF($AB17="","",IF((IFERROR(_xlfn.IFS(TRIM(SUBSTITUTE($AT17,CHAR(160),""))="Devis 1", IFERROR(VALUE(TRIM(SUBSTITUTE(AL17,CHAR(160),""))),0),TRIM(SUBSTITUTE($AT17,CHAR(160),""))="Devis 2", IFERROR(VALUE(TRIM(SUBSTITUTE(AO17,CHAR(160),""))),0),TRIM(SUBSTITUTE($AT17,CHAR(160),""))="Devis 3", IFERROR(VALUE(TRIM(SUBSTITUTE(AR17,CHAR(160),""))),0)),0) * IFERROR(VALUE(TRIM(SUBSTITUTE($AB17,CHAR(160),""))),0)) = 0,IF(AY17&lt;&gt;"",0,""),(IFERROR(_xlfn.IFS(TRIM(SUBSTITUTE($AT17,CHAR(160),""))="Devis 1", IFERROR(VALUE(TRIM(SUBSTITUTE(AL17,CHAR(160),""))),0),TRIM(SUBSTITUTE($AT17,CHAR(160),""))="Devis 2", IFERROR(VALUE(TRIM(SUBSTITUTE(AO17,CHAR(160),""))),0),TRIM(SUBSTITUTE($AT17,CHAR(160),""))="Devis 3", IFERROR(VALUE(TRIM(SUBSTITUTE(AR17,CHAR(160),""))),0)),0) * IFERROR(VALUE(TRIM(SUBSTITUTE($AB17,CHAR(160),""))),0))))</f>
        <v/>
      </c>
      <c r="BA17" s="74" t="str" cm="1">
        <f t="array" ref="BA17">IF($AB17="","",IF(IFERROR(_xlfn.IFS($AT17="Devis 1",IFERROR(VALUE(TRIM(SUBSTITUTE(AM17,CHAR(160),""))),0),$AT17="Devis 2",IFERROR(VALUE(TRIM(SUBSTITUTE(AP17,CHAR(160),""))),0),$AT17="Devis 3",IFERROR(VALUE(TRIM(SUBSTITUTE(AS17,CHAR(160),""))),0)),0)*IFERROR(VALUE(TRIM(SUBSTITUTE($AB17,CHAR(160),""))),0)=0,"",IFERROR(_xlfn.IFS($AT17="Devis 1",IFERROR(VALUE(TRIM(SUBSTITUTE(AM17,CHAR(160),""))),0),$AT17="Devis 2",IFERROR(VALUE(TRIM(SUBSTITUTE(AP17,CHAR(160),""))),0),$AT17="Devis 3",IFERROR(VALUE(TRIM(SUBSTITUTE(AS17,CHAR(160),""))),0)),0)*IFERROR(VALUE(TRIM(SUBSTITUTE($AB17,CHAR(160),""))),0)))</f>
        <v/>
      </c>
      <c r="BB17" s="45"/>
      <c r="BC17" s="13" t="str" cm="1">
        <f t="array" ref="BC17">IF(OR(BA17="",AX17="",AY17="",AV17="",AZ17="",AW17=""),"",_xlfn.IFS((IFERROR(VALUE(TRIM(SUBSTITUTE(BA17,CHAR(160),""))),0))&gt;(IFERROR(VALUE(TRIM(SUBSTITUTE(AX17,CHAR(160),""))),0)),"KO : Le montant retenu TTC est supérieur au montant raisonnable TTC. Merci de revoir la ligne de dépense ou plafonner son montant.",(IFERROR(VALUE(TRIM(SUBSTITUTE(AY17,CHAR(160),""))),0))&gt;(IFERROR(VALUE(TRIM(SUBSTITUTE(AV17,CHAR(160),""))),0)),"Attention : Le montant retenu HT est supérieur au montant HT raisonnable. Merci de revoir la ligne de dépense, plafonner son montant, ou justifier la reventillation HT / TVA.",(IFERROR(VALUE(TRIM(SUBSTITUTE(AZ17,CHAR(160),""))),0))&gt;(IFERROR(VALUE(TRIM(SUBSTITUTE(AW17,CHAR(160),""))),0)),"Attention : Le montant TVA retenu est supérieur au montant TVA raisonnable. Merci de revoir la ligne de dépense, plafonner son montant, ou justifier la reventillation HT / TVA.",(IFERROR(VALUE(TRIM(SUBSTITUTE(BA17,CHAR(160),""))),0))=0,"",(IFERROR(VALUE(TRIM(SUBSTITUTE(AX17,CHAR(160),""))),0))=(IFERROR(VALUE(TRIM(SUBSTITUTE(BA17,CHAR(160),""))),0)),"OK",(IFERROR(VALUE(TRIM(SUBSTITUTE(AX17,CHAR(160),""))),0))&gt;(IFERROR(VALUE(TRIM(SUBSTITUTE(BA17,CHAR(160),""))),0))," OK : Montant instruit inférieur au montant raisonnable.",TRUE,""))</f>
        <v/>
      </c>
      <c r="BD17" s="187" t="str" cm="1">
        <f t="array" ref="BD17">IF(OR(BA17="",Y17="",AY17="",W17="",AZ17="",X17=""),"",_xlfn.IFS((IFERROR(VALUE(TRIM(SUBSTITUTE(BA17,CHAR(160),""))),0))&gt;(IFERROR(VALUE(TRIM(SUBSTITUTE(Y17,CHAR(160),""))),0)),"KO : Le montant retenu TTC est supérieur au montant présenté TTC. Merci de revoir la ligne de dépense ou plafonner son montant.",(IFERROR(VALUE(TRIM(SUBSTITUTE(AY17,CHAR(160),""))),0))&gt;(IFERROR(VALUE(TRIM(SUBSTITUTE(W17,CHAR(160),""))),0)),"Attention : Le montant retenu HT est supérieur au montant HT présenté. Merci de revoir la ligne de dépense,plafonner son montant,ou justifier la reventillation HT/TVA.",(IFERROR(VALUE(TRIM(SUBSTITUTE(AZ17,CHAR(160),""))),0))&gt;(IFERROR(VALUE(TRIM(SUBSTITUTE(X17,CHAR(160),""))),0)),"Attention : Le montant TVA retenu est supérieur au montant TVA présenté. Merci de revoir la ligne de dépense,plafonner son montant,ou justifier la reventillation HT/TVA.",(IFERROR(VALUE(TRIM(SUBSTITUTE(Y17,CHAR(160),""))),0))=0,"",(IFERROR(VALUE(TRIM(SUBSTITUTE(BA17,CHAR(160),""))),0))=(IFERROR(VALUE(TRIM(SUBSTITUTE(Y17,CHAR(160),""))),0)),"OK",
OR((IFERROR(VALUE(TRIM(SUBSTITUTE(BA17,CHAR(160),""))),0))=0,(IFERROR(VALUE(TRIM(SUBSTITUTE(AY17,CHAR(160),""))),0))=0),"Attention : montant présenté entièrement écarté",(IFERROR(VALUE(TRIM(SUBSTITUTE(BA17,CHAR(160),""))),0))&lt;(IFERROR(VALUE(TRIM(SUBSTITUTE(Y17,CHAR(160),""))),0)),"Attention : montant présenté partiellement écarté",TRUE,""))</f>
        <v/>
      </c>
      <c r="BE17" s="44" t="str">
        <f t="shared" si="25"/>
        <v/>
      </c>
      <c r="BF17" s="44" t="str">
        <f t="shared" si="26"/>
        <v/>
      </c>
      <c r="BG17" s="21" t="str">
        <f t="shared" si="27"/>
        <v/>
      </c>
      <c r="BH17" s="46"/>
    </row>
    <row r="18" spans="1:60" ht="15" customHeight="1">
      <c r="A18" s="70">
        <v>9</v>
      </c>
      <c r="B18" s="784"/>
      <c r="C18" s="7"/>
      <c r="D18" s="11"/>
      <c r="E18" s="451"/>
      <c r="F18" s="7"/>
      <c r="G18" s="7"/>
      <c r="H18" s="7"/>
      <c r="I18" s="7"/>
      <c r="J18" s="17"/>
      <c r="K18" s="7"/>
      <c r="L18" s="132"/>
      <c r="M18" s="138"/>
      <c r="N18" s="8"/>
      <c r="O18" s="35" t="str">
        <f t="shared" si="0"/>
        <v/>
      </c>
      <c r="P18" s="9"/>
      <c r="Q18" s="8"/>
      <c r="R18" s="35" t="str">
        <f t="shared" si="1"/>
        <v/>
      </c>
      <c r="S18" s="10"/>
      <c r="T18" s="8"/>
      <c r="U18" s="139" t="str">
        <f t="shared" si="2"/>
        <v/>
      </c>
      <c r="V18" s="147"/>
      <c r="W18" s="770" t="str" cm="1">
        <f t="array" ref="W18">IF((_xlfn.IFS(TRIM(SUBSTITUTE(V18,CHAR(160),""))="Devis 1",IFERROR(VALUE(TRIM(SUBSTITUTE(M18,CHAR(160),""))),0),TRIM(SUBSTITUTE(V18,CHAR(160),""))="Devis 2",IFERROR(VALUE(TRIM(SUBSTITUTE(P18,CHAR(160),""))),0),TRIM(SUBSTITUTE(V18,CHAR(160),""))="Devis 3",IFERROR(VALUE(TRIM(SUBSTITUTE(S18,CHAR(160),""))),0),TRUE,0)*IFERROR(VALUE(TRIM(SUBSTITUTE(D18,CHAR(160),""))),0))=0,"",_xlfn.IFS(TRIM(SUBSTITUTE(V18,CHAR(160),""))="Devis 1",IFERROR(VALUE(TRIM(SUBSTITUTE(M18,CHAR(160),""))),0),TRIM(SUBSTITUTE(V18,CHAR(160),""))="Devis 2",IFERROR(VALUE(TRIM(SUBSTITUTE(P18,CHAR(160),""))),0),TRIM(SUBSTITUTE(V18,CHAR(160),""))="Devis 3",IFERROR(VALUE(TRIM(SUBSTITUTE(S18,CHAR(160),""))),0),TRUE,0)*IFERROR(VALUE(TRIM(SUBSTITUTE(D18,CHAR(160),""))),0))</f>
        <v/>
      </c>
      <c r="X18" s="73" t="str" cm="1">
        <f t="array" ref="X18">IF(_xlfn.IFS(TRIM(SUBSTITUTE(V18,CHAR(160),""))="Devis 1",IFERROR(VALUE(TRIM(SUBSTITUTE(N18,CHAR(160),""))),0),TRIM(SUBSTITUTE(V18,CHAR(160),""))="Devis 2",IFERROR(VALUE(TRIM(SUBSTITUTE(Q18,CHAR(160),""))),0),TRIM(SUBSTITUTE(V18,CHAR(160),""))="Devis 3",IFERROR(VALUE(TRIM(SUBSTITUTE(T18,CHAR(160),""))),0),TRUE,0)*IFERROR(VALUE(TRIM(SUBSTITUTE(D18,CHAR(160),""))),0)=0,IF(W18&lt;&gt;"",0,""),_xlfn.IFS(TRIM(SUBSTITUTE(V18,CHAR(160),""))="Devis 1",IFERROR(VALUE(TRIM(SUBSTITUTE(N18,CHAR(160),""))),0),TRIM(SUBSTITUTE(V18,CHAR(160),""))="Devis 2",IFERROR(VALUE(TRIM(SUBSTITUTE(Q18,CHAR(160),""))),0),TRIM(SUBSTITUTE(V18,CHAR(160),""))="Devis 3",IFERROR(VALUE(TRIM(SUBSTITUTE(T18,CHAR(160),""))),0),TRUE,0)*IFERROR(VALUE(TRIM(SUBSTITUTE(D18,CHAR(160),""))),0))</f>
        <v/>
      </c>
      <c r="Y18" s="149" t="str">
        <f t="shared" si="3"/>
        <v/>
      </c>
      <c r="Z18" s="150"/>
      <c r="AA18" s="36" t="str">
        <f t="shared" si="4"/>
        <v/>
      </c>
      <c r="AB18" s="37" t="str">
        <f t="shared" si="30"/>
        <v/>
      </c>
      <c r="AC18" s="37" t="str">
        <f t="shared" si="31"/>
        <v/>
      </c>
      <c r="AD18" s="14" t="str">
        <f t="shared" si="5"/>
        <v/>
      </c>
      <c r="AE18" s="14" t="str">
        <f t="shared" si="6"/>
        <v/>
      </c>
      <c r="AF18" s="14" t="str">
        <f t="shared" si="7"/>
        <v/>
      </c>
      <c r="AG18" s="14" t="str">
        <f t="shared" si="8"/>
        <v/>
      </c>
      <c r="AH18" s="38" t="str">
        <f t="shared" si="9"/>
        <v/>
      </c>
      <c r="AI18" s="14" t="str">
        <f t="shared" si="10"/>
        <v/>
      </c>
      <c r="AJ18" s="39" t="str">
        <f t="shared" si="11"/>
        <v/>
      </c>
      <c r="AK18" s="40" t="str">
        <f t="shared" si="12"/>
        <v/>
      </c>
      <c r="AL18" s="20" t="str">
        <f t="shared" si="13"/>
        <v/>
      </c>
      <c r="AM18" s="35" t="str">
        <f t="shared" si="14"/>
        <v/>
      </c>
      <c r="AN18" s="41" t="str">
        <f t="shared" si="15"/>
        <v/>
      </c>
      <c r="AO18" s="20" t="str">
        <f t="shared" si="16"/>
        <v/>
      </c>
      <c r="AP18" s="35" t="str">
        <f t="shared" si="17"/>
        <v/>
      </c>
      <c r="AQ18" s="42" t="str">
        <f t="shared" si="18"/>
        <v/>
      </c>
      <c r="AR18" s="20" t="str">
        <f t="shared" si="19"/>
        <v/>
      </c>
      <c r="AS18" s="43" t="str">
        <f t="shared" si="20"/>
        <v/>
      </c>
      <c r="AT18" s="36" t="str">
        <f t="shared" si="21"/>
        <v/>
      </c>
      <c r="AU18" s="184"/>
      <c r="AV18" s="44" t="str">
        <f t="shared" si="22"/>
        <v/>
      </c>
      <c r="AW18" s="44" t="str">
        <f t="shared" si="23"/>
        <v/>
      </c>
      <c r="AX18" s="44" t="str">
        <f t="shared" si="24"/>
        <v/>
      </c>
      <c r="AY18" s="74" t="str" cm="1">
        <f t="array" ref="AY18">IF($AB18="","",IF((IFERROR(_xlfn.IFS($AT18="Devis 1",(IFERROR(VALUE(TRIM(SUBSTITUTE(AK18,CHAR(160),""))),0)),$AT18="Devis 2",(IFERROR(VALUE(TRIM(SUBSTITUTE(AN18,CHAR(160),""))),0)),$AT18="Devis 3",(IFERROR(VALUE(TRIM(SUBSTITUTE(AQ18,CHAR(160),""))),0))),0))*(IFERROR(VALUE(TRIM(SUBSTITUTE($AB18,CHAR(160),""))),0))=0,"",(IFERROR(_xlfn.IFS($AT18="Devis 1",(IFERROR(VALUE(TRIM(SUBSTITUTE(AK18,CHAR(160),""))),0)),$AT18="Devis 2",(IFERROR(VALUE(TRIM(SUBSTITUTE(AN18,CHAR(160),""))),0)),$AT18="Devis 3",(IFERROR(VALUE(TRIM(SUBSTITUTE(AQ18,CHAR(160),""))),0))),0))*(IFERROR(VALUE(TRIM(SUBSTITUTE($AB18,CHAR(160),""))),0))))</f>
        <v/>
      </c>
      <c r="AZ18" s="74" t="str" cm="1">
        <f t="array" ref="AZ18">IF($AB18="","",IF((IFERROR(_xlfn.IFS(TRIM(SUBSTITUTE($AT18,CHAR(160),""))="Devis 1", IFERROR(VALUE(TRIM(SUBSTITUTE(AL18,CHAR(160),""))),0),TRIM(SUBSTITUTE($AT18,CHAR(160),""))="Devis 2", IFERROR(VALUE(TRIM(SUBSTITUTE(AO18,CHAR(160),""))),0),TRIM(SUBSTITUTE($AT18,CHAR(160),""))="Devis 3", IFERROR(VALUE(TRIM(SUBSTITUTE(AR18,CHAR(160),""))),0)),0) * IFERROR(VALUE(TRIM(SUBSTITUTE($AB18,CHAR(160),""))),0)) = 0,IF(AY18&lt;&gt;"",0,""),(IFERROR(_xlfn.IFS(TRIM(SUBSTITUTE($AT18,CHAR(160),""))="Devis 1", IFERROR(VALUE(TRIM(SUBSTITUTE(AL18,CHAR(160),""))),0),TRIM(SUBSTITUTE($AT18,CHAR(160),""))="Devis 2", IFERROR(VALUE(TRIM(SUBSTITUTE(AO18,CHAR(160),""))),0),TRIM(SUBSTITUTE($AT18,CHAR(160),""))="Devis 3", IFERROR(VALUE(TRIM(SUBSTITUTE(AR18,CHAR(160),""))),0)),0) * IFERROR(VALUE(TRIM(SUBSTITUTE($AB18,CHAR(160),""))),0))))</f>
        <v/>
      </c>
      <c r="BA18" s="74" t="str" cm="1">
        <f t="array" ref="BA18">IF($AB18="","",IF(IFERROR(_xlfn.IFS($AT18="Devis 1",IFERROR(VALUE(TRIM(SUBSTITUTE(AM18,CHAR(160),""))),0),$AT18="Devis 2",IFERROR(VALUE(TRIM(SUBSTITUTE(AP18,CHAR(160),""))),0),$AT18="Devis 3",IFERROR(VALUE(TRIM(SUBSTITUTE(AS18,CHAR(160),""))),0)),0)*IFERROR(VALUE(TRIM(SUBSTITUTE($AB18,CHAR(160),""))),0)=0,"",IFERROR(_xlfn.IFS($AT18="Devis 1",IFERROR(VALUE(TRIM(SUBSTITUTE(AM18,CHAR(160),""))),0),$AT18="Devis 2",IFERROR(VALUE(TRIM(SUBSTITUTE(AP18,CHAR(160),""))),0),$AT18="Devis 3",IFERROR(VALUE(TRIM(SUBSTITUTE(AS18,CHAR(160),""))),0)),0)*IFERROR(VALUE(TRIM(SUBSTITUTE($AB18,CHAR(160),""))),0)))</f>
        <v/>
      </c>
      <c r="BB18" s="45"/>
      <c r="BC18" s="13" t="str" cm="1">
        <f t="array" ref="BC18">IF(OR(BA18="",AX18="",AY18="",AV18="",AZ18="",AW18=""),"",_xlfn.IFS((IFERROR(VALUE(TRIM(SUBSTITUTE(BA18,CHAR(160),""))),0))&gt;(IFERROR(VALUE(TRIM(SUBSTITUTE(AX18,CHAR(160),""))),0)),"KO : Le montant retenu TTC est supérieur au montant raisonnable TTC. Merci de revoir la ligne de dépense ou plafonner son montant.",(IFERROR(VALUE(TRIM(SUBSTITUTE(AY18,CHAR(160),""))),0))&gt;(IFERROR(VALUE(TRIM(SUBSTITUTE(AV18,CHAR(160),""))),0)),"Attention : Le montant retenu HT est supérieur au montant HT raisonnable. Merci de revoir la ligne de dépense, plafonner son montant, ou justifier la reventillation HT / TVA.",(IFERROR(VALUE(TRIM(SUBSTITUTE(AZ18,CHAR(160),""))),0))&gt;(IFERROR(VALUE(TRIM(SUBSTITUTE(AW18,CHAR(160),""))),0)),"Attention : Le montant TVA retenu est supérieur au montant TVA raisonnable. Merci de revoir la ligne de dépense, plafonner son montant, ou justifier la reventillation HT / TVA.",(IFERROR(VALUE(TRIM(SUBSTITUTE(BA18,CHAR(160),""))),0))=0,"",(IFERROR(VALUE(TRIM(SUBSTITUTE(AX18,CHAR(160),""))),0))=(IFERROR(VALUE(TRIM(SUBSTITUTE(BA18,CHAR(160),""))),0)),"OK",(IFERROR(VALUE(TRIM(SUBSTITUTE(AX18,CHAR(160),""))),0))&gt;(IFERROR(VALUE(TRIM(SUBSTITUTE(BA18,CHAR(160),""))),0))," OK : Montant instruit inférieur au montant raisonnable.",TRUE,""))</f>
        <v/>
      </c>
      <c r="BD18" s="187" t="str" cm="1">
        <f t="array" ref="BD18">IF(OR(BA18="",Y18="",AY18="",W18="",AZ18="",X18=""),"",_xlfn.IFS((IFERROR(VALUE(TRIM(SUBSTITUTE(BA18,CHAR(160),""))),0))&gt;(IFERROR(VALUE(TRIM(SUBSTITUTE(Y18,CHAR(160),""))),0)),"KO : Le montant retenu TTC est supérieur au montant présenté TTC. Merci de revoir la ligne de dépense ou plafonner son montant.",(IFERROR(VALUE(TRIM(SUBSTITUTE(AY18,CHAR(160),""))),0))&gt;(IFERROR(VALUE(TRIM(SUBSTITUTE(W18,CHAR(160),""))),0)),"Attention : Le montant retenu HT est supérieur au montant HT présenté. Merci de revoir la ligne de dépense,plafonner son montant,ou justifier la reventillation HT/TVA.",(IFERROR(VALUE(TRIM(SUBSTITUTE(AZ18,CHAR(160),""))),0))&gt;(IFERROR(VALUE(TRIM(SUBSTITUTE(X18,CHAR(160),""))),0)),"Attention : Le montant TVA retenu est supérieur au montant TVA présenté. Merci de revoir la ligne de dépense,plafonner son montant,ou justifier la reventillation HT/TVA.",(IFERROR(VALUE(TRIM(SUBSTITUTE(Y18,CHAR(160),""))),0))=0,"",(IFERROR(VALUE(TRIM(SUBSTITUTE(BA18,CHAR(160),""))),0))=(IFERROR(VALUE(TRIM(SUBSTITUTE(Y18,CHAR(160),""))),0)),"OK",
OR((IFERROR(VALUE(TRIM(SUBSTITUTE(BA18,CHAR(160),""))),0))=0,(IFERROR(VALUE(TRIM(SUBSTITUTE(AY18,CHAR(160),""))),0))=0),"Attention : montant présenté entièrement écarté",(IFERROR(VALUE(TRIM(SUBSTITUTE(BA18,CHAR(160),""))),0))&lt;(IFERROR(VALUE(TRIM(SUBSTITUTE(Y18,CHAR(160),""))),0)),"Attention : montant présenté partiellement écarté",TRUE,""))</f>
        <v/>
      </c>
      <c r="BE18" s="44" t="str">
        <f t="shared" si="25"/>
        <v/>
      </c>
      <c r="BF18" s="44" t="str">
        <f t="shared" si="26"/>
        <v/>
      </c>
      <c r="BG18" s="21" t="str">
        <f t="shared" si="27"/>
        <v/>
      </c>
      <c r="BH18" s="46"/>
    </row>
    <row r="19" spans="1:60" ht="15" customHeight="1">
      <c r="A19" s="70">
        <v>10</v>
      </c>
      <c r="B19" s="784"/>
      <c r="C19" s="7"/>
      <c r="D19" s="11"/>
      <c r="E19" s="451"/>
      <c r="F19" s="7"/>
      <c r="G19" s="7"/>
      <c r="H19" s="7"/>
      <c r="I19" s="7"/>
      <c r="J19" s="17"/>
      <c r="K19" s="7"/>
      <c r="L19" s="132"/>
      <c r="M19" s="138"/>
      <c r="N19" s="8"/>
      <c r="O19" s="35" t="str">
        <f t="shared" si="0"/>
        <v/>
      </c>
      <c r="P19" s="9"/>
      <c r="Q19" s="8"/>
      <c r="R19" s="35" t="str">
        <f t="shared" si="1"/>
        <v/>
      </c>
      <c r="S19" s="10"/>
      <c r="T19" s="8"/>
      <c r="U19" s="139" t="str">
        <f t="shared" si="2"/>
        <v/>
      </c>
      <c r="V19" s="147"/>
      <c r="W19" s="770" t="str" cm="1">
        <f t="array" ref="W19">IF((_xlfn.IFS(TRIM(SUBSTITUTE(V19,CHAR(160),""))="Devis 1",IFERROR(VALUE(TRIM(SUBSTITUTE(M19,CHAR(160),""))),0),TRIM(SUBSTITUTE(V19,CHAR(160),""))="Devis 2",IFERROR(VALUE(TRIM(SUBSTITUTE(P19,CHAR(160),""))),0),TRIM(SUBSTITUTE(V19,CHAR(160),""))="Devis 3",IFERROR(VALUE(TRIM(SUBSTITUTE(S19,CHAR(160),""))),0),TRUE,0)*IFERROR(VALUE(TRIM(SUBSTITUTE(D19,CHAR(160),""))),0))=0,"",_xlfn.IFS(TRIM(SUBSTITUTE(V19,CHAR(160),""))="Devis 1",IFERROR(VALUE(TRIM(SUBSTITUTE(M19,CHAR(160),""))),0),TRIM(SUBSTITUTE(V19,CHAR(160),""))="Devis 2",IFERROR(VALUE(TRIM(SUBSTITUTE(P19,CHAR(160),""))),0),TRIM(SUBSTITUTE(V19,CHAR(160),""))="Devis 3",IFERROR(VALUE(TRIM(SUBSTITUTE(S19,CHAR(160),""))),0),TRUE,0)*IFERROR(VALUE(TRIM(SUBSTITUTE(D19,CHAR(160),""))),0))</f>
        <v/>
      </c>
      <c r="X19" s="73" t="str" cm="1">
        <f t="array" ref="X19">IF(_xlfn.IFS(TRIM(SUBSTITUTE(V19,CHAR(160),""))="Devis 1",IFERROR(VALUE(TRIM(SUBSTITUTE(N19,CHAR(160),""))),0),TRIM(SUBSTITUTE(V19,CHAR(160),""))="Devis 2",IFERROR(VALUE(TRIM(SUBSTITUTE(Q19,CHAR(160),""))),0),TRIM(SUBSTITUTE(V19,CHAR(160),""))="Devis 3",IFERROR(VALUE(TRIM(SUBSTITUTE(T19,CHAR(160),""))),0),TRUE,0)*IFERROR(VALUE(TRIM(SUBSTITUTE(D19,CHAR(160),""))),0)=0,IF(W19&lt;&gt;"",0,""),_xlfn.IFS(TRIM(SUBSTITUTE(V19,CHAR(160),""))="Devis 1",IFERROR(VALUE(TRIM(SUBSTITUTE(N19,CHAR(160),""))),0),TRIM(SUBSTITUTE(V19,CHAR(160),""))="Devis 2",IFERROR(VALUE(TRIM(SUBSTITUTE(Q19,CHAR(160),""))),0),TRIM(SUBSTITUTE(V19,CHAR(160),""))="Devis 3",IFERROR(VALUE(TRIM(SUBSTITUTE(T19,CHAR(160),""))),0),TRUE,0)*IFERROR(VALUE(TRIM(SUBSTITUTE(D19,CHAR(160),""))),0))</f>
        <v/>
      </c>
      <c r="Y19" s="149" t="str">
        <f t="shared" si="3"/>
        <v/>
      </c>
      <c r="Z19" s="150"/>
      <c r="AA19" s="36" t="str">
        <f t="shared" si="4"/>
        <v/>
      </c>
      <c r="AB19" s="37" t="str">
        <f t="shared" si="30"/>
        <v/>
      </c>
      <c r="AC19" s="37" t="str">
        <f t="shared" si="31"/>
        <v/>
      </c>
      <c r="AD19" s="14" t="str">
        <f t="shared" si="5"/>
        <v/>
      </c>
      <c r="AE19" s="14" t="str">
        <f t="shared" si="6"/>
        <v/>
      </c>
      <c r="AF19" s="14" t="str">
        <f t="shared" si="7"/>
        <v/>
      </c>
      <c r="AG19" s="14" t="str">
        <f t="shared" si="8"/>
        <v/>
      </c>
      <c r="AH19" s="38" t="str">
        <f t="shared" si="9"/>
        <v/>
      </c>
      <c r="AI19" s="14" t="str">
        <f t="shared" si="10"/>
        <v/>
      </c>
      <c r="AJ19" s="39" t="str">
        <f t="shared" si="11"/>
        <v/>
      </c>
      <c r="AK19" s="40" t="str">
        <f t="shared" si="12"/>
        <v/>
      </c>
      <c r="AL19" s="20" t="str">
        <f t="shared" si="13"/>
        <v/>
      </c>
      <c r="AM19" s="35" t="str">
        <f t="shared" si="14"/>
        <v/>
      </c>
      <c r="AN19" s="41" t="str">
        <f t="shared" si="15"/>
        <v/>
      </c>
      <c r="AO19" s="20" t="str">
        <f t="shared" si="16"/>
        <v/>
      </c>
      <c r="AP19" s="35" t="str">
        <f t="shared" si="17"/>
        <v/>
      </c>
      <c r="AQ19" s="42" t="str">
        <f t="shared" si="18"/>
        <v/>
      </c>
      <c r="AR19" s="20" t="str">
        <f t="shared" si="19"/>
        <v/>
      </c>
      <c r="AS19" s="43" t="str">
        <f t="shared" si="20"/>
        <v/>
      </c>
      <c r="AT19" s="36" t="str">
        <f t="shared" si="21"/>
        <v/>
      </c>
      <c r="AU19" s="184"/>
      <c r="AV19" s="44" t="str">
        <f t="shared" si="22"/>
        <v/>
      </c>
      <c r="AW19" s="44" t="str">
        <f t="shared" si="23"/>
        <v/>
      </c>
      <c r="AX19" s="44" t="str">
        <f t="shared" si="24"/>
        <v/>
      </c>
      <c r="AY19" s="74" t="str" cm="1">
        <f t="array" ref="AY19">IF($AB19="","",IF((IFERROR(_xlfn.IFS($AT19="Devis 1",(IFERROR(VALUE(TRIM(SUBSTITUTE(AK19,CHAR(160),""))),0)),$AT19="Devis 2",(IFERROR(VALUE(TRIM(SUBSTITUTE(AN19,CHAR(160),""))),0)),$AT19="Devis 3",(IFERROR(VALUE(TRIM(SUBSTITUTE(AQ19,CHAR(160),""))),0))),0))*(IFERROR(VALUE(TRIM(SUBSTITUTE($AB19,CHAR(160),""))),0))=0,"",(IFERROR(_xlfn.IFS($AT19="Devis 1",(IFERROR(VALUE(TRIM(SUBSTITUTE(AK19,CHAR(160),""))),0)),$AT19="Devis 2",(IFERROR(VALUE(TRIM(SUBSTITUTE(AN19,CHAR(160),""))),0)),$AT19="Devis 3",(IFERROR(VALUE(TRIM(SUBSTITUTE(AQ19,CHAR(160),""))),0))),0))*(IFERROR(VALUE(TRIM(SUBSTITUTE($AB19,CHAR(160),""))),0))))</f>
        <v/>
      </c>
      <c r="AZ19" s="74" t="str" cm="1">
        <f t="array" ref="AZ19">IF($AB19="","",IF((IFERROR(_xlfn.IFS(TRIM(SUBSTITUTE($AT19,CHAR(160),""))="Devis 1", IFERROR(VALUE(TRIM(SUBSTITUTE(AL19,CHAR(160),""))),0),TRIM(SUBSTITUTE($AT19,CHAR(160),""))="Devis 2", IFERROR(VALUE(TRIM(SUBSTITUTE(AO19,CHAR(160),""))),0),TRIM(SUBSTITUTE($AT19,CHAR(160),""))="Devis 3", IFERROR(VALUE(TRIM(SUBSTITUTE(AR19,CHAR(160),""))),0)),0) * IFERROR(VALUE(TRIM(SUBSTITUTE($AB19,CHAR(160),""))),0)) = 0,IF(AY19&lt;&gt;"",0,""),(IFERROR(_xlfn.IFS(TRIM(SUBSTITUTE($AT19,CHAR(160),""))="Devis 1", IFERROR(VALUE(TRIM(SUBSTITUTE(AL19,CHAR(160),""))),0),TRIM(SUBSTITUTE($AT19,CHAR(160),""))="Devis 2", IFERROR(VALUE(TRIM(SUBSTITUTE(AO19,CHAR(160),""))),0),TRIM(SUBSTITUTE($AT19,CHAR(160),""))="Devis 3", IFERROR(VALUE(TRIM(SUBSTITUTE(AR19,CHAR(160),""))),0)),0) * IFERROR(VALUE(TRIM(SUBSTITUTE($AB19,CHAR(160),""))),0))))</f>
        <v/>
      </c>
      <c r="BA19" s="74" t="str" cm="1">
        <f t="array" ref="BA19">IF($AB19="","",IF(IFERROR(_xlfn.IFS($AT19="Devis 1",IFERROR(VALUE(TRIM(SUBSTITUTE(AM19,CHAR(160),""))),0),$AT19="Devis 2",IFERROR(VALUE(TRIM(SUBSTITUTE(AP19,CHAR(160),""))),0),$AT19="Devis 3",IFERROR(VALUE(TRIM(SUBSTITUTE(AS19,CHAR(160),""))),0)),0)*IFERROR(VALUE(TRIM(SUBSTITUTE($AB19,CHAR(160),""))),0)=0,"",IFERROR(_xlfn.IFS($AT19="Devis 1",IFERROR(VALUE(TRIM(SUBSTITUTE(AM19,CHAR(160),""))),0),$AT19="Devis 2",IFERROR(VALUE(TRIM(SUBSTITUTE(AP19,CHAR(160),""))),0),$AT19="Devis 3",IFERROR(VALUE(TRIM(SUBSTITUTE(AS19,CHAR(160),""))),0)),0)*IFERROR(VALUE(TRIM(SUBSTITUTE($AB19,CHAR(160),""))),0)))</f>
        <v/>
      </c>
      <c r="BB19" s="45"/>
      <c r="BC19" s="13" t="str" cm="1">
        <f t="array" ref="BC19">IF(OR(BA19="",AX19="",AY19="",AV19="",AZ19="",AW19=""),"",_xlfn.IFS((IFERROR(VALUE(TRIM(SUBSTITUTE(BA19,CHAR(160),""))),0))&gt;(IFERROR(VALUE(TRIM(SUBSTITUTE(AX19,CHAR(160),""))),0)),"KO : Le montant retenu TTC est supérieur au montant raisonnable TTC. Merci de revoir la ligne de dépense ou plafonner son montant.",(IFERROR(VALUE(TRIM(SUBSTITUTE(AY19,CHAR(160),""))),0))&gt;(IFERROR(VALUE(TRIM(SUBSTITUTE(AV19,CHAR(160),""))),0)),"Attention : Le montant retenu HT est supérieur au montant HT raisonnable. Merci de revoir la ligne de dépense, plafonner son montant, ou justifier la reventillation HT / TVA.",(IFERROR(VALUE(TRIM(SUBSTITUTE(AZ19,CHAR(160),""))),0))&gt;(IFERROR(VALUE(TRIM(SUBSTITUTE(AW19,CHAR(160),""))),0)),"Attention : Le montant TVA retenu est supérieur au montant TVA raisonnable. Merci de revoir la ligne de dépense, plafonner son montant, ou justifier la reventillation HT / TVA.",(IFERROR(VALUE(TRIM(SUBSTITUTE(BA19,CHAR(160),""))),0))=0,"",(IFERROR(VALUE(TRIM(SUBSTITUTE(AX19,CHAR(160),""))),0))=(IFERROR(VALUE(TRIM(SUBSTITUTE(BA19,CHAR(160),""))),0)),"OK",(IFERROR(VALUE(TRIM(SUBSTITUTE(AX19,CHAR(160),""))),0))&gt;(IFERROR(VALUE(TRIM(SUBSTITUTE(BA19,CHAR(160),""))),0))," OK : Montant instruit inférieur au montant raisonnable.",TRUE,""))</f>
        <v/>
      </c>
      <c r="BD19" s="187" t="str" cm="1">
        <f t="array" ref="BD19">IF(OR(BA19="",Y19="",AY19="",W19="",AZ19="",X19=""),"",_xlfn.IFS((IFERROR(VALUE(TRIM(SUBSTITUTE(BA19,CHAR(160),""))),0))&gt;(IFERROR(VALUE(TRIM(SUBSTITUTE(Y19,CHAR(160),""))),0)),"KO : Le montant retenu TTC est supérieur au montant présenté TTC. Merci de revoir la ligne de dépense ou plafonner son montant.",(IFERROR(VALUE(TRIM(SUBSTITUTE(AY19,CHAR(160),""))),0))&gt;(IFERROR(VALUE(TRIM(SUBSTITUTE(W19,CHAR(160),""))),0)),"Attention : Le montant retenu HT est supérieur au montant HT présenté. Merci de revoir la ligne de dépense,plafonner son montant,ou justifier la reventillation HT/TVA.",(IFERROR(VALUE(TRIM(SUBSTITUTE(AZ19,CHAR(160),""))),0))&gt;(IFERROR(VALUE(TRIM(SUBSTITUTE(X19,CHAR(160),""))),0)),"Attention : Le montant TVA retenu est supérieur au montant TVA présenté. Merci de revoir la ligne de dépense,plafonner son montant,ou justifier la reventillation HT/TVA.",(IFERROR(VALUE(TRIM(SUBSTITUTE(Y19,CHAR(160),""))),0))=0,"",(IFERROR(VALUE(TRIM(SUBSTITUTE(BA19,CHAR(160),""))),0))=(IFERROR(VALUE(TRIM(SUBSTITUTE(Y19,CHAR(160),""))),0)),"OK",
OR((IFERROR(VALUE(TRIM(SUBSTITUTE(BA19,CHAR(160),""))),0))=0,(IFERROR(VALUE(TRIM(SUBSTITUTE(AY19,CHAR(160),""))),0))=0),"Attention : montant présenté entièrement écarté",(IFERROR(VALUE(TRIM(SUBSTITUTE(BA19,CHAR(160),""))),0))&lt;(IFERROR(VALUE(TRIM(SUBSTITUTE(Y19,CHAR(160),""))),0)),"Attention : montant présenté partiellement écarté",TRUE,""))</f>
        <v/>
      </c>
      <c r="BE19" s="44" t="str">
        <f t="shared" si="25"/>
        <v/>
      </c>
      <c r="BF19" s="44" t="str">
        <f t="shared" si="26"/>
        <v/>
      </c>
      <c r="BG19" s="21" t="str">
        <f t="shared" si="27"/>
        <v/>
      </c>
      <c r="BH19" s="46"/>
    </row>
    <row r="20" spans="1:60" ht="15" customHeight="1">
      <c r="A20" s="70">
        <v>11</v>
      </c>
      <c r="B20" s="784"/>
      <c r="C20" s="7"/>
      <c r="D20" s="11"/>
      <c r="E20" s="451"/>
      <c r="F20" s="7"/>
      <c r="G20" s="7"/>
      <c r="H20" s="7"/>
      <c r="I20" s="7"/>
      <c r="J20" s="17"/>
      <c r="K20" s="7"/>
      <c r="L20" s="132"/>
      <c r="M20" s="138"/>
      <c r="N20" s="8"/>
      <c r="O20" s="35" t="str">
        <f t="shared" si="0"/>
        <v/>
      </c>
      <c r="P20" s="9"/>
      <c r="Q20" s="8"/>
      <c r="R20" s="35" t="str">
        <f t="shared" si="1"/>
        <v/>
      </c>
      <c r="S20" s="10"/>
      <c r="T20" s="8"/>
      <c r="U20" s="139" t="str">
        <f t="shared" si="2"/>
        <v/>
      </c>
      <c r="V20" s="147"/>
      <c r="W20" s="770" t="str" cm="1">
        <f t="array" ref="W20">IF((_xlfn.IFS(TRIM(SUBSTITUTE(V20,CHAR(160),""))="Devis 1",IFERROR(VALUE(TRIM(SUBSTITUTE(M20,CHAR(160),""))),0),TRIM(SUBSTITUTE(V20,CHAR(160),""))="Devis 2",IFERROR(VALUE(TRIM(SUBSTITUTE(P20,CHAR(160),""))),0),TRIM(SUBSTITUTE(V20,CHAR(160),""))="Devis 3",IFERROR(VALUE(TRIM(SUBSTITUTE(S20,CHAR(160),""))),0),TRUE,0)*IFERROR(VALUE(TRIM(SUBSTITUTE(D20,CHAR(160),""))),0))=0,"",_xlfn.IFS(TRIM(SUBSTITUTE(V20,CHAR(160),""))="Devis 1",IFERROR(VALUE(TRIM(SUBSTITUTE(M20,CHAR(160),""))),0),TRIM(SUBSTITUTE(V20,CHAR(160),""))="Devis 2",IFERROR(VALUE(TRIM(SUBSTITUTE(P20,CHAR(160),""))),0),TRIM(SUBSTITUTE(V20,CHAR(160),""))="Devis 3",IFERROR(VALUE(TRIM(SUBSTITUTE(S20,CHAR(160),""))),0),TRUE,0)*IFERROR(VALUE(TRIM(SUBSTITUTE(D20,CHAR(160),""))),0))</f>
        <v/>
      </c>
      <c r="X20" s="73" t="str" cm="1">
        <f t="array" ref="X20">IF(_xlfn.IFS(TRIM(SUBSTITUTE(V20,CHAR(160),""))="Devis 1",IFERROR(VALUE(TRIM(SUBSTITUTE(N20,CHAR(160),""))),0),TRIM(SUBSTITUTE(V20,CHAR(160),""))="Devis 2",IFERROR(VALUE(TRIM(SUBSTITUTE(Q20,CHAR(160),""))),0),TRIM(SUBSTITUTE(V20,CHAR(160),""))="Devis 3",IFERROR(VALUE(TRIM(SUBSTITUTE(T20,CHAR(160),""))),0),TRUE,0)*IFERROR(VALUE(TRIM(SUBSTITUTE(D20,CHAR(160),""))),0)=0,IF(W20&lt;&gt;"",0,""),_xlfn.IFS(TRIM(SUBSTITUTE(V20,CHAR(160),""))="Devis 1",IFERROR(VALUE(TRIM(SUBSTITUTE(N20,CHAR(160),""))),0),TRIM(SUBSTITUTE(V20,CHAR(160),""))="Devis 2",IFERROR(VALUE(TRIM(SUBSTITUTE(Q20,CHAR(160),""))),0),TRIM(SUBSTITUTE(V20,CHAR(160),""))="Devis 3",IFERROR(VALUE(TRIM(SUBSTITUTE(T20,CHAR(160),""))),0),TRUE,0)*IFERROR(VALUE(TRIM(SUBSTITUTE(D20,CHAR(160),""))),0))</f>
        <v/>
      </c>
      <c r="Y20" s="149" t="str">
        <f t="shared" si="3"/>
        <v/>
      </c>
      <c r="Z20" s="150"/>
      <c r="AA20" s="36" t="str">
        <f t="shared" si="4"/>
        <v/>
      </c>
      <c r="AB20" s="37" t="str">
        <f t="shared" si="30"/>
        <v/>
      </c>
      <c r="AC20" s="37" t="str">
        <f t="shared" si="31"/>
        <v/>
      </c>
      <c r="AD20" s="14" t="str">
        <f t="shared" si="5"/>
        <v/>
      </c>
      <c r="AE20" s="14" t="str">
        <f t="shared" si="6"/>
        <v/>
      </c>
      <c r="AF20" s="14" t="str">
        <f t="shared" si="7"/>
        <v/>
      </c>
      <c r="AG20" s="14" t="str">
        <f t="shared" si="8"/>
        <v/>
      </c>
      <c r="AH20" s="38" t="str">
        <f t="shared" si="9"/>
        <v/>
      </c>
      <c r="AI20" s="14" t="str">
        <f t="shared" si="10"/>
        <v/>
      </c>
      <c r="AJ20" s="39" t="str">
        <f t="shared" si="11"/>
        <v/>
      </c>
      <c r="AK20" s="40" t="str">
        <f t="shared" si="12"/>
        <v/>
      </c>
      <c r="AL20" s="20" t="str">
        <f t="shared" si="13"/>
        <v/>
      </c>
      <c r="AM20" s="35" t="str">
        <f t="shared" si="14"/>
        <v/>
      </c>
      <c r="AN20" s="41" t="str">
        <f t="shared" si="15"/>
        <v/>
      </c>
      <c r="AO20" s="20" t="str">
        <f t="shared" si="16"/>
        <v/>
      </c>
      <c r="AP20" s="35" t="str">
        <f t="shared" si="17"/>
        <v/>
      </c>
      <c r="AQ20" s="42" t="str">
        <f t="shared" si="18"/>
        <v/>
      </c>
      <c r="AR20" s="20" t="str">
        <f t="shared" si="19"/>
        <v/>
      </c>
      <c r="AS20" s="43" t="str">
        <f t="shared" si="20"/>
        <v/>
      </c>
      <c r="AT20" s="36" t="str">
        <f t="shared" si="21"/>
        <v/>
      </c>
      <c r="AU20" s="184"/>
      <c r="AV20" s="44" t="str">
        <f t="shared" si="22"/>
        <v/>
      </c>
      <c r="AW20" s="44" t="str">
        <f t="shared" si="23"/>
        <v/>
      </c>
      <c r="AX20" s="44" t="str">
        <f t="shared" si="24"/>
        <v/>
      </c>
      <c r="AY20" s="74" t="str" cm="1">
        <f t="array" ref="AY20">IF($AB20="","",IF((IFERROR(_xlfn.IFS($AT20="Devis 1",(IFERROR(VALUE(TRIM(SUBSTITUTE(AK20,CHAR(160),""))),0)),$AT20="Devis 2",(IFERROR(VALUE(TRIM(SUBSTITUTE(AN20,CHAR(160),""))),0)),$AT20="Devis 3",(IFERROR(VALUE(TRIM(SUBSTITUTE(AQ20,CHAR(160),""))),0))),0))*(IFERROR(VALUE(TRIM(SUBSTITUTE($AB20,CHAR(160),""))),0))=0,"",(IFERROR(_xlfn.IFS($AT20="Devis 1",(IFERROR(VALUE(TRIM(SUBSTITUTE(AK20,CHAR(160),""))),0)),$AT20="Devis 2",(IFERROR(VALUE(TRIM(SUBSTITUTE(AN20,CHAR(160),""))),0)),$AT20="Devis 3",(IFERROR(VALUE(TRIM(SUBSTITUTE(AQ20,CHAR(160),""))),0))),0))*(IFERROR(VALUE(TRIM(SUBSTITUTE($AB20,CHAR(160),""))),0))))</f>
        <v/>
      </c>
      <c r="AZ20" s="74" t="str" cm="1">
        <f t="array" ref="AZ20">IF($AB20="","",IF((IFERROR(_xlfn.IFS(TRIM(SUBSTITUTE($AT20,CHAR(160),""))="Devis 1", IFERROR(VALUE(TRIM(SUBSTITUTE(AL20,CHAR(160),""))),0),TRIM(SUBSTITUTE($AT20,CHAR(160),""))="Devis 2", IFERROR(VALUE(TRIM(SUBSTITUTE(AO20,CHAR(160),""))),0),TRIM(SUBSTITUTE($AT20,CHAR(160),""))="Devis 3", IFERROR(VALUE(TRIM(SUBSTITUTE(AR20,CHAR(160),""))),0)),0) * IFERROR(VALUE(TRIM(SUBSTITUTE($AB20,CHAR(160),""))),0)) = 0,IF(AY20&lt;&gt;"",0,""),(IFERROR(_xlfn.IFS(TRIM(SUBSTITUTE($AT20,CHAR(160),""))="Devis 1", IFERROR(VALUE(TRIM(SUBSTITUTE(AL20,CHAR(160),""))),0),TRIM(SUBSTITUTE($AT20,CHAR(160),""))="Devis 2", IFERROR(VALUE(TRIM(SUBSTITUTE(AO20,CHAR(160),""))),0),TRIM(SUBSTITUTE($AT20,CHAR(160),""))="Devis 3", IFERROR(VALUE(TRIM(SUBSTITUTE(AR20,CHAR(160),""))),0)),0) * IFERROR(VALUE(TRIM(SUBSTITUTE($AB20,CHAR(160),""))),0))))</f>
        <v/>
      </c>
      <c r="BA20" s="74" t="str" cm="1">
        <f t="array" ref="BA20">IF($AB20="","",IF(IFERROR(_xlfn.IFS($AT20="Devis 1",IFERROR(VALUE(TRIM(SUBSTITUTE(AM20,CHAR(160),""))),0),$AT20="Devis 2",IFERROR(VALUE(TRIM(SUBSTITUTE(AP20,CHAR(160),""))),0),$AT20="Devis 3",IFERROR(VALUE(TRIM(SUBSTITUTE(AS20,CHAR(160),""))),0)),0)*IFERROR(VALUE(TRIM(SUBSTITUTE($AB20,CHAR(160),""))),0)=0,"",IFERROR(_xlfn.IFS($AT20="Devis 1",IFERROR(VALUE(TRIM(SUBSTITUTE(AM20,CHAR(160),""))),0),$AT20="Devis 2",IFERROR(VALUE(TRIM(SUBSTITUTE(AP20,CHAR(160),""))),0),$AT20="Devis 3",IFERROR(VALUE(TRIM(SUBSTITUTE(AS20,CHAR(160),""))),0)),0)*IFERROR(VALUE(TRIM(SUBSTITUTE($AB20,CHAR(160),""))),0)))</f>
        <v/>
      </c>
      <c r="BB20" s="45"/>
      <c r="BC20" s="13" t="str" cm="1">
        <f t="array" ref="BC20">IF(OR(BA20="",AX20="",AY20="",AV20="",AZ20="",AW20=""),"",_xlfn.IFS((IFERROR(VALUE(TRIM(SUBSTITUTE(BA20,CHAR(160),""))),0))&gt;(IFERROR(VALUE(TRIM(SUBSTITUTE(AX20,CHAR(160),""))),0)),"KO : Le montant retenu TTC est supérieur au montant raisonnable TTC. Merci de revoir la ligne de dépense ou plafonner son montant.",(IFERROR(VALUE(TRIM(SUBSTITUTE(AY20,CHAR(160),""))),0))&gt;(IFERROR(VALUE(TRIM(SUBSTITUTE(AV20,CHAR(160),""))),0)),"Attention : Le montant retenu HT est supérieur au montant HT raisonnable. Merci de revoir la ligne de dépense, plafonner son montant, ou justifier la reventillation HT / TVA.",(IFERROR(VALUE(TRIM(SUBSTITUTE(AZ20,CHAR(160),""))),0))&gt;(IFERROR(VALUE(TRIM(SUBSTITUTE(AW20,CHAR(160),""))),0)),"Attention : Le montant TVA retenu est supérieur au montant TVA raisonnable. Merci de revoir la ligne de dépense, plafonner son montant, ou justifier la reventillation HT / TVA.",(IFERROR(VALUE(TRIM(SUBSTITUTE(BA20,CHAR(160),""))),0))=0,"",(IFERROR(VALUE(TRIM(SUBSTITUTE(AX20,CHAR(160),""))),0))=(IFERROR(VALUE(TRIM(SUBSTITUTE(BA20,CHAR(160),""))),0)),"OK",(IFERROR(VALUE(TRIM(SUBSTITUTE(AX20,CHAR(160),""))),0))&gt;(IFERROR(VALUE(TRIM(SUBSTITUTE(BA20,CHAR(160),""))),0))," OK : Montant instruit inférieur au montant raisonnable.",TRUE,""))</f>
        <v/>
      </c>
      <c r="BD20" s="187" t="str" cm="1">
        <f t="array" ref="BD20">IF(OR(BA20="",Y20="",AY20="",W20="",AZ20="",X20=""),"",_xlfn.IFS((IFERROR(VALUE(TRIM(SUBSTITUTE(BA20,CHAR(160),""))),0))&gt;(IFERROR(VALUE(TRIM(SUBSTITUTE(Y20,CHAR(160),""))),0)),"KO : Le montant retenu TTC est supérieur au montant présenté TTC. Merci de revoir la ligne de dépense ou plafonner son montant.",(IFERROR(VALUE(TRIM(SUBSTITUTE(AY20,CHAR(160),""))),0))&gt;(IFERROR(VALUE(TRIM(SUBSTITUTE(W20,CHAR(160),""))),0)),"Attention : Le montant retenu HT est supérieur au montant HT présenté. Merci de revoir la ligne de dépense,plafonner son montant,ou justifier la reventillation HT/TVA.",(IFERROR(VALUE(TRIM(SUBSTITUTE(AZ20,CHAR(160),""))),0))&gt;(IFERROR(VALUE(TRIM(SUBSTITUTE(X20,CHAR(160),""))),0)),"Attention : Le montant TVA retenu est supérieur au montant TVA présenté. Merci de revoir la ligne de dépense,plafonner son montant,ou justifier la reventillation HT/TVA.",(IFERROR(VALUE(TRIM(SUBSTITUTE(Y20,CHAR(160),""))),0))=0,"",(IFERROR(VALUE(TRIM(SUBSTITUTE(BA20,CHAR(160),""))),0))=(IFERROR(VALUE(TRIM(SUBSTITUTE(Y20,CHAR(160),""))),0)),"OK",
OR((IFERROR(VALUE(TRIM(SUBSTITUTE(BA20,CHAR(160),""))),0))=0,(IFERROR(VALUE(TRIM(SUBSTITUTE(AY20,CHAR(160),""))),0))=0),"Attention : montant présenté entièrement écarté",(IFERROR(VALUE(TRIM(SUBSTITUTE(BA20,CHAR(160),""))),0))&lt;(IFERROR(VALUE(TRIM(SUBSTITUTE(Y20,CHAR(160),""))),0)),"Attention : montant présenté partiellement écarté",TRUE,""))</f>
        <v/>
      </c>
      <c r="BE20" s="44" t="str">
        <f t="shared" si="25"/>
        <v/>
      </c>
      <c r="BF20" s="44" t="str">
        <f t="shared" si="26"/>
        <v/>
      </c>
      <c r="BG20" s="21" t="str">
        <f t="shared" si="27"/>
        <v/>
      </c>
      <c r="BH20" s="46"/>
    </row>
    <row r="21" spans="1:60" ht="15" customHeight="1">
      <c r="A21" s="70">
        <v>12</v>
      </c>
      <c r="B21" s="784"/>
      <c r="C21" s="7"/>
      <c r="D21" s="11"/>
      <c r="E21" s="451"/>
      <c r="F21" s="7"/>
      <c r="G21" s="7"/>
      <c r="H21" s="7"/>
      <c r="I21" s="7"/>
      <c r="J21" s="17"/>
      <c r="K21" s="7"/>
      <c r="L21" s="132"/>
      <c r="M21" s="138"/>
      <c r="N21" s="8"/>
      <c r="O21" s="35" t="str">
        <f t="shared" si="0"/>
        <v/>
      </c>
      <c r="P21" s="9"/>
      <c r="Q21" s="8"/>
      <c r="R21" s="35" t="str">
        <f t="shared" si="1"/>
        <v/>
      </c>
      <c r="S21" s="10"/>
      <c r="T21" s="8"/>
      <c r="U21" s="139" t="str">
        <f t="shared" si="2"/>
        <v/>
      </c>
      <c r="V21" s="147"/>
      <c r="W21" s="770" t="str" cm="1">
        <f t="array" ref="W21">IF((_xlfn.IFS(TRIM(SUBSTITUTE(V21,CHAR(160),""))="Devis 1",IFERROR(VALUE(TRIM(SUBSTITUTE(M21,CHAR(160),""))),0),TRIM(SUBSTITUTE(V21,CHAR(160),""))="Devis 2",IFERROR(VALUE(TRIM(SUBSTITUTE(P21,CHAR(160),""))),0),TRIM(SUBSTITUTE(V21,CHAR(160),""))="Devis 3",IFERROR(VALUE(TRIM(SUBSTITUTE(S21,CHAR(160),""))),0),TRUE,0)*IFERROR(VALUE(TRIM(SUBSTITUTE(D21,CHAR(160),""))),0))=0,"",_xlfn.IFS(TRIM(SUBSTITUTE(V21,CHAR(160),""))="Devis 1",IFERROR(VALUE(TRIM(SUBSTITUTE(M21,CHAR(160),""))),0),TRIM(SUBSTITUTE(V21,CHAR(160),""))="Devis 2",IFERROR(VALUE(TRIM(SUBSTITUTE(P21,CHAR(160),""))),0),TRIM(SUBSTITUTE(V21,CHAR(160),""))="Devis 3",IFERROR(VALUE(TRIM(SUBSTITUTE(S21,CHAR(160),""))),0),TRUE,0)*IFERROR(VALUE(TRIM(SUBSTITUTE(D21,CHAR(160),""))),0))</f>
        <v/>
      </c>
      <c r="X21" s="73" t="str" cm="1">
        <f t="array" ref="X21">IF(_xlfn.IFS(TRIM(SUBSTITUTE(V21,CHAR(160),""))="Devis 1",IFERROR(VALUE(TRIM(SUBSTITUTE(N21,CHAR(160),""))),0),TRIM(SUBSTITUTE(V21,CHAR(160),""))="Devis 2",IFERROR(VALUE(TRIM(SUBSTITUTE(Q21,CHAR(160),""))),0),TRIM(SUBSTITUTE(V21,CHAR(160),""))="Devis 3",IFERROR(VALUE(TRIM(SUBSTITUTE(T21,CHAR(160),""))),0),TRUE,0)*IFERROR(VALUE(TRIM(SUBSTITUTE(D21,CHAR(160),""))),0)=0,IF(W21&lt;&gt;"",0,""),_xlfn.IFS(TRIM(SUBSTITUTE(V21,CHAR(160),""))="Devis 1",IFERROR(VALUE(TRIM(SUBSTITUTE(N21,CHAR(160),""))),0),TRIM(SUBSTITUTE(V21,CHAR(160),""))="Devis 2",IFERROR(VALUE(TRIM(SUBSTITUTE(Q21,CHAR(160),""))),0),TRIM(SUBSTITUTE(V21,CHAR(160),""))="Devis 3",IFERROR(VALUE(TRIM(SUBSTITUTE(T21,CHAR(160),""))),0),TRUE,0)*IFERROR(VALUE(TRIM(SUBSTITUTE(D21,CHAR(160),""))),0))</f>
        <v/>
      </c>
      <c r="Y21" s="149" t="str">
        <f t="shared" si="3"/>
        <v/>
      </c>
      <c r="Z21" s="150"/>
      <c r="AA21" s="36" t="str">
        <f t="shared" si="4"/>
        <v/>
      </c>
      <c r="AB21" s="37" t="str">
        <f t="shared" si="30"/>
        <v/>
      </c>
      <c r="AC21" s="37" t="str">
        <f t="shared" si="31"/>
        <v/>
      </c>
      <c r="AD21" s="14" t="str">
        <f t="shared" si="5"/>
        <v/>
      </c>
      <c r="AE21" s="14" t="str">
        <f t="shared" si="6"/>
        <v/>
      </c>
      <c r="AF21" s="14" t="str">
        <f t="shared" si="7"/>
        <v/>
      </c>
      <c r="AG21" s="14" t="str">
        <f t="shared" si="8"/>
        <v/>
      </c>
      <c r="AH21" s="38" t="str">
        <f t="shared" si="9"/>
        <v/>
      </c>
      <c r="AI21" s="14" t="str">
        <f t="shared" si="10"/>
        <v/>
      </c>
      <c r="AJ21" s="39" t="str">
        <f t="shared" si="11"/>
        <v/>
      </c>
      <c r="AK21" s="40" t="str">
        <f t="shared" si="12"/>
        <v/>
      </c>
      <c r="AL21" s="20" t="str">
        <f t="shared" si="13"/>
        <v/>
      </c>
      <c r="AM21" s="35" t="str">
        <f t="shared" si="14"/>
        <v/>
      </c>
      <c r="AN21" s="41" t="str">
        <f t="shared" si="15"/>
        <v/>
      </c>
      <c r="AO21" s="20" t="str">
        <f t="shared" si="16"/>
        <v/>
      </c>
      <c r="AP21" s="35" t="str">
        <f t="shared" si="17"/>
        <v/>
      </c>
      <c r="AQ21" s="42" t="str">
        <f t="shared" si="18"/>
        <v/>
      </c>
      <c r="AR21" s="20" t="str">
        <f t="shared" si="19"/>
        <v/>
      </c>
      <c r="AS21" s="43" t="str">
        <f t="shared" si="20"/>
        <v/>
      </c>
      <c r="AT21" s="36" t="str">
        <f t="shared" si="21"/>
        <v/>
      </c>
      <c r="AU21" s="184"/>
      <c r="AV21" s="44" t="str">
        <f t="shared" si="22"/>
        <v/>
      </c>
      <c r="AW21" s="44" t="str">
        <f t="shared" si="23"/>
        <v/>
      </c>
      <c r="AX21" s="44" t="str">
        <f t="shared" si="24"/>
        <v/>
      </c>
      <c r="AY21" s="74" t="str" cm="1">
        <f t="array" ref="AY21">IF($AB21="","",IF((IFERROR(_xlfn.IFS($AT21="Devis 1",(IFERROR(VALUE(TRIM(SUBSTITUTE(AK21,CHAR(160),""))),0)),$AT21="Devis 2",(IFERROR(VALUE(TRIM(SUBSTITUTE(AN21,CHAR(160),""))),0)),$AT21="Devis 3",(IFERROR(VALUE(TRIM(SUBSTITUTE(AQ21,CHAR(160),""))),0))),0))*(IFERROR(VALUE(TRIM(SUBSTITUTE($AB21,CHAR(160),""))),0))=0,"",(IFERROR(_xlfn.IFS($AT21="Devis 1",(IFERROR(VALUE(TRIM(SUBSTITUTE(AK21,CHAR(160),""))),0)),$AT21="Devis 2",(IFERROR(VALUE(TRIM(SUBSTITUTE(AN21,CHAR(160),""))),0)),$AT21="Devis 3",(IFERROR(VALUE(TRIM(SUBSTITUTE(AQ21,CHAR(160),""))),0))),0))*(IFERROR(VALUE(TRIM(SUBSTITUTE($AB21,CHAR(160),""))),0))))</f>
        <v/>
      </c>
      <c r="AZ21" s="74" t="str" cm="1">
        <f t="array" ref="AZ21">IF($AB21="","",IF((IFERROR(_xlfn.IFS(TRIM(SUBSTITUTE($AT21,CHAR(160),""))="Devis 1", IFERROR(VALUE(TRIM(SUBSTITUTE(AL21,CHAR(160),""))),0),TRIM(SUBSTITUTE($AT21,CHAR(160),""))="Devis 2", IFERROR(VALUE(TRIM(SUBSTITUTE(AO21,CHAR(160),""))),0),TRIM(SUBSTITUTE($AT21,CHAR(160),""))="Devis 3", IFERROR(VALUE(TRIM(SUBSTITUTE(AR21,CHAR(160),""))),0)),0) * IFERROR(VALUE(TRIM(SUBSTITUTE($AB21,CHAR(160),""))),0)) = 0,IF(AY21&lt;&gt;"",0,""),(IFERROR(_xlfn.IFS(TRIM(SUBSTITUTE($AT21,CHAR(160),""))="Devis 1", IFERROR(VALUE(TRIM(SUBSTITUTE(AL21,CHAR(160),""))),0),TRIM(SUBSTITUTE($AT21,CHAR(160),""))="Devis 2", IFERROR(VALUE(TRIM(SUBSTITUTE(AO21,CHAR(160),""))),0),TRIM(SUBSTITUTE($AT21,CHAR(160),""))="Devis 3", IFERROR(VALUE(TRIM(SUBSTITUTE(AR21,CHAR(160),""))),0)),0) * IFERROR(VALUE(TRIM(SUBSTITUTE($AB21,CHAR(160),""))),0))))</f>
        <v/>
      </c>
      <c r="BA21" s="74" t="str" cm="1">
        <f t="array" ref="BA21">IF($AB21="","",IF(IFERROR(_xlfn.IFS($AT21="Devis 1",IFERROR(VALUE(TRIM(SUBSTITUTE(AM21,CHAR(160),""))),0),$AT21="Devis 2",IFERROR(VALUE(TRIM(SUBSTITUTE(AP21,CHAR(160),""))),0),$AT21="Devis 3",IFERROR(VALUE(TRIM(SUBSTITUTE(AS21,CHAR(160),""))),0)),0)*IFERROR(VALUE(TRIM(SUBSTITUTE($AB21,CHAR(160),""))),0)=0,"",IFERROR(_xlfn.IFS($AT21="Devis 1",IFERROR(VALUE(TRIM(SUBSTITUTE(AM21,CHAR(160),""))),0),$AT21="Devis 2",IFERROR(VALUE(TRIM(SUBSTITUTE(AP21,CHAR(160),""))),0),$AT21="Devis 3",IFERROR(VALUE(TRIM(SUBSTITUTE(AS21,CHAR(160),""))),0)),0)*IFERROR(VALUE(TRIM(SUBSTITUTE($AB21,CHAR(160),""))),0)))</f>
        <v/>
      </c>
      <c r="BB21" s="45"/>
      <c r="BC21" s="13" t="str" cm="1">
        <f t="array" ref="BC21">IF(OR(BA21="",AX21="",AY21="",AV21="",AZ21="",AW21=""),"",_xlfn.IFS((IFERROR(VALUE(TRIM(SUBSTITUTE(BA21,CHAR(160),""))),0))&gt;(IFERROR(VALUE(TRIM(SUBSTITUTE(AX21,CHAR(160),""))),0)),"KO : Le montant retenu TTC est supérieur au montant raisonnable TTC. Merci de revoir la ligne de dépense ou plafonner son montant.",(IFERROR(VALUE(TRIM(SUBSTITUTE(AY21,CHAR(160),""))),0))&gt;(IFERROR(VALUE(TRIM(SUBSTITUTE(AV21,CHAR(160),""))),0)),"Attention : Le montant retenu HT est supérieur au montant HT raisonnable. Merci de revoir la ligne de dépense, plafonner son montant, ou justifier la reventillation HT / TVA.",(IFERROR(VALUE(TRIM(SUBSTITUTE(AZ21,CHAR(160),""))),0))&gt;(IFERROR(VALUE(TRIM(SUBSTITUTE(AW21,CHAR(160),""))),0)),"Attention : Le montant TVA retenu est supérieur au montant TVA raisonnable. Merci de revoir la ligne de dépense, plafonner son montant, ou justifier la reventillation HT / TVA.",(IFERROR(VALUE(TRIM(SUBSTITUTE(BA21,CHAR(160),""))),0))=0,"",(IFERROR(VALUE(TRIM(SUBSTITUTE(AX21,CHAR(160),""))),0))=(IFERROR(VALUE(TRIM(SUBSTITUTE(BA21,CHAR(160),""))),0)),"OK",(IFERROR(VALUE(TRIM(SUBSTITUTE(AX21,CHAR(160),""))),0))&gt;(IFERROR(VALUE(TRIM(SUBSTITUTE(BA21,CHAR(160),""))),0))," OK : Montant instruit inférieur au montant raisonnable.",TRUE,""))</f>
        <v/>
      </c>
      <c r="BD21" s="187" t="str" cm="1">
        <f t="array" ref="BD21">IF(OR(BA21="",Y21="",AY21="",W21="",AZ21="",X21=""),"",_xlfn.IFS((IFERROR(VALUE(TRIM(SUBSTITUTE(BA21,CHAR(160),""))),0))&gt;(IFERROR(VALUE(TRIM(SUBSTITUTE(Y21,CHAR(160),""))),0)),"KO : Le montant retenu TTC est supérieur au montant présenté TTC. Merci de revoir la ligne de dépense ou plafonner son montant.",(IFERROR(VALUE(TRIM(SUBSTITUTE(AY21,CHAR(160),""))),0))&gt;(IFERROR(VALUE(TRIM(SUBSTITUTE(W21,CHAR(160),""))),0)),"Attention : Le montant retenu HT est supérieur au montant HT présenté. Merci de revoir la ligne de dépense,plafonner son montant,ou justifier la reventillation HT/TVA.",(IFERROR(VALUE(TRIM(SUBSTITUTE(AZ21,CHAR(160),""))),0))&gt;(IFERROR(VALUE(TRIM(SUBSTITUTE(X21,CHAR(160),""))),0)),"Attention : Le montant TVA retenu est supérieur au montant TVA présenté. Merci de revoir la ligne de dépense,plafonner son montant,ou justifier la reventillation HT/TVA.",(IFERROR(VALUE(TRIM(SUBSTITUTE(Y21,CHAR(160),""))),0))=0,"",(IFERROR(VALUE(TRIM(SUBSTITUTE(BA21,CHAR(160),""))),0))=(IFERROR(VALUE(TRIM(SUBSTITUTE(Y21,CHAR(160),""))),0)),"OK",
OR((IFERROR(VALUE(TRIM(SUBSTITUTE(BA21,CHAR(160),""))),0))=0,(IFERROR(VALUE(TRIM(SUBSTITUTE(AY21,CHAR(160),""))),0))=0),"Attention : montant présenté entièrement écarté",(IFERROR(VALUE(TRIM(SUBSTITUTE(BA21,CHAR(160),""))),0))&lt;(IFERROR(VALUE(TRIM(SUBSTITUTE(Y21,CHAR(160),""))),0)),"Attention : montant présenté partiellement écarté",TRUE,""))</f>
        <v/>
      </c>
      <c r="BE21" s="44" t="str">
        <f t="shared" si="25"/>
        <v/>
      </c>
      <c r="BF21" s="44" t="str">
        <f t="shared" si="26"/>
        <v/>
      </c>
      <c r="BG21" s="21" t="str">
        <f t="shared" si="27"/>
        <v/>
      </c>
      <c r="BH21" s="46"/>
    </row>
    <row r="22" spans="1:60" ht="15" customHeight="1">
      <c r="A22" s="70">
        <v>13</v>
      </c>
      <c r="B22" s="784"/>
      <c r="C22" s="7"/>
      <c r="D22" s="11"/>
      <c r="E22" s="451"/>
      <c r="F22" s="7"/>
      <c r="G22" s="7"/>
      <c r="H22" s="7"/>
      <c r="I22" s="7"/>
      <c r="J22" s="17"/>
      <c r="K22" s="7"/>
      <c r="L22" s="132"/>
      <c r="M22" s="138"/>
      <c r="N22" s="8"/>
      <c r="O22" s="35" t="str">
        <f t="shared" si="0"/>
        <v/>
      </c>
      <c r="P22" s="9"/>
      <c r="Q22" s="8"/>
      <c r="R22" s="35" t="str">
        <f t="shared" si="1"/>
        <v/>
      </c>
      <c r="S22" s="10"/>
      <c r="T22" s="8"/>
      <c r="U22" s="139" t="str">
        <f t="shared" si="2"/>
        <v/>
      </c>
      <c r="V22" s="147"/>
      <c r="W22" s="770" t="str" cm="1">
        <f t="array" ref="W22">IF((_xlfn.IFS(TRIM(SUBSTITUTE(V22,CHAR(160),""))="Devis 1",IFERROR(VALUE(TRIM(SUBSTITUTE(M22,CHAR(160),""))),0),TRIM(SUBSTITUTE(V22,CHAR(160),""))="Devis 2",IFERROR(VALUE(TRIM(SUBSTITUTE(P22,CHAR(160),""))),0),TRIM(SUBSTITUTE(V22,CHAR(160),""))="Devis 3",IFERROR(VALUE(TRIM(SUBSTITUTE(S22,CHAR(160),""))),0),TRUE,0)*IFERROR(VALUE(TRIM(SUBSTITUTE(D22,CHAR(160),""))),0))=0,"",_xlfn.IFS(TRIM(SUBSTITUTE(V22,CHAR(160),""))="Devis 1",IFERROR(VALUE(TRIM(SUBSTITUTE(M22,CHAR(160),""))),0),TRIM(SUBSTITUTE(V22,CHAR(160),""))="Devis 2",IFERROR(VALUE(TRIM(SUBSTITUTE(P22,CHAR(160),""))),0),TRIM(SUBSTITUTE(V22,CHAR(160),""))="Devis 3",IFERROR(VALUE(TRIM(SUBSTITUTE(S22,CHAR(160),""))),0),TRUE,0)*IFERROR(VALUE(TRIM(SUBSTITUTE(D22,CHAR(160),""))),0))</f>
        <v/>
      </c>
      <c r="X22" s="73" t="str" cm="1">
        <f t="array" ref="X22">IF(_xlfn.IFS(TRIM(SUBSTITUTE(V22,CHAR(160),""))="Devis 1",IFERROR(VALUE(TRIM(SUBSTITUTE(N22,CHAR(160),""))),0),TRIM(SUBSTITUTE(V22,CHAR(160),""))="Devis 2",IFERROR(VALUE(TRIM(SUBSTITUTE(Q22,CHAR(160),""))),0),TRIM(SUBSTITUTE(V22,CHAR(160),""))="Devis 3",IFERROR(VALUE(TRIM(SUBSTITUTE(T22,CHAR(160),""))),0),TRUE,0)*IFERROR(VALUE(TRIM(SUBSTITUTE(D22,CHAR(160),""))),0)=0,IF(W22&lt;&gt;"",0,""),_xlfn.IFS(TRIM(SUBSTITUTE(V22,CHAR(160),""))="Devis 1",IFERROR(VALUE(TRIM(SUBSTITUTE(N22,CHAR(160),""))),0),TRIM(SUBSTITUTE(V22,CHAR(160),""))="Devis 2",IFERROR(VALUE(TRIM(SUBSTITUTE(Q22,CHAR(160),""))),0),TRIM(SUBSTITUTE(V22,CHAR(160),""))="Devis 3",IFERROR(VALUE(TRIM(SUBSTITUTE(T22,CHAR(160),""))),0),TRUE,0)*IFERROR(VALUE(TRIM(SUBSTITUTE(D22,CHAR(160),""))),0))</f>
        <v/>
      </c>
      <c r="Y22" s="149" t="str">
        <f t="shared" si="3"/>
        <v/>
      </c>
      <c r="Z22" s="150"/>
      <c r="AA22" s="36" t="str">
        <f t="shared" si="4"/>
        <v/>
      </c>
      <c r="AB22" s="37" t="str">
        <f t="shared" si="30"/>
        <v/>
      </c>
      <c r="AC22" s="37" t="str">
        <f t="shared" si="31"/>
        <v/>
      </c>
      <c r="AD22" s="14" t="str">
        <f t="shared" si="5"/>
        <v/>
      </c>
      <c r="AE22" s="14" t="str">
        <f t="shared" si="6"/>
        <v/>
      </c>
      <c r="AF22" s="14" t="str">
        <f t="shared" si="7"/>
        <v/>
      </c>
      <c r="AG22" s="14" t="str">
        <f t="shared" si="8"/>
        <v/>
      </c>
      <c r="AH22" s="38" t="str">
        <f t="shared" si="9"/>
        <v/>
      </c>
      <c r="AI22" s="14" t="str">
        <f t="shared" si="10"/>
        <v/>
      </c>
      <c r="AJ22" s="39" t="str">
        <f t="shared" si="11"/>
        <v/>
      </c>
      <c r="AK22" s="40" t="str">
        <f t="shared" si="12"/>
        <v/>
      </c>
      <c r="AL22" s="20" t="str">
        <f t="shared" si="13"/>
        <v/>
      </c>
      <c r="AM22" s="35" t="str">
        <f t="shared" si="14"/>
        <v/>
      </c>
      <c r="AN22" s="41" t="str">
        <f t="shared" si="15"/>
        <v/>
      </c>
      <c r="AO22" s="20" t="str">
        <f t="shared" si="16"/>
        <v/>
      </c>
      <c r="AP22" s="35" t="str">
        <f t="shared" si="17"/>
        <v/>
      </c>
      <c r="AQ22" s="42" t="str">
        <f t="shared" si="18"/>
        <v/>
      </c>
      <c r="AR22" s="20" t="str">
        <f t="shared" si="19"/>
        <v/>
      </c>
      <c r="AS22" s="43" t="str">
        <f t="shared" si="20"/>
        <v/>
      </c>
      <c r="AT22" s="36" t="str">
        <f t="shared" si="21"/>
        <v/>
      </c>
      <c r="AU22" s="184"/>
      <c r="AV22" s="44" t="str">
        <f t="shared" si="22"/>
        <v/>
      </c>
      <c r="AW22" s="44" t="str">
        <f t="shared" si="23"/>
        <v/>
      </c>
      <c r="AX22" s="44" t="str">
        <f t="shared" si="24"/>
        <v/>
      </c>
      <c r="AY22" s="74" t="str" cm="1">
        <f t="array" ref="AY22">IF($AB22="","",IF((IFERROR(_xlfn.IFS($AT22="Devis 1",(IFERROR(VALUE(TRIM(SUBSTITUTE(AK22,CHAR(160),""))),0)),$AT22="Devis 2",(IFERROR(VALUE(TRIM(SUBSTITUTE(AN22,CHAR(160),""))),0)),$AT22="Devis 3",(IFERROR(VALUE(TRIM(SUBSTITUTE(AQ22,CHAR(160),""))),0))),0))*(IFERROR(VALUE(TRIM(SUBSTITUTE($AB22,CHAR(160),""))),0))=0,"",(IFERROR(_xlfn.IFS($AT22="Devis 1",(IFERROR(VALUE(TRIM(SUBSTITUTE(AK22,CHAR(160),""))),0)),$AT22="Devis 2",(IFERROR(VALUE(TRIM(SUBSTITUTE(AN22,CHAR(160),""))),0)),$AT22="Devis 3",(IFERROR(VALUE(TRIM(SUBSTITUTE(AQ22,CHAR(160),""))),0))),0))*(IFERROR(VALUE(TRIM(SUBSTITUTE($AB22,CHAR(160),""))),0))))</f>
        <v/>
      </c>
      <c r="AZ22" s="74" t="str" cm="1">
        <f t="array" ref="AZ22">IF($AB22="","",IF((IFERROR(_xlfn.IFS(TRIM(SUBSTITUTE($AT22,CHAR(160),""))="Devis 1", IFERROR(VALUE(TRIM(SUBSTITUTE(AL22,CHAR(160),""))),0),TRIM(SUBSTITUTE($AT22,CHAR(160),""))="Devis 2", IFERROR(VALUE(TRIM(SUBSTITUTE(AO22,CHAR(160),""))),0),TRIM(SUBSTITUTE($AT22,CHAR(160),""))="Devis 3", IFERROR(VALUE(TRIM(SUBSTITUTE(AR22,CHAR(160),""))),0)),0) * IFERROR(VALUE(TRIM(SUBSTITUTE($AB22,CHAR(160),""))),0)) = 0,IF(AY22&lt;&gt;"",0,""),(IFERROR(_xlfn.IFS(TRIM(SUBSTITUTE($AT22,CHAR(160),""))="Devis 1", IFERROR(VALUE(TRIM(SUBSTITUTE(AL22,CHAR(160),""))),0),TRIM(SUBSTITUTE($AT22,CHAR(160),""))="Devis 2", IFERROR(VALUE(TRIM(SUBSTITUTE(AO22,CHAR(160),""))),0),TRIM(SUBSTITUTE($AT22,CHAR(160),""))="Devis 3", IFERROR(VALUE(TRIM(SUBSTITUTE(AR22,CHAR(160),""))),0)),0) * IFERROR(VALUE(TRIM(SUBSTITUTE($AB22,CHAR(160),""))),0))))</f>
        <v/>
      </c>
      <c r="BA22" s="74" t="str" cm="1">
        <f t="array" ref="BA22">IF($AB22="","",IF(IFERROR(_xlfn.IFS($AT22="Devis 1",IFERROR(VALUE(TRIM(SUBSTITUTE(AM22,CHAR(160),""))),0),$AT22="Devis 2",IFERROR(VALUE(TRIM(SUBSTITUTE(AP22,CHAR(160),""))),0),$AT22="Devis 3",IFERROR(VALUE(TRIM(SUBSTITUTE(AS22,CHAR(160),""))),0)),0)*IFERROR(VALUE(TRIM(SUBSTITUTE($AB22,CHAR(160),""))),0)=0,"",IFERROR(_xlfn.IFS($AT22="Devis 1",IFERROR(VALUE(TRIM(SUBSTITUTE(AM22,CHAR(160),""))),0),$AT22="Devis 2",IFERROR(VALUE(TRIM(SUBSTITUTE(AP22,CHAR(160),""))),0),$AT22="Devis 3",IFERROR(VALUE(TRIM(SUBSTITUTE(AS22,CHAR(160),""))),0)),0)*IFERROR(VALUE(TRIM(SUBSTITUTE($AB22,CHAR(160),""))),0)))</f>
        <v/>
      </c>
      <c r="BB22" s="45"/>
      <c r="BC22" s="13" t="str" cm="1">
        <f t="array" ref="BC22">IF(OR(BA22="",AX22="",AY22="",AV22="",AZ22="",AW22=""),"",_xlfn.IFS((IFERROR(VALUE(TRIM(SUBSTITUTE(BA22,CHAR(160),""))),0))&gt;(IFERROR(VALUE(TRIM(SUBSTITUTE(AX22,CHAR(160),""))),0)),"KO : Le montant retenu TTC est supérieur au montant raisonnable TTC. Merci de revoir la ligne de dépense ou plafonner son montant.",(IFERROR(VALUE(TRIM(SUBSTITUTE(AY22,CHAR(160),""))),0))&gt;(IFERROR(VALUE(TRIM(SUBSTITUTE(AV22,CHAR(160),""))),0)),"Attention : Le montant retenu HT est supérieur au montant HT raisonnable. Merci de revoir la ligne de dépense, plafonner son montant, ou justifier la reventillation HT / TVA.",(IFERROR(VALUE(TRIM(SUBSTITUTE(AZ22,CHAR(160),""))),0))&gt;(IFERROR(VALUE(TRIM(SUBSTITUTE(AW22,CHAR(160),""))),0)),"Attention : Le montant TVA retenu est supérieur au montant TVA raisonnable. Merci de revoir la ligne de dépense, plafonner son montant, ou justifier la reventillation HT / TVA.",(IFERROR(VALUE(TRIM(SUBSTITUTE(BA22,CHAR(160),""))),0))=0,"",(IFERROR(VALUE(TRIM(SUBSTITUTE(AX22,CHAR(160),""))),0))=(IFERROR(VALUE(TRIM(SUBSTITUTE(BA22,CHAR(160),""))),0)),"OK",(IFERROR(VALUE(TRIM(SUBSTITUTE(AX22,CHAR(160),""))),0))&gt;(IFERROR(VALUE(TRIM(SUBSTITUTE(BA22,CHAR(160),""))),0))," OK : Montant instruit inférieur au montant raisonnable.",TRUE,""))</f>
        <v/>
      </c>
      <c r="BD22" s="187" t="str" cm="1">
        <f t="array" ref="BD22">IF(OR(BA22="",Y22="",AY22="",W22="",AZ22="",X22=""),"",_xlfn.IFS((IFERROR(VALUE(TRIM(SUBSTITUTE(BA22,CHAR(160),""))),0))&gt;(IFERROR(VALUE(TRIM(SUBSTITUTE(Y22,CHAR(160),""))),0)),"KO : Le montant retenu TTC est supérieur au montant présenté TTC. Merci de revoir la ligne de dépense ou plafonner son montant.",(IFERROR(VALUE(TRIM(SUBSTITUTE(AY22,CHAR(160),""))),0))&gt;(IFERROR(VALUE(TRIM(SUBSTITUTE(W22,CHAR(160),""))),0)),"Attention : Le montant retenu HT est supérieur au montant HT présenté. Merci de revoir la ligne de dépense,plafonner son montant,ou justifier la reventillation HT/TVA.",(IFERROR(VALUE(TRIM(SUBSTITUTE(AZ22,CHAR(160),""))),0))&gt;(IFERROR(VALUE(TRIM(SUBSTITUTE(X22,CHAR(160),""))),0)),"Attention : Le montant TVA retenu est supérieur au montant TVA présenté. Merci de revoir la ligne de dépense,plafonner son montant,ou justifier la reventillation HT/TVA.",(IFERROR(VALUE(TRIM(SUBSTITUTE(Y22,CHAR(160),""))),0))=0,"",(IFERROR(VALUE(TRIM(SUBSTITUTE(BA22,CHAR(160),""))),0))=(IFERROR(VALUE(TRIM(SUBSTITUTE(Y22,CHAR(160),""))),0)),"OK",
OR((IFERROR(VALUE(TRIM(SUBSTITUTE(BA22,CHAR(160),""))),0))=0,(IFERROR(VALUE(TRIM(SUBSTITUTE(AY22,CHAR(160),""))),0))=0),"Attention : montant présenté entièrement écarté",(IFERROR(VALUE(TRIM(SUBSTITUTE(BA22,CHAR(160),""))),0))&lt;(IFERROR(VALUE(TRIM(SUBSTITUTE(Y22,CHAR(160),""))),0)),"Attention : montant présenté partiellement écarté",TRUE,""))</f>
        <v/>
      </c>
      <c r="BE22" s="44" t="str">
        <f t="shared" si="25"/>
        <v/>
      </c>
      <c r="BF22" s="44" t="str">
        <f t="shared" si="26"/>
        <v/>
      </c>
      <c r="BG22" s="21" t="str">
        <f t="shared" si="27"/>
        <v/>
      </c>
      <c r="BH22" s="46"/>
    </row>
    <row r="23" spans="1:60" ht="15" customHeight="1">
      <c r="A23" s="70">
        <v>14</v>
      </c>
      <c r="B23" s="784"/>
      <c r="C23" s="7"/>
      <c r="D23" s="11"/>
      <c r="E23" s="451"/>
      <c r="F23" s="7"/>
      <c r="G23" s="7"/>
      <c r="H23" s="7"/>
      <c r="I23" s="7"/>
      <c r="J23" s="17"/>
      <c r="K23" s="7"/>
      <c r="L23" s="132"/>
      <c r="M23" s="138"/>
      <c r="N23" s="8"/>
      <c r="O23" s="35" t="str">
        <f t="shared" si="0"/>
        <v/>
      </c>
      <c r="P23" s="9"/>
      <c r="Q23" s="8"/>
      <c r="R23" s="35" t="str">
        <f t="shared" si="1"/>
        <v/>
      </c>
      <c r="S23" s="10"/>
      <c r="T23" s="8"/>
      <c r="U23" s="139" t="str">
        <f t="shared" si="2"/>
        <v/>
      </c>
      <c r="V23" s="147"/>
      <c r="W23" s="770" t="str" cm="1">
        <f t="array" ref="W23">IF((_xlfn.IFS(TRIM(SUBSTITUTE(V23,CHAR(160),""))="Devis 1",IFERROR(VALUE(TRIM(SUBSTITUTE(M23,CHAR(160),""))),0),TRIM(SUBSTITUTE(V23,CHAR(160),""))="Devis 2",IFERROR(VALUE(TRIM(SUBSTITUTE(P23,CHAR(160),""))),0),TRIM(SUBSTITUTE(V23,CHAR(160),""))="Devis 3",IFERROR(VALUE(TRIM(SUBSTITUTE(S23,CHAR(160),""))),0),TRUE,0)*IFERROR(VALUE(TRIM(SUBSTITUTE(D23,CHAR(160),""))),0))=0,"",_xlfn.IFS(TRIM(SUBSTITUTE(V23,CHAR(160),""))="Devis 1",IFERROR(VALUE(TRIM(SUBSTITUTE(M23,CHAR(160),""))),0),TRIM(SUBSTITUTE(V23,CHAR(160),""))="Devis 2",IFERROR(VALUE(TRIM(SUBSTITUTE(P23,CHAR(160),""))),0),TRIM(SUBSTITUTE(V23,CHAR(160),""))="Devis 3",IFERROR(VALUE(TRIM(SUBSTITUTE(S23,CHAR(160),""))),0),TRUE,0)*IFERROR(VALUE(TRIM(SUBSTITUTE(D23,CHAR(160),""))),0))</f>
        <v/>
      </c>
      <c r="X23" s="73" t="str" cm="1">
        <f t="array" ref="X23">IF(_xlfn.IFS(TRIM(SUBSTITUTE(V23,CHAR(160),""))="Devis 1",IFERROR(VALUE(TRIM(SUBSTITUTE(N23,CHAR(160),""))),0),TRIM(SUBSTITUTE(V23,CHAR(160),""))="Devis 2",IFERROR(VALUE(TRIM(SUBSTITUTE(Q23,CHAR(160),""))),0),TRIM(SUBSTITUTE(V23,CHAR(160),""))="Devis 3",IFERROR(VALUE(TRIM(SUBSTITUTE(T23,CHAR(160),""))),0),TRUE,0)*IFERROR(VALUE(TRIM(SUBSTITUTE(D23,CHAR(160),""))),0)=0,IF(W23&lt;&gt;"",0,""),_xlfn.IFS(TRIM(SUBSTITUTE(V23,CHAR(160),""))="Devis 1",IFERROR(VALUE(TRIM(SUBSTITUTE(N23,CHAR(160),""))),0),TRIM(SUBSTITUTE(V23,CHAR(160),""))="Devis 2",IFERROR(VALUE(TRIM(SUBSTITUTE(Q23,CHAR(160),""))),0),TRIM(SUBSTITUTE(V23,CHAR(160),""))="Devis 3",IFERROR(VALUE(TRIM(SUBSTITUTE(T23,CHAR(160),""))),0),TRUE,0)*IFERROR(VALUE(TRIM(SUBSTITUTE(D23,CHAR(160),""))),0))</f>
        <v/>
      </c>
      <c r="Y23" s="149" t="str">
        <f t="shared" si="3"/>
        <v/>
      </c>
      <c r="Z23" s="150"/>
      <c r="AA23" s="36" t="str">
        <f t="shared" si="4"/>
        <v/>
      </c>
      <c r="AB23" s="37" t="str">
        <f t="shared" si="30"/>
        <v/>
      </c>
      <c r="AC23" s="37" t="str">
        <f t="shared" si="31"/>
        <v/>
      </c>
      <c r="AD23" s="14" t="str">
        <f t="shared" si="5"/>
        <v/>
      </c>
      <c r="AE23" s="14" t="str">
        <f t="shared" si="6"/>
        <v/>
      </c>
      <c r="AF23" s="14" t="str">
        <f t="shared" si="7"/>
        <v/>
      </c>
      <c r="AG23" s="14" t="str">
        <f t="shared" si="8"/>
        <v/>
      </c>
      <c r="AH23" s="38" t="str">
        <f t="shared" si="9"/>
        <v/>
      </c>
      <c r="AI23" s="14" t="str">
        <f t="shared" si="10"/>
        <v/>
      </c>
      <c r="AJ23" s="39" t="str">
        <f t="shared" si="11"/>
        <v/>
      </c>
      <c r="AK23" s="40" t="str">
        <f t="shared" si="12"/>
        <v/>
      </c>
      <c r="AL23" s="20" t="str">
        <f t="shared" si="13"/>
        <v/>
      </c>
      <c r="AM23" s="35" t="str">
        <f t="shared" si="14"/>
        <v/>
      </c>
      <c r="AN23" s="41" t="str">
        <f t="shared" si="15"/>
        <v/>
      </c>
      <c r="AO23" s="20" t="str">
        <f t="shared" si="16"/>
        <v/>
      </c>
      <c r="AP23" s="35" t="str">
        <f t="shared" si="17"/>
        <v/>
      </c>
      <c r="AQ23" s="42" t="str">
        <f t="shared" si="18"/>
        <v/>
      </c>
      <c r="AR23" s="20" t="str">
        <f t="shared" si="19"/>
        <v/>
      </c>
      <c r="AS23" s="43" t="str">
        <f t="shared" si="20"/>
        <v/>
      </c>
      <c r="AT23" s="36" t="str">
        <f t="shared" si="21"/>
        <v/>
      </c>
      <c r="AU23" s="184"/>
      <c r="AV23" s="44" t="str">
        <f t="shared" si="22"/>
        <v/>
      </c>
      <c r="AW23" s="44" t="str">
        <f t="shared" si="23"/>
        <v/>
      </c>
      <c r="AX23" s="44" t="str">
        <f t="shared" si="24"/>
        <v/>
      </c>
      <c r="AY23" s="74" t="str" cm="1">
        <f t="array" ref="AY23">IF($AB23="","",IF((IFERROR(_xlfn.IFS($AT23="Devis 1",(IFERROR(VALUE(TRIM(SUBSTITUTE(AK23,CHAR(160),""))),0)),$AT23="Devis 2",(IFERROR(VALUE(TRIM(SUBSTITUTE(AN23,CHAR(160),""))),0)),$AT23="Devis 3",(IFERROR(VALUE(TRIM(SUBSTITUTE(AQ23,CHAR(160),""))),0))),0))*(IFERROR(VALUE(TRIM(SUBSTITUTE($AB23,CHAR(160),""))),0))=0,"",(IFERROR(_xlfn.IFS($AT23="Devis 1",(IFERROR(VALUE(TRIM(SUBSTITUTE(AK23,CHAR(160),""))),0)),$AT23="Devis 2",(IFERROR(VALUE(TRIM(SUBSTITUTE(AN23,CHAR(160),""))),0)),$AT23="Devis 3",(IFERROR(VALUE(TRIM(SUBSTITUTE(AQ23,CHAR(160),""))),0))),0))*(IFERROR(VALUE(TRIM(SUBSTITUTE($AB23,CHAR(160),""))),0))))</f>
        <v/>
      </c>
      <c r="AZ23" s="74" t="str" cm="1">
        <f t="array" ref="AZ23">IF($AB23="","",IF((IFERROR(_xlfn.IFS(TRIM(SUBSTITUTE($AT23,CHAR(160),""))="Devis 1", IFERROR(VALUE(TRIM(SUBSTITUTE(AL23,CHAR(160),""))),0),TRIM(SUBSTITUTE($AT23,CHAR(160),""))="Devis 2", IFERROR(VALUE(TRIM(SUBSTITUTE(AO23,CHAR(160),""))),0),TRIM(SUBSTITUTE($AT23,CHAR(160),""))="Devis 3", IFERROR(VALUE(TRIM(SUBSTITUTE(AR23,CHAR(160),""))),0)),0) * IFERROR(VALUE(TRIM(SUBSTITUTE($AB23,CHAR(160),""))),0)) = 0,IF(AY23&lt;&gt;"",0,""),(IFERROR(_xlfn.IFS(TRIM(SUBSTITUTE($AT23,CHAR(160),""))="Devis 1", IFERROR(VALUE(TRIM(SUBSTITUTE(AL23,CHAR(160),""))),0),TRIM(SUBSTITUTE($AT23,CHAR(160),""))="Devis 2", IFERROR(VALUE(TRIM(SUBSTITUTE(AO23,CHAR(160),""))),0),TRIM(SUBSTITUTE($AT23,CHAR(160),""))="Devis 3", IFERROR(VALUE(TRIM(SUBSTITUTE(AR23,CHAR(160),""))),0)),0) * IFERROR(VALUE(TRIM(SUBSTITUTE($AB23,CHAR(160),""))),0))))</f>
        <v/>
      </c>
      <c r="BA23" s="74" t="str" cm="1">
        <f t="array" ref="BA23">IF($AB23="","",IF(IFERROR(_xlfn.IFS($AT23="Devis 1",IFERROR(VALUE(TRIM(SUBSTITUTE(AM23,CHAR(160),""))),0),$AT23="Devis 2",IFERROR(VALUE(TRIM(SUBSTITUTE(AP23,CHAR(160),""))),0),$AT23="Devis 3",IFERROR(VALUE(TRIM(SUBSTITUTE(AS23,CHAR(160),""))),0)),0)*IFERROR(VALUE(TRIM(SUBSTITUTE($AB23,CHAR(160),""))),0)=0,"",IFERROR(_xlfn.IFS($AT23="Devis 1",IFERROR(VALUE(TRIM(SUBSTITUTE(AM23,CHAR(160),""))),0),$AT23="Devis 2",IFERROR(VALUE(TRIM(SUBSTITUTE(AP23,CHAR(160),""))),0),$AT23="Devis 3",IFERROR(VALUE(TRIM(SUBSTITUTE(AS23,CHAR(160),""))),0)),0)*IFERROR(VALUE(TRIM(SUBSTITUTE($AB23,CHAR(160),""))),0)))</f>
        <v/>
      </c>
      <c r="BB23" s="45"/>
      <c r="BC23" s="13" t="str" cm="1">
        <f t="array" ref="BC23">IF(OR(BA23="",AX23="",AY23="",AV23="",AZ23="",AW23=""),"",_xlfn.IFS((IFERROR(VALUE(TRIM(SUBSTITUTE(BA23,CHAR(160),""))),0))&gt;(IFERROR(VALUE(TRIM(SUBSTITUTE(AX23,CHAR(160),""))),0)),"KO : Le montant retenu TTC est supérieur au montant raisonnable TTC. Merci de revoir la ligne de dépense ou plafonner son montant.",(IFERROR(VALUE(TRIM(SUBSTITUTE(AY23,CHAR(160),""))),0))&gt;(IFERROR(VALUE(TRIM(SUBSTITUTE(AV23,CHAR(160),""))),0)),"Attention : Le montant retenu HT est supérieur au montant HT raisonnable. Merci de revoir la ligne de dépense, plafonner son montant, ou justifier la reventillation HT / TVA.",(IFERROR(VALUE(TRIM(SUBSTITUTE(AZ23,CHAR(160),""))),0))&gt;(IFERROR(VALUE(TRIM(SUBSTITUTE(AW23,CHAR(160),""))),0)),"Attention : Le montant TVA retenu est supérieur au montant TVA raisonnable. Merci de revoir la ligne de dépense, plafonner son montant, ou justifier la reventillation HT / TVA.",(IFERROR(VALUE(TRIM(SUBSTITUTE(BA23,CHAR(160),""))),0))=0,"",(IFERROR(VALUE(TRIM(SUBSTITUTE(AX23,CHAR(160),""))),0))=(IFERROR(VALUE(TRIM(SUBSTITUTE(BA23,CHAR(160),""))),0)),"OK",(IFERROR(VALUE(TRIM(SUBSTITUTE(AX23,CHAR(160),""))),0))&gt;(IFERROR(VALUE(TRIM(SUBSTITUTE(BA23,CHAR(160),""))),0))," OK : Montant instruit inférieur au montant raisonnable.",TRUE,""))</f>
        <v/>
      </c>
      <c r="BD23" s="187" t="str" cm="1">
        <f t="array" ref="BD23">IF(OR(BA23="",Y23="",AY23="",W23="",AZ23="",X23=""),"",_xlfn.IFS((IFERROR(VALUE(TRIM(SUBSTITUTE(BA23,CHAR(160),""))),0))&gt;(IFERROR(VALUE(TRIM(SUBSTITUTE(Y23,CHAR(160),""))),0)),"KO : Le montant retenu TTC est supérieur au montant présenté TTC. Merci de revoir la ligne de dépense ou plafonner son montant.",(IFERROR(VALUE(TRIM(SUBSTITUTE(AY23,CHAR(160),""))),0))&gt;(IFERROR(VALUE(TRIM(SUBSTITUTE(W23,CHAR(160),""))),0)),"Attention : Le montant retenu HT est supérieur au montant HT présenté. Merci de revoir la ligne de dépense,plafonner son montant,ou justifier la reventillation HT/TVA.",(IFERROR(VALUE(TRIM(SUBSTITUTE(AZ23,CHAR(160),""))),0))&gt;(IFERROR(VALUE(TRIM(SUBSTITUTE(X23,CHAR(160),""))),0)),"Attention : Le montant TVA retenu est supérieur au montant TVA présenté. Merci de revoir la ligne de dépense,plafonner son montant,ou justifier la reventillation HT/TVA.",(IFERROR(VALUE(TRIM(SUBSTITUTE(Y23,CHAR(160),""))),0))=0,"",(IFERROR(VALUE(TRIM(SUBSTITUTE(BA23,CHAR(160),""))),0))=(IFERROR(VALUE(TRIM(SUBSTITUTE(Y23,CHAR(160),""))),0)),"OK",
OR((IFERROR(VALUE(TRIM(SUBSTITUTE(BA23,CHAR(160),""))),0))=0,(IFERROR(VALUE(TRIM(SUBSTITUTE(AY23,CHAR(160),""))),0))=0),"Attention : montant présenté entièrement écarté",(IFERROR(VALUE(TRIM(SUBSTITUTE(BA23,CHAR(160),""))),0))&lt;(IFERROR(VALUE(TRIM(SUBSTITUTE(Y23,CHAR(160),""))),0)),"Attention : montant présenté partiellement écarté",TRUE,""))</f>
        <v/>
      </c>
      <c r="BE23" s="44" t="str">
        <f t="shared" si="25"/>
        <v/>
      </c>
      <c r="BF23" s="44" t="str">
        <f t="shared" si="26"/>
        <v/>
      </c>
      <c r="BG23" s="21" t="str">
        <f t="shared" si="27"/>
        <v/>
      </c>
      <c r="BH23" s="46"/>
    </row>
    <row r="24" spans="1:60" ht="15" customHeight="1">
      <c r="A24" s="70">
        <v>15</v>
      </c>
      <c r="B24" s="784"/>
      <c r="C24" s="7"/>
      <c r="D24" s="11"/>
      <c r="E24" s="451"/>
      <c r="F24" s="7"/>
      <c r="G24" s="7"/>
      <c r="H24" s="7"/>
      <c r="I24" s="7"/>
      <c r="J24" s="17"/>
      <c r="K24" s="7"/>
      <c r="L24" s="132"/>
      <c r="M24" s="138"/>
      <c r="N24" s="8"/>
      <c r="O24" s="35" t="str">
        <f t="shared" si="0"/>
        <v/>
      </c>
      <c r="P24" s="9"/>
      <c r="Q24" s="8"/>
      <c r="R24" s="35" t="str">
        <f t="shared" si="1"/>
        <v/>
      </c>
      <c r="S24" s="10"/>
      <c r="T24" s="8"/>
      <c r="U24" s="139" t="str">
        <f t="shared" si="2"/>
        <v/>
      </c>
      <c r="V24" s="147"/>
      <c r="W24" s="770" t="str" cm="1">
        <f t="array" ref="W24">IF((_xlfn.IFS(TRIM(SUBSTITUTE(V24,CHAR(160),""))="Devis 1",IFERROR(VALUE(TRIM(SUBSTITUTE(M24,CHAR(160),""))),0),TRIM(SUBSTITUTE(V24,CHAR(160),""))="Devis 2",IFERROR(VALUE(TRIM(SUBSTITUTE(P24,CHAR(160),""))),0),TRIM(SUBSTITUTE(V24,CHAR(160),""))="Devis 3",IFERROR(VALUE(TRIM(SUBSTITUTE(S24,CHAR(160),""))),0),TRUE,0)*IFERROR(VALUE(TRIM(SUBSTITUTE(D24,CHAR(160),""))),0))=0,"",_xlfn.IFS(TRIM(SUBSTITUTE(V24,CHAR(160),""))="Devis 1",IFERROR(VALUE(TRIM(SUBSTITUTE(M24,CHAR(160),""))),0),TRIM(SUBSTITUTE(V24,CHAR(160),""))="Devis 2",IFERROR(VALUE(TRIM(SUBSTITUTE(P24,CHAR(160),""))),0),TRIM(SUBSTITUTE(V24,CHAR(160),""))="Devis 3",IFERROR(VALUE(TRIM(SUBSTITUTE(S24,CHAR(160),""))),0),TRUE,0)*IFERROR(VALUE(TRIM(SUBSTITUTE(D24,CHAR(160),""))),0))</f>
        <v/>
      </c>
      <c r="X24" s="73" t="str" cm="1">
        <f t="array" ref="X24">IF(_xlfn.IFS(TRIM(SUBSTITUTE(V24,CHAR(160),""))="Devis 1",IFERROR(VALUE(TRIM(SUBSTITUTE(N24,CHAR(160),""))),0),TRIM(SUBSTITUTE(V24,CHAR(160),""))="Devis 2",IFERROR(VALUE(TRIM(SUBSTITUTE(Q24,CHAR(160),""))),0),TRIM(SUBSTITUTE(V24,CHAR(160),""))="Devis 3",IFERROR(VALUE(TRIM(SUBSTITUTE(T24,CHAR(160),""))),0),TRUE,0)*IFERROR(VALUE(TRIM(SUBSTITUTE(D24,CHAR(160),""))),0)=0,IF(W24&lt;&gt;"",0,""),_xlfn.IFS(TRIM(SUBSTITUTE(V24,CHAR(160),""))="Devis 1",IFERROR(VALUE(TRIM(SUBSTITUTE(N24,CHAR(160),""))),0),TRIM(SUBSTITUTE(V24,CHAR(160),""))="Devis 2",IFERROR(VALUE(TRIM(SUBSTITUTE(Q24,CHAR(160),""))),0),TRIM(SUBSTITUTE(V24,CHAR(160),""))="Devis 3",IFERROR(VALUE(TRIM(SUBSTITUTE(T24,CHAR(160),""))),0),TRUE,0)*IFERROR(VALUE(TRIM(SUBSTITUTE(D24,CHAR(160),""))),0))</f>
        <v/>
      </c>
      <c r="Y24" s="149" t="str">
        <f t="shared" si="3"/>
        <v/>
      </c>
      <c r="Z24" s="150"/>
      <c r="AA24" s="36" t="str">
        <f t="shared" si="4"/>
        <v/>
      </c>
      <c r="AB24" s="37" t="str">
        <f t="shared" si="30"/>
        <v/>
      </c>
      <c r="AC24" s="37" t="str">
        <f t="shared" si="31"/>
        <v/>
      </c>
      <c r="AD24" s="14" t="str">
        <f t="shared" si="5"/>
        <v/>
      </c>
      <c r="AE24" s="14" t="str">
        <f t="shared" si="6"/>
        <v/>
      </c>
      <c r="AF24" s="14" t="str">
        <f t="shared" si="7"/>
        <v/>
      </c>
      <c r="AG24" s="14" t="str">
        <f t="shared" si="8"/>
        <v/>
      </c>
      <c r="AH24" s="38" t="str">
        <f t="shared" si="9"/>
        <v/>
      </c>
      <c r="AI24" s="14" t="str">
        <f t="shared" si="10"/>
        <v/>
      </c>
      <c r="AJ24" s="39" t="str">
        <f t="shared" si="11"/>
        <v/>
      </c>
      <c r="AK24" s="40" t="str">
        <f t="shared" si="12"/>
        <v/>
      </c>
      <c r="AL24" s="20" t="str">
        <f t="shared" si="13"/>
        <v/>
      </c>
      <c r="AM24" s="35" t="str">
        <f t="shared" si="14"/>
        <v/>
      </c>
      <c r="AN24" s="41" t="str">
        <f t="shared" si="15"/>
        <v/>
      </c>
      <c r="AO24" s="20" t="str">
        <f t="shared" si="16"/>
        <v/>
      </c>
      <c r="AP24" s="35" t="str">
        <f t="shared" si="17"/>
        <v/>
      </c>
      <c r="AQ24" s="42" t="str">
        <f t="shared" si="18"/>
        <v/>
      </c>
      <c r="AR24" s="20" t="str">
        <f t="shared" si="19"/>
        <v/>
      </c>
      <c r="AS24" s="43" t="str">
        <f t="shared" si="20"/>
        <v/>
      </c>
      <c r="AT24" s="36" t="str">
        <f t="shared" si="21"/>
        <v/>
      </c>
      <c r="AU24" s="184"/>
      <c r="AV24" s="44" t="str">
        <f t="shared" si="22"/>
        <v/>
      </c>
      <c r="AW24" s="44" t="str">
        <f t="shared" si="23"/>
        <v/>
      </c>
      <c r="AX24" s="44" t="str">
        <f t="shared" si="24"/>
        <v/>
      </c>
      <c r="AY24" s="74" t="str" cm="1">
        <f t="array" ref="AY24">IF($AB24="","",IF((IFERROR(_xlfn.IFS($AT24="Devis 1",(IFERROR(VALUE(TRIM(SUBSTITUTE(AK24,CHAR(160),""))),0)),$AT24="Devis 2",(IFERROR(VALUE(TRIM(SUBSTITUTE(AN24,CHAR(160),""))),0)),$AT24="Devis 3",(IFERROR(VALUE(TRIM(SUBSTITUTE(AQ24,CHAR(160),""))),0))),0))*(IFERROR(VALUE(TRIM(SUBSTITUTE($AB24,CHAR(160),""))),0))=0,"",(IFERROR(_xlfn.IFS($AT24="Devis 1",(IFERROR(VALUE(TRIM(SUBSTITUTE(AK24,CHAR(160),""))),0)),$AT24="Devis 2",(IFERROR(VALUE(TRIM(SUBSTITUTE(AN24,CHAR(160),""))),0)),$AT24="Devis 3",(IFERROR(VALUE(TRIM(SUBSTITUTE(AQ24,CHAR(160),""))),0))),0))*(IFERROR(VALUE(TRIM(SUBSTITUTE($AB24,CHAR(160),""))),0))))</f>
        <v/>
      </c>
      <c r="AZ24" s="74" t="str" cm="1">
        <f t="array" ref="AZ24">IF($AB24="","",IF((IFERROR(_xlfn.IFS(TRIM(SUBSTITUTE($AT24,CHAR(160),""))="Devis 1", IFERROR(VALUE(TRIM(SUBSTITUTE(AL24,CHAR(160),""))),0),TRIM(SUBSTITUTE($AT24,CHAR(160),""))="Devis 2", IFERROR(VALUE(TRIM(SUBSTITUTE(AO24,CHAR(160),""))),0),TRIM(SUBSTITUTE($AT24,CHAR(160),""))="Devis 3", IFERROR(VALUE(TRIM(SUBSTITUTE(AR24,CHAR(160),""))),0)),0) * IFERROR(VALUE(TRIM(SUBSTITUTE($AB24,CHAR(160),""))),0)) = 0,IF(AY24&lt;&gt;"",0,""),(IFERROR(_xlfn.IFS(TRIM(SUBSTITUTE($AT24,CHAR(160),""))="Devis 1", IFERROR(VALUE(TRIM(SUBSTITUTE(AL24,CHAR(160),""))),0),TRIM(SUBSTITUTE($AT24,CHAR(160),""))="Devis 2", IFERROR(VALUE(TRIM(SUBSTITUTE(AO24,CHAR(160),""))),0),TRIM(SUBSTITUTE($AT24,CHAR(160),""))="Devis 3", IFERROR(VALUE(TRIM(SUBSTITUTE(AR24,CHAR(160),""))),0)),0) * IFERROR(VALUE(TRIM(SUBSTITUTE($AB24,CHAR(160),""))),0))))</f>
        <v/>
      </c>
      <c r="BA24" s="74" t="str" cm="1">
        <f t="array" ref="BA24">IF($AB24="","",IF(IFERROR(_xlfn.IFS($AT24="Devis 1",IFERROR(VALUE(TRIM(SUBSTITUTE(AM24,CHAR(160),""))),0),$AT24="Devis 2",IFERROR(VALUE(TRIM(SUBSTITUTE(AP24,CHAR(160),""))),0),$AT24="Devis 3",IFERROR(VALUE(TRIM(SUBSTITUTE(AS24,CHAR(160),""))),0)),0)*IFERROR(VALUE(TRIM(SUBSTITUTE($AB24,CHAR(160),""))),0)=0,"",IFERROR(_xlfn.IFS($AT24="Devis 1",IFERROR(VALUE(TRIM(SUBSTITUTE(AM24,CHAR(160),""))),0),$AT24="Devis 2",IFERROR(VALUE(TRIM(SUBSTITUTE(AP24,CHAR(160),""))),0),$AT24="Devis 3",IFERROR(VALUE(TRIM(SUBSTITUTE(AS24,CHAR(160),""))),0)),0)*IFERROR(VALUE(TRIM(SUBSTITUTE($AB24,CHAR(160),""))),0)))</f>
        <v/>
      </c>
      <c r="BB24" s="45"/>
      <c r="BC24" s="13" t="str" cm="1">
        <f t="array" ref="BC24">IF(OR(BA24="",AX24="",AY24="",AV24="",AZ24="",AW24=""),"",_xlfn.IFS((IFERROR(VALUE(TRIM(SUBSTITUTE(BA24,CHAR(160),""))),0))&gt;(IFERROR(VALUE(TRIM(SUBSTITUTE(AX24,CHAR(160),""))),0)),"KO : Le montant retenu TTC est supérieur au montant raisonnable TTC. Merci de revoir la ligne de dépense ou plafonner son montant.",(IFERROR(VALUE(TRIM(SUBSTITUTE(AY24,CHAR(160),""))),0))&gt;(IFERROR(VALUE(TRIM(SUBSTITUTE(AV24,CHAR(160),""))),0)),"Attention : Le montant retenu HT est supérieur au montant HT raisonnable. Merci de revoir la ligne de dépense, plafonner son montant, ou justifier la reventillation HT / TVA.",(IFERROR(VALUE(TRIM(SUBSTITUTE(AZ24,CHAR(160),""))),0))&gt;(IFERROR(VALUE(TRIM(SUBSTITUTE(AW24,CHAR(160),""))),0)),"Attention : Le montant TVA retenu est supérieur au montant TVA raisonnable. Merci de revoir la ligne de dépense, plafonner son montant, ou justifier la reventillation HT / TVA.",(IFERROR(VALUE(TRIM(SUBSTITUTE(BA24,CHAR(160),""))),0))=0,"",(IFERROR(VALUE(TRIM(SUBSTITUTE(AX24,CHAR(160),""))),0))=(IFERROR(VALUE(TRIM(SUBSTITUTE(BA24,CHAR(160),""))),0)),"OK",(IFERROR(VALUE(TRIM(SUBSTITUTE(AX24,CHAR(160),""))),0))&gt;(IFERROR(VALUE(TRIM(SUBSTITUTE(BA24,CHAR(160),""))),0))," OK : Montant instruit inférieur au montant raisonnable.",TRUE,""))</f>
        <v/>
      </c>
      <c r="BD24" s="187" t="str" cm="1">
        <f t="array" ref="BD24">IF(OR(BA24="",Y24="",AY24="",W24="",AZ24="",X24=""),"",_xlfn.IFS((IFERROR(VALUE(TRIM(SUBSTITUTE(BA24,CHAR(160),""))),0))&gt;(IFERROR(VALUE(TRIM(SUBSTITUTE(Y24,CHAR(160),""))),0)),"KO : Le montant retenu TTC est supérieur au montant présenté TTC. Merci de revoir la ligne de dépense ou plafonner son montant.",(IFERROR(VALUE(TRIM(SUBSTITUTE(AY24,CHAR(160),""))),0))&gt;(IFERROR(VALUE(TRIM(SUBSTITUTE(W24,CHAR(160),""))),0)),"Attention : Le montant retenu HT est supérieur au montant HT présenté. Merci de revoir la ligne de dépense,plafonner son montant,ou justifier la reventillation HT/TVA.",(IFERROR(VALUE(TRIM(SUBSTITUTE(AZ24,CHAR(160),""))),0))&gt;(IFERROR(VALUE(TRIM(SUBSTITUTE(X24,CHAR(160),""))),0)),"Attention : Le montant TVA retenu est supérieur au montant TVA présenté. Merci de revoir la ligne de dépense,plafonner son montant,ou justifier la reventillation HT/TVA.",(IFERROR(VALUE(TRIM(SUBSTITUTE(Y24,CHAR(160),""))),0))=0,"",(IFERROR(VALUE(TRIM(SUBSTITUTE(BA24,CHAR(160),""))),0))=(IFERROR(VALUE(TRIM(SUBSTITUTE(Y24,CHAR(160),""))),0)),"OK",
OR((IFERROR(VALUE(TRIM(SUBSTITUTE(BA24,CHAR(160),""))),0))=0,(IFERROR(VALUE(TRIM(SUBSTITUTE(AY24,CHAR(160),""))),0))=0),"Attention : montant présenté entièrement écarté",(IFERROR(VALUE(TRIM(SUBSTITUTE(BA24,CHAR(160),""))),0))&lt;(IFERROR(VALUE(TRIM(SUBSTITUTE(Y24,CHAR(160),""))),0)),"Attention : montant présenté partiellement écarté",TRUE,""))</f>
        <v/>
      </c>
      <c r="BE24" s="44" t="str">
        <f t="shared" si="25"/>
        <v/>
      </c>
      <c r="BF24" s="44" t="str">
        <f t="shared" si="26"/>
        <v/>
      </c>
      <c r="BG24" s="21" t="str">
        <f t="shared" si="27"/>
        <v/>
      </c>
      <c r="BH24" s="47"/>
    </row>
    <row r="25" spans="1:60" ht="15" customHeight="1">
      <c r="A25" s="70">
        <v>16</v>
      </c>
      <c r="B25" s="784"/>
      <c r="C25" s="7"/>
      <c r="D25" s="11"/>
      <c r="E25" s="451"/>
      <c r="F25" s="7"/>
      <c r="G25" s="7"/>
      <c r="H25" s="7"/>
      <c r="I25" s="7"/>
      <c r="J25" s="17"/>
      <c r="K25" s="7"/>
      <c r="L25" s="132"/>
      <c r="M25" s="138"/>
      <c r="N25" s="8"/>
      <c r="O25" s="35" t="str">
        <f t="shared" si="0"/>
        <v/>
      </c>
      <c r="P25" s="9"/>
      <c r="Q25" s="8"/>
      <c r="R25" s="35" t="str">
        <f t="shared" si="1"/>
        <v/>
      </c>
      <c r="S25" s="10"/>
      <c r="T25" s="8"/>
      <c r="U25" s="139" t="str">
        <f t="shared" si="2"/>
        <v/>
      </c>
      <c r="V25" s="147"/>
      <c r="W25" s="770" t="str" cm="1">
        <f t="array" ref="W25">IF((_xlfn.IFS(TRIM(SUBSTITUTE(V25,CHAR(160),""))="Devis 1",IFERROR(VALUE(TRIM(SUBSTITUTE(M25,CHAR(160),""))),0),TRIM(SUBSTITUTE(V25,CHAR(160),""))="Devis 2",IFERROR(VALUE(TRIM(SUBSTITUTE(P25,CHAR(160),""))),0),TRIM(SUBSTITUTE(V25,CHAR(160),""))="Devis 3",IFERROR(VALUE(TRIM(SUBSTITUTE(S25,CHAR(160),""))),0),TRUE,0)*IFERROR(VALUE(TRIM(SUBSTITUTE(D25,CHAR(160),""))),0))=0,"",_xlfn.IFS(TRIM(SUBSTITUTE(V25,CHAR(160),""))="Devis 1",IFERROR(VALUE(TRIM(SUBSTITUTE(M25,CHAR(160),""))),0),TRIM(SUBSTITUTE(V25,CHAR(160),""))="Devis 2",IFERROR(VALUE(TRIM(SUBSTITUTE(P25,CHAR(160),""))),0),TRIM(SUBSTITUTE(V25,CHAR(160),""))="Devis 3",IFERROR(VALUE(TRIM(SUBSTITUTE(S25,CHAR(160),""))),0),TRUE,0)*IFERROR(VALUE(TRIM(SUBSTITUTE(D25,CHAR(160),""))),0))</f>
        <v/>
      </c>
      <c r="X25" s="73" t="str" cm="1">
        <f t="array" ref="X25">IF(_xlfn.IFS(TRIM(SUBSTITUTE(V25,CHAR(160),""))="Devis 1",IFERROR(VALUE(TRIM(SUBSTITUTE(N25,CHAR(160),""))),0),TRIM(SUBSTITUTE(V25,CHAR(160),""))="Devis 2",IFERROR(VALUE(TRIM(SUBSTITUTE(Q25,CHAR(160),""))),0),TRIM(SUBSTITUTE(V25,CHAR(160),""))="Devis 3",IFERROR(VALUE(TRIM(SUBSTITUTE(T25,CHAR(160),""))),0),TRUE,0)*IFERROR(VALUE(TRIM(SUBSTITUTE(D25,CHAR(160),""))),0)=0,IF(W25&lt;&gt;"",0,""),_xlfn.IFS(TRIM(SUBSTITUTE(V25,CHAR(160),""))="Devis 1",IFERROR(VALUE(TRIM(SUBSTITUTE(N25,CHAR(160),""))),0),TRIM(SUBSTITUTE(V25,CHAR(160),""))="Devis 2",IFERROR(VALUE(TRIM(SUBSTITUTE(Q25,CHAR(160),""))),0),TRIM(SUBSTITUTE(V25,CHAR(160),""))="Devis 3",IFERROR(VALUE(TRIM(SUBSTITUTE(T25,CHAR(160),""))),0),TRUE,0)*IFERROR(VALUE(TRIM(SUBSTITUTE(D25,CHAR(160),""))),0))</f>
        <v/>
      </c>
      <c r="Y25" s="149" t="str">
        <f t="shared" si="3"/>
        <v/>
      </c>
      <c r="Z25" s="150"/>
      <c r="AA25" s="36" t="str">
        <f t="shared" si="4"/>
        <v/>
      </c>
      <c r="AB25" s="37" t="str">
        <f t="shared" si="30"/>
        <v/>
      </c>
      <c r="AC25" s="37" t="str">
        <f t="shared" si="31"/>
        <v/>
      </c>
      <c r="AD25" s="14" t="str">
        <f t="shared" si="5"/>
        <v/>
      </c>
      <c r="AE25" s="14" t="str">
        <f t="shared" si="6"/>
        <v/>
      </c>
      <c r="AF25" s="14" t="str">
        <f t="shared" si="7"/>
        <v/>
      </c>
      <c r="AG25" s="14" t="str">
        <f t="shared" si="8"/>
        <v/>
      </c>
      <c r="AH25" s="38" t="str">
        <f t="shared" si="9"/>
        <v/>
      </c>
      <c r="AI25" s="14" t="str">
        <f t="shared" si="10"/>
        <v/>
      </c>
      <c r="AJ25" s="39" t="str">
        <f t="shared" si="11"/>
        <v/>
      </c>
      <c r="AK25" s="40" t="str">
        <f t="shared" si="12"/>
        <v/>
      </c>
      <c r="AL25" s="20" t="str">
        <f t="shared" si="13"/>
        <v/>
      </c>
      <c r="AM25" s="35" t="str">
        <f t="shared" si="14"/>
        <v/>
      </c>
      <c r="AN25" s="41" t="str">
        <f t="shared" si="15"/>
        <v/>
      </c>
      <c r="AO25" s="20" t="str">
        <f t="shared" si="16"/>
        <v/>
      </c>
      <c r="AP25" s="35" t="str">
        <f t="shared" si="17"/>
        <v/>
      </c>
      <c r="AQ25" s="42" t="str">
        <f t="shared" si="18"/>
        <v/>
      </c>
      <c r="AR25" s="20" t="str">
        <f t="shared" si="19"/>
        <v/>
      </c>
      <c r="AS25" s="43" t="str">
        <f t="shared" si="20"/>
        <v/>
      </c>
      <c r="AT25" s="36" t="str">
        <f t="shared" si="21"/>
        <v/>
      </c>
      <c r="AU25" s="184"/>
      <c r="AV25" s="44" t="str">
        <f t="shared" si="22"/>
        <v/>
      </c>
      <c r="AW25" s="44" t="str">
        <f t="shared" si="23"/>
        <v/>
      </c>
      <c r="AX25" s="44" t="str">
        <f t="shared" si="24"/>
        <v/>
      </c>
      <c r="AY25" s="74" t="str" cm="1">
        <f t="array" ref="AY25">IF($AB25="","",IF((IFERROR(_xlfn.IFS($AT25="Devis 1",(IFERROR(VALUE(TRIM(SUBSTITUTE(AK25,CHAR(160),""))),0)),$AT25="Devis 2",(IFERROR(VALUE(TRIM(SUBSTITUTE(AN25,CHAR(160),""))),0)),$AT25="Devis 3",(IFERROR(VALUE(TRIM(SUBSTITUTE(AQ25,CHAR(160),""))),0))),0))*(IFERROR(VALUE(TRIM(SUBSTITUTE($AB25,CHAR(160),""))),0))=0,"",(IFERROR(_xlfn.IFS($AT25="Devis 1",(IFERROR(VALUE(TRIM(SUBSTITUTE(AK25,CHAR(160),""))),0)),$AT25="Devis 2",(IFERROR(VALUE(TRIM(SUBSTITUTE(AN25,CHAR(160),""))),0)),$AT25="Devis 3",(IFERROR(VALUE(TRIM(SUBSTITUTE(AQ25,CHAR(160),""))),0))),0))*(IFERROR(VALUE(TRIM(SUBSTITUTE($AB25,CHAR(160),""))),0))))</f>
        <v/>
      </c>
      <c r="AZ25" s="74" t="str" cm="1">
        <f t="array" ref="AZ25">IF($AB25="","",IF((IFERROR(_xlfn.IFS(TRIM(SUBSTITUTE($AT25,CHAR(160),""))="Devis 1", IFERROR(VALUE(TRIM(SUBSTITUTE(AL25,CHAR(160),""))),0),TRIM(SUBSTITUTE($AT25,CHAR(160),""))="Devis 2", IFERROR(VALUE(TRIM(SUBSTITUTE(AO25,CHAR(160),""))),0),TRIM(SUBSTITUTE($AT25,CHAR(160),""))="Devis 3", IFERROR(VALUE(TRIM(SUBSTITUTE(AR25,CHAR(160),""))),0)),0) * IFERROR(VALUE(TRIM(SUBSTITUTE($AB25,CHAR(160),""))),0)) = 0,IF(AY25&lt;&gt;"",0,""),(IFERROR(_xlfn.IFS(TRIM(SUBSTITUTE($AT25,CHAR(160),""))="Devis 1", IFERROR(VALUE(TRIM(SUBSTITUTE(AL25,CHAR(160),""))),0),TRIM(SUBSTITUTE($AT25,CHAR(160),""))="Devis 2", IFERROR(VALUE(TRIM(SUBSTITUTE(AO25,CHAR(160),""))),0),TRIM(SUBSTITUTE($AT25,CHAR(160),""))="Devis 3", IFERROR(VALUE(TRIM(SUBSTITUTE(AR25,CHAR(160),""))),0)),0) * IFERROR(VALUE(TRIM(SUBSTITUTE($AB25,CHAR(160),""))),0))))</f>
        <v/>
      </c>
      <c r="BA25" s="74" t="str" cm="1">
        <f t="array" ref="BA25">IF($AB25="","",IF(IFERROR(_xlfn.IFS($AT25="Devis 1",IFERROR(VALUE(TRIM(SUBSTITUTE(AM25,CHAR(160),""))),0),$AT25="Devis 2",IFERROR(VALUE(TRIM(SUBSTITUTE(AP25,CHAR(160),""))),0),$AT25="Devis 3",IFERROR(VALUE(TRIM(SUBSTITUTE(AS25,CHAR(160),""))),0)),0)*IFERROR(VALUE(TRIM(SUBSTITUTE($AB25,CHAR(160),""))),0)=0,"",IFERROR(_xlfn.IFS($AT25="Devis 1",IFERROR(VALUE(TRIM(SUBSTITUTE(AM25,CHAR(160),""))),0),$AT25="Devis 2",IFERROR(VALUE(TRIM(SUBSTITUTE(AP25,CHAR(160),""))),0),$AT25="Devis 3",IFERROR(VALUE(TRIM(SUBSTITUTE(AS25,CHAR(160),""))),0)),0)*IFERROR(VALUE(TRIM(SUBSTITUTE($AB25,CHAR(160),""))),0)))</f>
        <v/>
      </c>
      <c r="BB25" s="45"/>
      <c r="BC25" s="13" t="str" cm="1">
        <f t="array" ref="BC25">IF(OR(BA25="",AX25="",AY25="",AV25="",AZ25="",AW25=""),"",_xlfn.IFS((IFERROR(VALUE(TRIM(SUBSTITUTE(BA25,CHAR(160),""))),0))&gt;(IFERROR(VALUE(TRIM(SUBSTITUTE(AX25,CHAR(160),""))),0)),"KO : Le montant retenu TTC est supérieur au montant raisonnable TTC. Merci de revoir la ligne de dépense ou plafonner son montant.",(IFERROR(VALUE(TRIM(SUBSTITUTE(AY25,CHAR(160),""))),0))&gt;(IFERROR(VALUE(TRIM(SUBSTITUTE(AV25,CHAR(160),""))),0)),"Attention : Le montant retenu HT est supérieur au montant HT raisonnable. Merci de revoir la ligne de dépense, plafonner son montant, ou justifier la reventillation HT / TVA.",(IFERROR(VALUE(TRIM(SUBSTITUTE(AZ25,CHAR(160),""))),0))&gt;(IFERROR(VALUE(TRIM(SUBSTITUTE(AW25,CHAR(160),""))),0)),"Attention : Le montant TVA retenu est supérieur au montant TVA raisonnable. Merci de revoir la ligne de dépense, plafonner son montant, ou justifier la reventillation HT / TVA.",(IFERROR(VALUE(TRIM(SUBSTITUTE(BA25,CHAR(160),""))),0))=0,"",(IFERROR(VALUE(TRIM(SUBSTITUTE(AX25,CHAR(160),""))),0))=(IFERROR(VALUE(TRIM(SUBSTITUTE(BA25,CHAR(160),""))),0)),"OK",(IFERROR(VALUE(TRIM(SUBSTITUTE(AX25,CHAR(160),""))),0))&gt;(IFERROR(VALUE(TRIM(SUBSTITUTE(BA25,CHAR(160),""))),0))," OK : Montant instruit inférieur au montant raisonnable.",TRUE,""))</f>
        <v/>
      </c>
      <c r="BD25" s="187" t="str" cm="1">
        <f t="array" ref="BD25">IF(OR(BA25="",Y25="",AY25="",W25="",AZ25="",X25=""),"",_xlfn.IFS((IFERROR(VALUE(TRIM(SUBSTITUTE(BA25,CHAR(160),""))),0))&gt;(IFERROR(VALUE(TRIM(SUBSTITUTE(Y25,CHAR(160),""))),0)),"KO : Le montant retenu TTC est supérieur au montant présenté TTC. Merci de revoir la ligne de dépense ou plafonner son montant.",(IFERROR(VALUE(TRIM(SUBSTITUTE(AY25,CHAR(160),""))),0))&gt;(IFERROR(VALUE(TRIM(SUBSTITUTE(W25,CHAR(160),""))),0)),"Attention : Le montant retenu HT est supérieur au montant HT présenté. Merci de revoir la ligne de dépense,plafonner son montant,ou justifier la reventillation HT/TVA.",(IFERROR(VALUE(TRIM(SUBSTITUTE(AZ25,CHAR(160),""))),0))&gt;(IFERROR(VALUE(TRIM(SUBSTITUTE(X25,CHAR(160),""))),0)),"Attention : Le montant TVA retenu est supérieur au montant TVA présenté. Merci de revoir la ligne de dépense,plafonner son montant,ou justifier la reventillation HT/TVA.",(IFERROR(VALUE(TRIM(SUBSTITUTE(Y25,CHAR(160),""))),0))=0,"",(IFERROR(VALUE(TRIM(SUBSTITUTE(BA25,CHAR(160),""))),0))=(IFERROR(VALUE(TRIM(SUBSTITUTE(Y25,CHAR(160),""))),0)),"OK",
OR((IFERROR(VALUE(TRIM(SUBSTITUTE(BA25,CHAR(160),""))),0))=0,(IFERROR(VALUE(TRIM(SUBSTITUTE(AY25,CHAR(160),""))),0))=0),"Attention : montant présenté entièrement écarté",(IFERROR(VALUE(TRIM(SUBSTITUTE(BA25,CHAR(160),""))),0))&lt;(IFERROR(VALUE(TRIM(SUBSTITUTE(Y25,CHAR(160),""))),0)),"Attention : montant présenté partiellement écarté",TRUE,""))</f>
        <v/>
      </c>
      <c r="BE25" s="44" t="str">
        <f t="shared" si="25"/>
        <v/>
      </c>
      <c r="BF25" s="44" t="str">
        <f t="shared" si="26"/>
        <v/>
      </c>
      <c r="BG25" s="21" t="str">
        <f t="shared" si="27"/>
        <v/>
      </c>
      <c r="BH25" s="47"/>
    </row>
    <row r="26" spans="1:60" ht="15" customHeight="1">
      <c r="A26" s="70">
        <v>17</v>
      </c>
      <c r="B26" s="784"/>
      <c r="C26" s="7"/>
      <c r="D26" s="11"/>
      <c r="E26" s="451"/>
      <c r="F26" s="7"/>
      <c r="G26" s="7"/>
      <c r="H26" s="7"/>
      <c r="I26" s="7"/>
      <c r="J26" s="17"/>
      <c r="K26" s="7"/>
      <c r="L26" s="132"/>
      <c r="M26" s="138"/>
      <c r="N26" s="8"/>
      <c r="O26" s="35" t="str">
        <f t="shared" si="0"/>
        <v/>
      </c>
      <c r="P26" s="9"/>
      <c r="Q26" s="8"/>
      <c r="R26" s="35" t="str">
        <f t="shared" si="1"/>
        <v/>
      </c>
      <c r="S26" s="10"/>
      <c r="T26" s="8"/>
      <c r="U26" s="139" t="str">
        <f t="shared" si="2"/>
        <v/>
      </c>
      <c r="V26" s="147"/>
      <c r="W26" s="770" t="str" cm="1">
        <f t="array" ref="W26">IF((_xlfn.IFS(TRIM(SUBSTITUTE(V26,CHAR(160),""))="Devis 1",IFERROR(VALUE(TRIM(SUBSTITUTE(M26,CHAR(160),""))),0),TRIM(SUBSTITUTE(V26,CHAR(160),""))="Devis 2",IFERROR(VALUE(TRIM(SUBSTITUTE(P26,CHAR(160),""))),0),TRIM(SUBSTITUTE(V26,CHAR(160),""))="Devis 3",IFERROR(VALUE(TRIM(SUBSTITUTE(S26,CHAR(160),""))),0),TRUE,0)*IFERROR(VALUE(TRIM(SUBSTITUTE(D26,CHAR(160),""))),0))=0,"",_xlfn.IFS(TRIM(SUBSTITUTE(V26,CHAR(160),""))="Devis 1",IFERROR(VALUE(TRIM(SUBSTITUTE(M26,CHAR(160),""))),0),TRIM(SUBSTITUTE(V26,CHAR(160),""))="Devis 2",IFERROR(VALUE(TRIM(SUBSTITUTE(P26,CHAR(160),""))),0),TRIM(SUBSTITUTE(V26,CHAR(160),""))="Devis 3",IFERROR(VALUE(TRIM(SUBSTITUTE(S26,CHAR(160),""))),0),TRUE,0)*IFERROR(VALUE(TRIM(SUBSTITUTE(D26,CHAR(160),""))),0))</f>
        <v/>
      </c>
      <c r="X26" s="73" t="str" cm="1">
        <f t="array" ref="X26">IF(_xlfn.IFS(TRIM(SUBSTITUTE(V26,CHAR(160),""))="Devis 1",IFERROR(VALUE(TRIM(SUBSTITUTE(N26,CHAR(160),""))),0),TRIM(SUBSTITUTE(V26,CHAR(160),""))="Devis 2",IFERROR(VALUE(TRIM(SUBSTITUTE(Q26,CHAR(160),""))),0),TRIM(SUBSTITUTE(V26,CHAR(160),""))="Devis 3",IFERROR(VALUE(TRIM(SUBSTITUTE(T26,CHAR(160),""))),0),TRUE,0)*IFERROR(VALUE(TRIM(SUBSTITUTE(D26,CHAR(160),""))),0)=0,IF(W26&lt;&gt;"",0,""),_xlfn.IFS(TRIM(SUBSTITUTE(V26,CHAR(160),""))="Devis 1",IFERROR(VALUE(TRIM(SUBSTITUTE(N26,CHAR(160),""))),0),TRIM(SUBSTITUTE(V26,CHAR(160),""))="Devis 2",IFERROR(VALUE(TRIM(SUBSTITUTE(Q26,CHAR(160),""))),0),TRIM(SUBSTITUTE(V26,CHAR(160),""))="Devis 3",IFERROR(VALUE(TRIM(SUBSTITUTE(T26,CHAR(160),""))),0),TRUE,0)*IFERROR(VALUE(TRIM(SUBSTITUTE(D26,CHAR(160),""))),0))</f>
        <v/>
      </c>
      <c r="Y26" s="149" t="str">
        <f t="shared" si="3"/>
        <v/>
      </c>
      <c r="Z26" s="150"/>
      <c r="AA26" s="36" t="str">
        <f t="shared" si="4"/>
        <v/>
      </c>
      <c r="AB26" s="37" t="str">
        <f t="shared" si="30"/>
        <v/>
      </c>
      <c r="AC26" s="37" t="str">
        <f t="shared" si="31"/>
        <v/>
      </c>
      <c r="AD26" s="14" t="str">
        <f t="shared" si="5"/>
        <v/>
      </c>
      <c r="AE26" s="14" t="str">
        <f t="shared" si="6"/>
        <v/>
      </c>
      <c r="AF26" s="14" t="str">
        <f t="shared" si="7"/>
        <v/>
      </c>
      <c r="AG26" s="14" t="str">
        <f t="shared" si="8"/>
        <v/>
      </c>
      <c r="AH26" s="38" t="str">
        <f t="shared" si="9"/>
        <v/>
      </c>
      <c r="AI26" s="14" t="str">
        <f t="shared" si="10"/>
        <v/>
      </c>
      <c r="AJ26" s="39" t="str">
        <f t="shared" si="11"/>
        <v/>
      </c>
      <c r="AK26" s="40" t="str">
        <f t="shared" si="12"/>
        <v/>
      </c>
      <c r="AL26" s="20" t="str">
        <f t="shared" si="13"/>
        <v/>
      </c>
      <c r="AM26" s="35" t="str">
        <f t="shared" si="14"/>
        <v/>
      </c>
      <c r="AN26" s="41" t="str">
        <f t="shared" si="15"/>
        <v/>
      </c>
      <c r="AO26" s="20" t="str">
        <f t="shared" si="16"/>
        <v/>
      </c>
      <c r="AP26" s="35" t="str">
        <f t="shared" si="17"/>
        <v/>
      </c>
      <c r="AQ26" s="42" t="str">
        <f t="shared" si="18"/>
        <v/>
      </c>
      <c r="AR26" s="20" t="str">
        <f t="shared" si="19"/>
        <v/>
      </c>
      <c r="AS26" s="43" t="str">
        <f t="shared" si="20"/>
        <v/>
      </c>
      <c r="AT26" s="36" t="str">
        <f t="shared" si="21"/>
        <v/>
      </c>
      <c r="AU26" s="184"/>
      <c r="AV26" s="44" t="str">
        <f t="shared" si="22"/>
        <v/>
      </c>
      <c r="AW26" s="44" t="str">
        <f t="shared" si="23"/>
        <v/>
      </c>
      <c r="AX26" s="44" t="str">
        <f t="shared" si="24"/>
        <v/>
      </c>
      <c r="AY26" s="74" t="str" cm="1">
        <f t="array" ref="AY26">IF($AB26="","",IF((IFERROR(_xlfn.IFS($AT26="Devis 1",(IFERROR(VALUE(TRIM(SUBSTITUTE(AK26,CHAR(160),""))),0)),$AT26="Devis 2",(IFERROR(VALUE(TRIM(SUBSTITUTE(AN26,CHAR(160),""))),0)),$AT26="Devis 3",(IFERROR(VALUE(TRIM(SUBSTITUTE(AQ26,CHAR(160),""))),0))),0))*(IFERROR(VALUE(TRIM(SUBSTITUTE($AB26,CHAR(160),""))),0))=0,"",(IFERROR(_xlfn.IFS($AT26="Devis 1",(IFERROR(VALUE(TRIM(SUBSTITUTE(AK26,CHAR(160),""))),0)),$AT26="Devis 2",(IFERROR(VALUE(TRIM(SUBSTITUTE(AN26,CHAR(160),""))),0)),$AT26="Devis 3",(IFERROR(VALUE(TRIM(SUBSTITUTE(AQ26,CHAR(160),""))),0))),0))*(IFERROR(VALUE(TRIM(SUBSTITUTE($AB26,CHAR(160),""))),0))))</f>
        <v/>
      </c>
      <c r="AZ26" s="74" t="str" cm="1">
        <f t="array" ref="AZ26">IF($AB26="","",IF((IFERROR(_xlfn.IFS(TRIM(SUBSTITUTE($AT26,CHAR(160),""))="Devis 1", IFERROR(VALUE(TRIM(SUBSTITUTE(AL26,CHAR(160),""))),0),TRIM(SUBSTITUTE($AT26,CHAR(160),""))="Devis 2", IFERROR(VALUE(TRIM(SUBSTITUTE(AO26,CHAR(160),""))),0),TRIM(SUBSTITUTE($AT26,CHAR(160),""))="Devis 3", IFERROR(VALUE(TRIM(SUBSTITUTE(AR26,CHAR(160),""))),0)),0) * IFERROR(VALUE(TRIM(SUBSTITUTE($AB26,CHAR(160),""))),0)) = 0,IF(AY26&lt;&gt;"",0,""),(IFERROR(_xlfn.IFS(TRIM(SUBSTITUTE($AT26,CHAR(160),""))="Devis 1", IFERROR(VALUE(TRIM(SUBSTITUTE(AL26,CHAR(160),""))),0),TRIM(SUBSTITUTE($AT26,CHAR(160),""))="Devis 2", IFERROR(VALUE(TRIM(SUBSTITUTE(AO26,CHAR(160),""))),0),TRIM(SUBSTITUTE($AT26,CHAR(160),""))="Devis 3", IFERROR(VALUE(TRIM(SUBSTITUTE(AR26,CHAR(160),""))),0)),0) * IFERROR(VALUE(TRIM(SUBSTITUTE($AB26,CHAR(160),""))),0))))</f>
        <v/>
      </c>
      <c r="BA26" s="74" t="str" cm="1">
        <f t="array" ref="BA26">IF($AB26="","",IF(IFERROR(_xlfn.IFS($AT26="Devis 1",IFERROR(VALUE(TRIM(SUBSTITUTE(AM26,CHAR(160),""))),0),$AT26="Devis 2",IFERROR(VALUE(TRIM(SUBSTITUTE(AP26,CHAR(160),""))),0),$AT26="Devis 3",IFERROR(VALUE(TRIM(SUBSTITUTE(AS26,CHAR(160),""))),0)),0)*IFERROR(VALUE(TRIM(SUBSTITUTE($AB26,CHAR(160),""))),0)=0,"",IFERROR(_xlfn.IFS($AT26="Devis 1",IFERROR(VALUE(TRIM(SUBSTITUTE(AM26,CHAR(160),""))),0),$AT26="Devis 2",IFERROR(VALUE(TRIM(SUBSTITUTE(AP26,CHAR(160),""))),0),$AT26="Devis 3",IFERROR(VALUE(TRIM(SUBSTITUTE(AS26,CHAR(160),""))),0)),0)*IFERROR(VALUE(TRIM(SUBSTITUTE($AB26,CHAR(160),""))),0)))</f>
        <v/>
      </c>
      <c r="BB26" s="45"/>
      <c r="BC26" s="13" t="str" cm="1">
        <f t="array" ref="BC26">IF(OR(BA26="",AX26="",AY26="",AV26="",AZ26="",AW26=""),"",_xlfn.IFS((IFERROR(VALUE(TRIM(SUBSTITUTE(BA26,CHAR(160),""))),0))&gt;(IFERROR(VALUE(TRIM(SUBSTITUTE(AX26,CHAR(160),""))),0)),"KO : Le montant retenu TTC est supérieur au montant raisonnable TTC. Merci de revoir la ligne de dépense ou plafonner son montant.",(IFERROR(VALUE(TRIM(SUBSTITUTE(AY26,CHAR(160),""))),0))&gt;(IFERROR(VALUE(TRIM(SUBSTITUTE(AV26,CHAR(160),""))),0)),"Attention : Le montant retenu HT est supérieur au montant HT raisonnable. Merci de revoir la ligne de dépense, plafonner son montant, ou justifier la reventillation HT / TVA.",(IFERROR(VALUE(TRIM(SUBSTITUTE(AZ26,CHAR(160),""))),0))&gt;(IFERROR(VALUE(TRIM(SUBSTITUTE(AW26,CHAR(160),""))),0)),"Attention : Le montant TVA retenu est supérieur au montant TVA raisonnable. Merci de revoir la ligne de dépense, plafonner son montant, ou justifier la reventillation HT / TVA.",(IFERROR(VALUE(TRIM(SUBSTITUTE(BA26,CHAR(160),""))),0))=0,"",(IFERROR(VALUE(TRIM(SUBSTITUTE(AX26,CHAR(160),""))),0))=(IFERROR(VALUE(TRIM(SUBSTITUTE(BA26,CHAR(160),""))),0)),"OK",(IFERROR(VALUE(TRIM(SUBSTITUTE(AX26,CHAR(160),""))),0))&gt;(IFERROR(VALUE(TRIM(SUBSTITUTE(BA26,CHAR(160),""))),0))," OK : Montant instruit inférieur au montant raisonnable.",TRUE,""))</f>
        <v/>
      </c>
      <c r="BD26" s="187" t="str" cm="1">
        <f t="array" ref="BD26">IF(OR(BA26="",Y26="",AY26="",W26="",AZ26="",X26=""),"",_xlfn.IFS((IFERROR(VALUE(TRIM(SUBSTITUTE(BA26,CHAR(160),""))),0))&gt;(IFERROR(VALUE(TRIM(SUBSTITUTE(Y26,CHAR(160),""))),0)),"KO : Le montant retenu TTC est supérieur au montant présenté TTC. Merci de revoir la ligne de dépense ou plafonner son montant.",(IFERROR(VALUE(TRIM(SUBSTITUTE(AY26,CHAR(160),""))),0))&gt;(IFERROR(VALUE(TRIM(SUBSTITUTE(W26,CHAR(160),""))),0)),"Attention : Le montant retenu HT est supérieur au montant HT présenté. Merci de revoir la ligne de dépense,plafonner son montant,ou justifier la reventillation HT/TVA.",(IFERROR(VALUE(TRIM(SUBSTITUTE(AZ26,CHAR(160),""))),0))&gt;(IFERROR(VALUE(TRIM(SUBSTITUTE(X26,CHAR(160),""))),0)),"Attention : Le montant TVA retenu est supérieur au montant TVA présenté. Merci de revoir la ligne de dépense,plafonner son montant,ou justifier la reventillation HT/TVA.",(IFERROR(VALUE(TRIM(SUBSTITUTE(Y26,CHAR(160),""))),0))=0,"",(IFERROR(VALUE(TRIM(SUBSTITUTE(BA26,CHAR(160),""))),0))=(IFERROR(VALUE(TRIM(SUBSTITUTE(Y26,CHAR(160),""))),0)),"OK",
OR((IFERROR(VALUE(TRIM(SUBSTITUTE(BA26,CHAR(160),""))),0))=0,(IFERROR(VALUE(TRIM(SUBSTITUTE(AY26,CHAR(160),""))),0))=0),"Attention : montant présenté entièrement écarté",(IFERROR(VALUE(TRIM(SUBSTITUTE(BA26,CHAR(160),""))),0))&lt;(IFERROR(VALUE(TRIM(SUBSTITUTE(Y26,CHAR(160),""))),0)),"Attention : montant présenté partiellement écarté",TRUE,""))</f>
        <v/>
      </c>
      <c r="BE26" s="44" t="str">
        <f t="shared" si="25"/>
        <v/>
      </c>
      <c r="BF26" s="44" t="str">
        <f t="shared" si="26"/>
        <v/>
      </c>
      <c r="BG26" s="21" t="str">
        <f t="shared" si="27"/>
        <v/>
      </c>
    </row>
    <row r="27" spans="1:60" ht="15" customHeight="1">
      <c r="A27" s="70">
        <v>18</v>
      </c>
      <c r="B27" s="784"/>
      <c r="C27" s="7"/>
      <c r="D27" s="11"/>
      <c r="E27" s="451"/>
      <c r="F27" s="7"/>
      <c r="G27" s="7"/>
      <c r="H27" s="7"/>
      <c r="I27" s="7"/>
      <c r="J27" s="17"/>
      <c r="K27" s="7"/>
      <c r="L27" s="132"/>
      <c r="M27" s="138"/>
      <c r="N27" s="8"/>
      <c r="O27" s="35" t="str">
        <f t="shared" si="0"/>
        <v/>
      </c>
      <c r="P27" s="9"/>
      <c r="Q27" s="8"/>
      <c r="R27" s="35" t="str">
        <f t="shared" si="1"/>
        <v/>
      </c>
      <c r="S27" s="10"/>
      <c r="T27" s="8"/>
      <c r="U27" s="139" t="str">
        <f t="shared" si="2"/>
        <v/>
      </c>
      <c r="V27" s="147"/>
      <c r="W27" s="770" t="str" cm="1">
        <f t="array" ref="W27">IF((_xlfn.IFS(TRIM(SUBSTITUTE(V27,CHAR(160),""))="Devis 1",IFERROR(VALUE(TRIM(SUBSTITUTE(M27,CHAR(160),""))),0),TRIM(SUBSTITUTE(V27,CHAR(160),""))="Devis 2",IFERROR(VALUE(TRIM(SUBSTITUTE(P27,CHAR(160),""))),0),TRIM(SUBSTITUTE(V27,CHAR(160),""))="Devis 3",IFERROR(VALUE(TRIM(SUBSTITUTE(S27,CHAR(160),""))),0),TRUE,0)*IFERROR(VALUE(TRIM(SUBSTITUTE(D27,CHAR(160),""))),0))=0,"",_xlfn.IFS(TRIM(SUBSTITUTE(V27,CHAR(160),""))="Devis 1",IFERROR(VALUE(TRIM(SUBSTITUTE(M27,CHAR(160),""))),0),TRIM(SUBSTITUTE(V27,CHAR(160),""))="Devis 2",IFERROR(VALUE(TRIM(SUBSTITUTE(P27,CHAR(160),""))),0),TRIM(SUBSTITUTE(V27,CHAR(160),""))="Devis 3",IFERROR(VALUE(TRIM(SUBSTITUTE(S27,CHAR(160),""))),0),TRUE,0)*IFERROR(VALUE(TRIM(SUBSTITUTE(D27,CHAR(160),""))),0))</f>
        <v/>
      </c>
      <c r="X27" s="73" t="str" cm="1">
        <f t="array" ref="X27">IF(_xlfn.IFS(TRIM(SUBSTITUTE(V27,CHAR(160),""))="Devis 1",IFERROR(VALUE(TRIM(SUBSTITUTE(N27,CHAR(160),""))),0),TRIM(SUBSTITUTE(V27,CHAR(160),""))="Devis 2",IFERROR(VALUE(TRIM(SUBSTITUTE(Q27,CHAR(160),""))),0),TRIM(SUBSTITUTE(V27,CHAR(160),""))="Devis 3",IFERROR(VALUE(TRIM(SUBSTITUTE(T27,CHAR(160),""))),0),TRUE,0)*IFERROR(VALUE(TRIM(SUBSTITUTE(D27,CHAR(160),""))),0)=0,IF(W27&lt;&gt;"",0,""),_xlfn.IFS(TRIM(SUBSTITUTE(V27,CHAR(160),""))="Devis 1",IFERROR(VALUE(TRIM(SUBSTITUTE(N27,CHAR(160),""))),0),TRIM(SUBSTITUTE(V27,CHAR(160),""))="Devis 2",IFERROR(VALUE(TRIM(SUBSTITUTE(Q27,CHAR(160),""))),0),TRIM(SUBSTITUTE(V27,CHAR(160),""))="Devis 3",IFERROR(VALUE(TRIM(SUBSTITUTE(T27,CHAR(160),""))),0),TRUE,0)*IFERROR(VALUE(TRIM(SUBSTITUTE(D27,CHAR(160),""))),0))</f>
        <v/>
      </c>
      <c r="Y27" s="149" t="str">
        <f t="shared" si="3"/>
        <v/>
      </c>
      <c r="Z27" s="150"/>
      <c r="AA27" s="36" t="str">
        <f t="shared" si="4"/>
        <v/>
      </c>
      <c r="AB27" s="37" t="str">
        <f t="shared" si="30"/>
        <v/>
      </c>
      <c r="AC27" s="37" t="str">
        <f t="shared" si="31"/>
        <v/>
      </c>
      <c r="AD27" s="14" t="str">
        <f t="shared" si="5"/>
        <v/>
      </c>
      <c r="AE27" s="14" t="str">
        <f t="shared" si="6"/>
        <v/>
      </c>
      <c r="AF27" s="14" t="str">
        <f t="shared" si="7"/>
        <v/>
      </c>
      <c r="AG27" s="14" t="str">
        <f t="shared" si="8"/>
        <v/>
      </c>
      <c r="AH27" s="38" t="str">
        <f t="shared" si="9"/>
        <v/>
      </c>
      <c r="AI27" s="14" t="str">
        <f t="shared" si="10"/>
        <v/>
      </c>
      <c r="AJ27" s="39" t="str">
        <f t="shared" si="11"/>
        <v/>
      </c>
      <c r="AK27" s="40" t="str">
        <f t="shared" si="12"/>
        <v/>
      </c>
      <c r="AL27" s="20" t="str">
        <f t="shared" si="13"/>
        <v/>
      </c>
      <c r="AM27" s="35" t="str">
        <f t="shared" si="14"/>
        <v/>
      </c>
      <c r="AN27" s="41" t="str">
        <f t="shared" si="15"/>
        <v/>
      </c>
      <c r="AO27" s="20" t="str">
        <f t="shared" si="16"/>
        <v/>
      </c>
      <c r="AP27" s="35" t="str">
        <f t="shared" si="17"/>
        <v/>
      </c>
      <c r="AQ27" s="42" t="str">
        <f t="shared" si="18"/>
        <v/>
      </c>
      <c r="AR27" s="20" t="str">
        <f t="shared" si="19"/>
        <v/>
      </c>
      <c r="AS27" s="43" t="str">
        <f t="shared" si="20"/>
        <v/>
      </c>
      <c r="AT27" s="36" t="str">
        <f t="shared" si="21"/>
        <v/>
      </c>
      <c r="AU27" s="184"/>
      <c r="AV27" s="44" t="str">
        <f t="shared" si="22"/>
        <v/>
      </c>
      <c r="AW27" s="44" t="str">
        <f t="shared" si="23"/>
        <v/>
      </c>
      <c r="AX27" s="44" t="str">
        <f t="shared" si="24"/>
        <v/>
      </c>
      <c r="AY27" s="74" t="str" cm="1">
        <f t="array" ref="AY27">IF($AB27="","",IF((IFERROR(_xlfn.IFS($AT27="Devis 1",(IFERROR(VALUE(TRIM(SUBSTITUTE(AK27,CHAR(160),""))),0)),$AT27="Devis 2",(IFERROR(VALUE(TRIM(SUBSTITUTE(AN27,CHAR(160),""))),0)),$AT27="Devis 3",(IFERROR(VALUE(TRIM(SUBSTITUTE(AQ27,CHAR(160),""))),0))),0))*(IFERROR(VALUE(TRIM(SUBSTITUTE($AB27,CHAR(160),""))),0))=0,"",(IFERROR(_xlfn.IFS($AT27="Devis 1",(IFERROR(VALUE(TRIM(SUBSTITUTE(AK27,CHAR(160),""))),0)),$AT27="Devis 2",(IFERROR(VALUE(TRIM(SUBSTITUTE(AN27,CHAR(160),""))),0)),$AT27="Devis 3",(IFERROR(VALUE(TRIM(SUBSTITUTE(AQ27,CHAR(160),""))),0))),0))*(IFERROR(VALUE(TRIM(SUBSTITUTE($AB27,CHAR(160),""))),0))))</f>
        <v/>
      </c>
      <c r="AZ27" s="74" t="str" cm="1">
        <f t="array" ref="AZ27">IF($AB27="","",IF((IFERROR(_xlfn.IFS(TRIM(SUBSTITUTE($AT27,CHAR(160),""))="Devis 1", IFERROR(VALUE(TRIM(SUBSTITUTE(AL27,CHAR(160),""))),0),TRIM(SUBSTITUTE($AT27,CHAR(160),""))="Devis 2", IFERROR(VALUE(TRIM(SUBSTITUTE(AO27,CHAR(160),""))),0),TRIM(SUBSTITUTE($AT27,CHAR(160),""))="Devis 3", IFERROR(VALUE(TRIM(SUBSTITUTE(AR27,CHAR(160),""))),0)),0) * IFERROR(VALUE(TRIM(SUBSTITUTE($AB27,CHAR(160),""))),0)) = 0,IF(AY27&lt;&gt;"",0,""),(IFERROR(_xlfn.IFS(TRIM(SUBSTITUTE($AT27,CHAR(160),""))="Devis 1", IFERROR(VALUE(TRIM(SUBSTITUTE(AL27,CHAR(160),""))),0),TRIM(SUBSTITUTE($AT27,CHAR(160),""))="Devis 2", IFERROR(VALUE(TRIM(SUBSTITUTE(AO27,CHAR(160),""))),0),TRIM(SUBSTITUTE($AT27,CHAR(160),""))="Devis 3", IFERROR(VALUE(TRIM(SUBSTITUTE(AR27,CHAR(160),""))),0)),0) * IFERROR(VALUE(TRIM(SUBSTITUTE($AB27,CHAR(160),""))),0))))</f>
        <v/>
      </c>
      <c r="BA27" s="74" t="str" cm="1">
        <f t="array" ref="BA27">IF($AB27="","",IF(IFERROR(_xlfn.IFS($AT27="Devis 1",IFERROR(VALUE(TRIM(SUBSTITUTE(AM27,CHAR(160),""))),0),$AT27="Devis 2",IFERROR(VALUE(TRIM(SUBSTITUTE(AP27,CHAR(160),""))),0),$AT27="Devis 3",IFERROR(VALUE(TRIM(SUBSTITUTE(AS27,CHAR(160),""))),0)),0)*IFERROR(VALUE(TRIM(SUBSTITUTE($AB27,CHAR(160),""))),0)=0,"",IFERROR(_xlfn.IFS($AT27="Devis 1",IFERROR(VALUE(TRIM(SUBSTITUTE(AM27,CHAR(160),""))),0),$AT27="Devis 2",IFERROR(VALUE(TRIM(SUBSTITUTE(AP27,CHAR(160),""))),0),$AT27="Devis 3",IFERROR(VALUE(TRIM(SUBSTITUTE(AS27,CHAR(160),""))),0)),0)*IFERROR(VALUE(TRIM(SUBSTITUTE($AB27,CHAR(160),""))),0)))</f>
        <v/>
      </c>
      <c r="BB27" s="45"/>
      <c r="BC27" s="13" t="str" cm="1">
        <f t="array" ref="BC27">IF(OR(BA27="",AX27="",AY27="",AV27="",AZ27="",AW27=""),"",_xlfn.IFS((IFERROR(VALUE(TRIM(SUBSTITUTE(BA27,CHAR(160),""))),0))&gt;(IFERROR(VALUE(TRIM(SUBSTITUTE(AX27,CHAR(160),""))),0)),"KO : Le montant retenu TTC est supérieur au montant raisonnable TTC. Merci de revoir la ligne de dépense ou plafonner son montant.",(IFERROR(VALUE(TRIM(SUBSTITUTE(AY27,CHAR(160),""))),0))&gt;(IFERROR(VALUE(TRIM(SUBSTITUTE(AV27,CHAR(160),""))),0)),"Attention : Le montant retenu HT est supérieur au montant HT raisonnable. Merci de revoir la ligne de dépense, plafonner son montant, ou justifier la reventillation HT / TVA.",(IFERROR(VALUE(TRIM(SUBSTITUTE(AZ27,CHAR(160),""))),0))&gt;(IFERROR(VALUE(TRIM(SUBSTITUTE(AW27,CHAR(160),""))),0)),"Attention : Le montant TVA retenu est supérieur au montant TVA raisonnable. Merci de revoir la ligne de dépense, plafonner son montant, ou justifier la reventillation HT / TVA.",(IFERROR(VALUE(TRIM(SUBSTITUTE(BA27,CHAR(160),""))),0))=0,"",(IFERROR(VALUE(TRIM(SUBSTITUTE(AX27,CHAR(160),""))),0))=(IFERROR(VALUE(TRIM(SUBSTITUTE(BA27,CHAR(160),""))),0)),"OK",(IFERROR(VALUE(TRIM(SUBSTITUTE(AX27,CHAR(160),""))),0))&gt;(IFERROR(VALUE(TRIM(SUBSTITUTE(BA27,CHAR(160),""))),0))," OK : Montant instruit inférieur au montant raisonnable.",TRUE,""))</f>
        <v/>
      </c>
      <c r="BD27" s="187" t="str" cm="1">
        <f t="array" ref="BD27">IF(OR(BA27="",Y27="",AY27="",W27="",AZ27="",X27=""),"",_xlfn.IFS((IFERROR(VALUE(TRIM(SUBSTITUTE(BA27,CHAR(160),""))),0))&gt;(IFERROR(VALUE(TRIM(SUBSTITUTE(Y27,CHAR(160),""))),0)),"KO : Le montant retenu TTC est supérieur au montant présenté TTC. Merci de revoir la ligne de dépense ou plafonner son montant.",(IFERROR(VALUE(TRIM(SUBSTITUTE(AY27,CHAR(160),""))),0))&gt;(IFERROR(VALUE(TRIM(SUBSTITUTE(W27,CHAR(160),""))),0)),"Attention : Le montant retenu HT est supérieur au montant HT présenté. Merci de revoir la ligne de dépense,plafonner son montant,ou justifier la reventillation HT/TVA.",(IFERROR(VALUE(TRIM(SUBSTITUTE(AZ27,CHAR(160),""))),0))&gt;(IFERROR(VALUE(TRIM(SUBSTITUTE(X27,CHAR(160),""))),0)),"Attention : Le montant TVA retenu est supérieur au montant TVA présenté. Merci de revoir la ligne de dépense,plafonner son montant,ou justifier la reventillation HT/TVA.",(IFERROR(VALUE(TRIM(SUBSTITUTE(Y27,CHAR(160),""))),0))=0,"",(IFERROR(VALUE(TRIM(SUBSTITUTE(BA27,CHAR(160),""))),0))=(IFERROR(VALUE(TRIM(SUBSTITUTE(Y27,CHAR(160),""))),0)),"OK",
OR((IFERROR(VALUE(TRIM(SUBSTITUTE(BA27,CHAR(160),""))),0))=0,(IFERROR(VALUE(TRIM(SUBSTITUTE(AY27,CHAR(160),""))),0))=0),"Attention : montant présenté entièrement écarté",(IFERROR(VALUE(TRIM(SUBSTITUTE(BA27,CHAR(160),""))),0))&lt;(IFERROR(VALUE(TRIM(SUBSTITUTE(Y27,CHAR(160),""))),0)),"Attention : montant présenté partiellement écarté",TRUE,""))</f>
        <v/>
      </c>
      <c r="BE27" s="44" t="str">
        <f t="shared" si="25"/>
        <v/>
      </c>
      <c r="BF27" s="44" t="str">
        <f t="shared" si="26"/>
        <v/>
      </c>
      <c r="BG27" s="21" t="str">
        <f t="shared" si="27"/>
        <v/>
      </c>
    </row>
    <row r="28" spans="1:60" ht="15" customHeight="1">
      <c r="A28" s="70">
        <v>19</v>
      </c>
      <c r="B28" s="784"/>
      <c r="C28" s="7"/>
      <c r="D28" s="11"/>
      <c r="E28" s="451"/>
      <c r="F28" s="7"/>
      <c r="G28" s="7"/>
      <c r="H28" s="7"/>
      <c r="I28" s="7"/>
      <c r="J28" s="17"/>
      <c r="K28" s="7"/>
      <c r="L28" s="132"/>
      <c r="M28" s="138"/>
      <c r="N28" s="8"/>
      <c r="O28" s="35" t="str">
        <f t="shared" si="0"/>
        <v/>
      </c>
      <c r="P28" s="9"/>
      <c r="Q28" s="8"/>
      <c r="R28" s="35" t="str">
        <f t="shared" si="1"/>
        <v/>
      </c>
      <c r="S28" s="10"/>
      <c r="T28" s="8"/>
      <c r="U28" s="139" t="str">
        <f t="shared" si="2"/>
        <v/>
      </c>
      <c r="V28" s="147"/>
      <c r="W28" s="770" t="str" cm="1">
        <f t="array" ref="W28">IF((_xlfn.IFS(TRIM(SUBSTITUTE(V28,CHAR(160),""))="Devis 1",IFERROR(VALUE(TRIM(SUBSTITUTE(M28,CHAR(160),""))),0),TRIM(SUBSTITUTE(V28,CHAR(160),""))="Devis 2",IFERROR(VALUE(TRIM(SUBSTITUTE(P28,CHAR(160),""))),0),TRIM(SUBSTITUTE(V28,CHAR(160),""))="Devis 3",IFERROR(VALUE(TRIM(SUBSTITUTE(S28,CHAR(160),""))),0),TRUE,0)*IFERROR(VALUE(TRIM(SUBSTITUTE(D28,CHAR(160),""))),0))=0,"",_xlfn.IFS(TRIM(SUBSTITUTE(V28,CHAR(160),""))="Devis 1",IFERROR(VALUE(TRIM(SUBSTITUTE(M28,CHAR(160),""))),0),TRIM(SUBSTITUTE(V28,CHAR(160),""))="Devis 2",IFERROR(VALUE(TRIM(SUBSTITUTE(P28,CHAR(160),""))),0),TRIM(SUBSTITUTE(V28,CHAR(160),""))="Devis 3",IFERROR(VALUE(TRIM(SUBSTITUTE(S28,CHAR(160),""))),0),TRUE,0)*IFERROR(VALUE(TRIM(SUBSTITUTE(D28,CHAR(160),""))),0))</f>
        <v/>
      </c>
      <c r="X28" s="73" t="str" cm="1">
        <f t="array" ref="X28">IF(_xlfn.IFS(TRIM(SUBSTITUTE(V28,CHAR(160),""))="Devis 1",IFERROR(VALUE(TRIM(SUBSTITUTE(N28,CHAR(160),""))),0),TRIM(SUBSTITUTE(V28,CHAR(160),""))="Devis 2",IFERROR(VALUE(TRIM(SUBSTITUTE(Q28,CHAR(160),""))),0),TRIM(SUBSTITUTE(V28,CHAR(160),""))="Devis 3",IFERROR(VALUE(TRIM(SUBSTITUTE(T28,CHAR(160),""))),0),TRUE,0)*IFERROR(VALUE(TRIM(SUBSTITUTE(D28,CHAR(160),""))),0)=0,IF(W28&lt;&gt;"",0,""),_xlfn.IFS(TRIM(SUBSTITUTE(V28,CHAR(160),""))="Devis 1",IFERROR(VALUE(TRIM(SUBSTITUTE(N28,CHAR(160),""))),0),TRIM(SUBSTITUTE(V28,CHAR(160),""))="Devis 2",IFERROR(VALUE(TRIM(SUBSTITUTE(Q28,CHAR(160),""))),0),TRIM(SUBSTITUTE(V28,CHAR(160),""))="Devis 3",IFERROR(VALUE(TRIM(SUBSTITUTE(T28,CHAR(160),""))),0),TRUE,0)*IFERROR(VALUE(TRIM(SUBSTITUTE(D28,CHAR(160),""))),0))</f>
        <v/>
      </c>
      <c r="Y28" s="149" t="str">
        <f t="shared" si="3"/>
        <v/>
      </c>
      <c r="Z28" s="150"/>
      <c r="AA28" s="36" t="str">
        <f t="shared" si="4"/>
        <v/>
      </c>
      <c r="AB28" s="37" t="str">
        <f t="shared" si="30"/>
        <v/>
      </c>
      <c r="AC28" s="37" t="str">
        <f t="shared" si="31"/>
        <v/>
      </c>
      <c r="AD28" s="14" t="str">
        <f t="shared" si="5"/>
        <v/>
      </c>
      <c r="AE28" s="14" t="str">
        <f t="shared" si="6"/>
        <v/>
      </c>
      <c r="AF28" s="14" t="str">
        <f t="shared" si="7"/>
        <v/>
      </c>
      <c r="AG28" s="14" t="str">
        <f t="shared" si="8"/>
        <v/>
      </c>
      <c r="AH28" s="38" t="str">
        <f t="shared" si="9"/>
        <v/>
      </c>
      <c r="AI28" s="14" t="str">
        <f t="shared" si="10"/>
        <v/>
      </c>
      <c r="AJ28" s="39" t="str">
        <f t="shared" si="11"/>
        <v/>
      </c>
      <c r="AK28" s="40" t="str">
        <f t="shared" si="12"/>
        <v/>
      </c>
      <c r="AL28" s="20" t="str">
        <f t="shared" si="13"/>
        <v/>
      </c>
      <c r="AM28" s="35" t="str">
        <f t="shared" si="14"/>
        <v/>
      </c>
      <c r="AN28" s="41" t="str">
        <f t="shared" si="15"/>
        <v/>
      </c>
      <c r="AO28" s="20" t="str">
        <f t="shared" si="16"/>
        <v/>
      </c>
      <c r="AP28" s="35" t="str">
        <f t="shared" si="17"/>
        <v/>
      </c>
      <c r="AQ28" s="42" t="str">
        <f t="shared" si="18"/>
        <v/>
      </c>
      <c r="AR28" s="20" t="str">
        <f t="shared" si="19"/>
        <v/>
      </c>
      <c r="AS28" s="43" t="str">
        <f t="shared" si="20"/>
        <v/>
      </c>
      <c r="AT28" s="36" t="str">
        <f t="shared" si="21"/>
        <v/>
      </c>
      <c r="AU28" s="184"/>
      <c r="AV28" s="44" t="str">
        <f t="shared" si="22"/>
        <v/>
      </c>
      <c r="AW28" s="44" t="str">
        <f t="shared" si="23"/>
        <v/>
      </c>
      <c r="AX28" s="44" t="str">
        <f t="shared" si="24"/>
        <v/>
      </c>
      <c r="AY28" s="74" t="str" cm="1">
        <f t="array" ref="AY28">IF($AB28="","",IF((IFERROR(_xlfn.IFS($AT28="Devis 1",(IFERROR(VALUE(TRIM(SUBSTITUTE(AK28,CHAR(160),""))),0)),$AT28="Devis 2",(IFERROR(VALUE(TRIM(SUBSTITUTE(AN28,CHAR(160),""))),0)),$AT28="Devis 3",(IFERROR(VALUE(TRIM(SUBSTITUTE(AQ28,CHAR(160),""))),0))),0))*(IFERROR(VALUE(TRIM(SUBSTITUTE($AB28,CHAR(160),""))),0))=0,"",(IFERROR(_xlfn.IFS($AT28="Devis 1",(IFERROR(VALUE(TRIM(SUBSTITUTE(AK28,CHAR(160),""))),0)),$AT28="Devis 2",(IFERROR(VALUE(TRIM(SUBSTITUTE(AN28,CHAR(160),""))),0)),$AT28="Devis 3",(IFERROR(VALUE(TRIM(SUBSTITUTE(AQ28,CHAR(160),""))),0))),0))*(IFERROR(VALUE(TRIM(SUBSTITUTE($AB28,CHAR(160),""))),0))))</f>
        <v/>
      </c>
      <c r="AZ28" s="74" t="str" cm="1">
        <f t="array" ref="AZ28">IF($AB28="","",IF((IFERROR(_xlfn.IFS(TRIM(SUBSTITUTE($AT28,CHAR(160),""))="Devis 1", IFERROR(VALUE(TRIM(SUBSTITUTE(AL28,CHAR(160),""))),0),TRIM(SUBSTITUTE($AT28,CHAR(160),""))="Devis 2", IFERROR(VALUE(TRIM(SUBSTITUTE(AO28,CHAR(160),""))),0),TRIM(SUBSTITUTE($AT28,CHAR(160),""))="Devis 3", IFERROR(VALUE(TRIM(SUBSTITUTE(AR28,CHAR(160),""))),0)),0) * IFERROR(VALUE(TRIM(SUBSTITUTE($AB28,CHAR(160),""))),0)) = 0,IF(AY28&lt;&gt;"",0,""),(IFERROR(_xlfn.IFS(TRIM(SUBSTITUTE($AT28,CHAR(160),""))="Devis 1", IFERROR(VALUE(TRIM(SUBSTITUTE(AL28,CHAR(160),""))),0),TRIM(SUBSTITUTE($AT28,CHAR(160),""))="Devis 2", IFERROR(VALUE(TRIM(SUBSTITUTE(AO28,CHAR(160),""))),0),TRIM(SUBSTITUTE($AT28,CHAR(160),""))="Devis 3", IFERROR(VALUE(TRIM(SUBSTITUTE(AR28,CHAR(160),""))),0)),0) * IFERROR(VALUE(TRIM(SUBSTITUTE($AB28,CHAR(160),""))),0))))</f>
        <v/>
      </c>
      <c r="BA28" s="74" t="str" cm="1">
        <f t="array" ref="BA28">IF($AB28="","",IF(IFERROR(_xlfn.IFS($AT28="Devis 1",IFERROR(VALUE(TRIM(SUBSTITUTE(AM28,CHAR(160),""))),0),$AT28="Devis 2",IFERROR(VALUE(TRIM(SUBSTITUTE(AP28,CHAR(160),""))),0),$AT28="Devis 3",IFERROR(VALUE(TRIM(SUBSTITUTE(AS28,CHAR(160),""))),0)),0)*IFERROR(VALUE(TRIM(SUBSTITUTE($AB28,CHAR(160),""))),0)=0,"",IFERROR(_xlfn.IFS($AT28="Devis 1",IFERROR(VALUE(TRIM(SUBSTITUTE(AM28,CHAR(160),""))),0),$AT28="Devis 2",IFERROR(VALUE(TRIM(SUBSTITUTE(AP28,CHAR(160),""))),0),$AT28="Devis 3",IFERROR(VALUE(TRIM(SUBSTITUTE(AS28,CHAR(160),""))),0)),0)*IFERROR(VALUE(TRIM(SUBSTITUTE($AB28,CHAR(160),""))),0)))</f>
        <v/>
      </c>
      <c r="BB28" s="45"/>
      <c r="BC28" s="13" t="str" cm="1">
        <f t="array" ref="BC28">IF(OR(BA28="",AX28="",AY28="",AV28="",AZ28="",AW28=""),"",_xlfn.IFS((IFERROR(VALUE(TRIM(SUBSTITUTE(BA28,CHAR(160),""))),0))&gt;(IFERROR(VALUE(TRIM(SUBSTITUTE(AX28,CHAR(160),""))),0)),"KO : Le montant retenu TTC est supérieur au montant raisonnable TTC. Merci de revoir la ligne de dépense ou plafonner son montant.",(IFERROR(VALUE(TRIM(SUBSTITUTE(AY28,CHAR(160),""))),0))&gt;(IFERROR(VALUE(TRIM(SUBSTITUTE(AV28,CHAR(160),""))),0)),"Attention : Le montant retenu HT est supérieur au montant HT raisonnable. Merci de revoir la ligne de dépense, plafonner son montant, ou justifier la reventillation HT / TVA.",(IFERROR(VALUE(TRIM(SUBSTITUTE(AZ28,CHAR(160),""))),0))&gt;(IFERROR(VALUE(TRIM(SUBSTITUTE(AW28,CHAR(160),""))),0)),"Attention : Le montant TVA retenu est supérieur au montant TVA raisonnable. Merci de revoir la ligne de dépense, plafonner son montant, ou justifier la reventillation HT / TVA.",(IFERROR(VALUE(TRIM(SUBSTITUTE(BA28,CHAR(160),""))),0))=0,"",(IFERROR(VALUE(TRIM(SUBSTITUTE(AX28,CHAR(160),""))),0))=(IFERROR(VALUE(TRIM(SUBSTITUTE(BA28,CHAR(160),""))),0)),"OK",(IFERROR(VALUE(TRIM(SUBSTITUTE(AX28,CHAR(160),""))),0))&gt;(IFERROR(VALUE(TRIM(SUBSTITUTE(BA28,CHAR(160),""))),0))," OK : Montant instruit inférieur au montant raisonnable.",TRUE,""))</f>
        <v/>
      </c>
      <c r="BD28" s="187" t="str" cm="1">
        <f t="array" ref="BD28">IF(OR(BA28="",Y28="",AY28="",W28="",AZ28="",X28=""),"",_xlfn.IFS((IFERROR(VALUE(TRIM(SUBSTITUTE(BA28,CHAR(160),""))),0))&gt;(IFERROR(VALUE(TRIM(SUBSTITUTE(Y28,CHAR(160),""))),0)),"KO : Le montant retenu TTC est supérieur au montant présenté TTC. Merci de revoir la ligne de dépense ou plafonner son montant.",(IFERROR(VALUE(TRIM(SUBSTITUTE(AY28,CHAR(160),""))),0))&gt;(IFERROR(VALUE(TRIM(SUBSTITUTE(W28,CHAR(160),""))),0)),"Attention : Le montant retenu HT est supérieur au montant HT présenté. Merci de revoir la ligne de dépense,plafonner son montant,ou justifier la reventillation HT/TVA.",(IFERROR(VALUE(TRIM(SUBSTITUTE(AZ28,CHAR(160),""))),0))&gt;(IFERROR(VALUE(TRIM(SUBSTITUTE(X28,CHAR(160),""))),0)),"Attention : Le montant TVA retenu est supérieur au montant TVA présenté. Merci de revoir la ligne de dépense,plafonner son montant,ou justifier la reventillation HT/TVA.",(IFERROR(VALUE(TRIM(SUBSTITUTE(Y28,CHAR(160),""))),0))=0,"",(IFERROR(VALUE(TRIM(SUBSTITUTE(BA28,CHAR(160),""))),0))=(IFERROR(VALUE(TRIM(SUBSTITUTE(Y28,CHAR(160),""))),0)),"OK",
OR((IFERROR(VALUE(TRIM(SUBSTITUTE(BA28,CHAR(160),""))),0))=0,(IFERROR(VALUE(TRIM(SUBSTITUTE(AY28,CHAR(160),""))),0))=0),"Attention : montant présenté entièrement écarté",(IFERROR(VALUE(TRIM(SUBSTITUTE(BA28,CHAR(160),""))),0))&lt;(IFERROR(VALUE(TRIM(SUBSTITUTE(Y28,CHAR(160),""))),0)),"Attention : montant présenté partiellement écarté",TRUE,""))</f>
        <v/>
      </c>
      <c r="BE28" s="44" t="str">
        <f t="shared" si="25"/>
        <v/>
      </c>
      <c r="BF28" s="44" t="str">
        <f t="shared" si="26"/>
        <v/>
      </c>
      <c r="BG28" s="21" t="str">
        <f t="shared" si="27"/>
        <v/>
      </c>
    </row>
    <row r="29" spans="1:60" ht="15" customHeight="1">
      <c r="A29" s="70">
        <v>20</v>
      </c>
      <c r="B29" s="784"/>
      <c r="C29" s="7"/>
      <c r="D29" s="11"/>
      <c r="E29" s="451"/>
      <c r="F29" s="7"/>
      <c r="G29" s="7"/>
      <c r="H29" s="7"/>
      <c r="I29" s="7"/>
      <c r="J29" s="17"/>
      <c r="K29" s="7"/>
      <c r="L29" s="132"/>
      <c r="M29" s="138"/>
      <c r="N29" s="8"/>
      <c r="O29" s="35" t="str">
        <f t="shared" si="0"/>
        <v/>
      </c>
      <c r="P29" s="9"/>
      <c r="Q29" s="8"/>
      <c r="R29" s="35" t="str">
        <f t="shared" si="1"/>
        <v/>
      </c>
      <c r="S29" s="10"/>
      <c r="T29" s="8"/>
      <c r="U29" s="139" t="str">
        <f t="shared" si="2"/>
        <v/>
      </c>
      <c r="V29" s="147"/>
      <c r="W29" s="770" t="str" cm="1">
        <f t="array" ref="W29">IF((_xlfn.IFS(TRIM(SUBSTITUTE(V29,CHAR(160),""))="Devis 1",IFERROR(VALUE(TRIM(SUBSTITUTE(M29,CHAR(160),""))),0),TRIM(SUBSTITUTE(V29,CHAR(160),""))="Devis 2",IFERROR(VALUE(TRIM(SUBSTITUTE(P29,CHAR(160),""))),0),TRIM(SUBSTITUTE(V29,CHAR(160),""))="Devis 3",IFERROR(VALUE(TRIM(SUBSTITUTE(S29,CHAR(160),""))),0),TRUE,0)*IFERROR(VALUE(TRIM(SUBSTITUTE(D29,CHAR(160),""))),0))=0,"",_xlfn.IFS(TRIM(SUBSTITUTE(V29,CHAR(160),""))="Devis 1",IFERROR(VALUE(TRIM(SUBSTITUTE(M29,CHAR(160),""))),0),TRIM(SUBSTITUTE(V29,CHAR(160),""))="Devis 2",IFERROR(VALUE(TRIM(SUBSTITUTE(P29,CHAR(160),""))),0),TRIM(SUBSTITUTE(V29,CHAR(160),""))="Devis 3",IFERROR(VALUE(TRIM(SUBSTITUTE(S29,CHAR(160),""))),0),TRUE,0)*IFERROR(VALUE(TRIM(SUBSTITUTE(D29,CHAR(160),""))),0))</f>
        <v/>
      </c>
      <c r="X29" s="73" t="str" cm="1">
        <f t="array" ref="X29">IF(_xlfn.IFS(TRIM(SUBSTITUTE(V29,CHAR(160),""))="Devis 1",IFERROR(VALUE(TRIM(SUBSTITUTE(N29,CHAR(160),""))),0),TRIM(SUBSTITUTE(V29,CHAR(160),""))="Devis 2",IFERROR(VALUE(TRIM(SUBSTITUTE(Q29,CHAR(160),""))),0),TRIM(SUBSTITUTE(V29,CHAR(160),""))="Devis 3",IFERROR(VALUE(TRIM(SUBSTITUTE(T29,CHAR(160),""))),0),TRUE,0)*IFERROR(VALUE(TRIM(SUBSTITUTE(D29,CHAR(160),""))),0)=0,IF(W29&lt;&gt;"",0,""),_xlfn.IFS(TRIM(SUBSTITUTE(V29,CHAR(160),""))="Devis 1",IFERROR(VALUE(TRIM(SUBSTITUTE(N29,CHAR(160),""))),0),TRIM(SUBSTITUTE(V29,CHAR(160),""))="Devis 2",IFERROR(VALUE(TRIM(SUBSTITUTE(Q29,CHAR(160),""))),0),TRIM(SUBSTITUTE(V29,CHAR(160),""))="Devis 3",IFERROR(VALUE(TRIM(SUBSTITUTE(T29,CHAR(160),""))),0),TRUE,0)*IFERROR(VALUE(TRIM(SUBSTITUTE(D29,CHAR(160),""))),0))</f>
        <v/>
      </c>
      <c r="Y29" s="149" t="str">
        <f t="shared" si="3"/>
        <v/>
      </c>
      <c r="Z29" s="150"/>
      <c r="AA29" s="36" t="str">
        <f t="shared" si="4"/>
        <v/>
      </c>
      <c r="AB29" s="37" t="str">
        <f t="shared" si="30"/>
        <v/>
      </c>
      <c r="AC29" s="37" t="str">
        <f t="shared" si="31"/>
        <v/>
      </c>
      <c r="AD29" s="14" t="str">
        <f t="shared" si="5"/>
        <v/>
      </c>
      <c r="AE29" s="14" t="str">
        <f t="shared" si="6"/>
        <v/>
      </c>
      <c r="AF29" s="14" t="str">
        <f t="shared" si="7"/>
        <v/>
      </c>
      <c r="AG29" s="14" t="str">
        <f t="shared" si="8"/>
        <v/>
      </c>
      <c r="AH29" s="38" t="str">
        <f t="shared" si="9"/>
        <v/>
      </c>
      <c r="AI29" s="14" t="str">
        <f t="shared" si="10"/>
        <v/>
      </c>
      <c r="AJ29" s="39" t="str">
        <f t="shared" si="11"/>
        <v/>
      </c>
      <c r="AK29" s="40" t="str">
        <f t="shared" si="12"/>
        <v/>
      </c>
      <c r="AL29" s="20" t="str">
        <f t="shared" si="13"/>
        <v/>
      </c>
      <c r="AM29" s="35" t="str">
        <f t="shared" si="14"/>
        <v/>
      </c>
      <c r="AN29" s="41" t="str">
        <f t="shared" si="15"/>
        <v/>
      </c>
      <c r="AO29" s="20" t="str">
        <f t="shared" si="16"/>
        <v/>
      </c>
      <c r="AP29" s="35" t="str">
        <f t="shared" si="17"/>
        <v/>
      </c>
      <c r="AQ29" s="42" t="str">
        <f t="shared" si="18"/>
        <v/>
      </c>
      <c r="AR29" s="20" t="str">
        <f t="shared" si="19"/>
        <v/>
      </c>
      <c r="AS29" s="43" t="str">
        <f t="shared" si="20"/>
        <v/>
      </c>
      <c r="AT29" s="36" t="str">
        <f t="shared" si="21"/>
        <v/>
      </c>
      <c r="AU29" s="184"/>
      <c r="AV29" s="44" t="str">
        <f t="shared" si="22"/>
        <v/>
      </c>
      <c r="AW29" s="44" t="str">
        <f t="shared" si="23"/>
        <v/>
      </c>
      <c r="AX29" s="44" t="str">
        <f t="shared" si="24"/>
        <v/>
      </c>
      <c r="AY29" s="74" t="str" cm="1">
        <f t="array" ref="AY29">IF($AB29="","",IF((IFERROR(_xlfn.IFS($AT29="Devis 1",(IFERROR(VALUE(TRIM(SUBSTITUTE(AK29,CHAR(160),""))),0)),$AT29="Devis 2",(IFERROR(VALUE(TRIM(SUBSTITUTE(AN29,CHAR(160),""))),0)),$AT29="Devis 3",(IFERROR(VALUE(TRIM(SUBSTITUTE(AQ29,CHAR(160),""))),0))),0))*(IFERROR(VALUE(TRIM(SUBSTITUTE($AB29,CHAR(160),""))),0))=0,"",(IFERROR(_xlfn.IFS($AT29="Devis 1",(IFERROR(VALUE(TRIM(SUBSTITUTE(AK29,CHAR(160),""))),0)),$AT29="Devis 2",(IFERROR(VALUE(TRIM(SUBSTITUTE(AN29,CHAR(160),""))),0)),$AT29="Devis 3",(IFERROR(VALUE(TRIM(SUBSTITUTE(AQ29,CHAR(160),""))),0))),0))*(IFERROR(VALUE(TRIM(SUBSTITUTE($AB29,CHAR(160),""))),0))))</f>
        <v/>
      </c>
      <c r="AZ29" s="74" t="str" cm="1">
        <f t="array" ref="AZ29">IF($AB29="","",IF((IFERROR(_xlfn.IFS(TRIM(SUBSTITUTE($AT29,CHAR(160),""))="Devis 1", IFERROR(VALUE(TRIM(SUBSTITUTE(AL29,CHAR(160),""))),0),TRIM(SUBSTITUTE($AT29,CHAR(160),""))="Devis 2", IFERROR(VALUE(TRIM(SUBSTITUTE(AO29,CHAR(160),""))),0),TRIM(SUBSTITUTE($AT29,CHAR(160),""))="Devis 3", IFERROR(VALUE(TRIM(SUBSTITUTE(AR29,CHAR(160),""))),0)),0) * IFERROR(VALUE(TRIM(SUBSTITUTE($AB29,CHAR(160),""))),0)) = 0,IF(AY29&lt;&gt;"",0,""),(IFERROR(_xlfn.IFS(TRIM(SUBSTITUTE($AT29,CHAR(160),""))="Devis 1", IFERROR(VALUE(TRIM(SUBSTITUTE(AL29,CHAR(160),""))),0),TRIM(SUBSTITUTE($AT29,CHAR(160),""))="Devis 2", IFERROR(VALUE(TRIM(SUBSTITUTE(AO29,CHAR(160),""))),0),TRIM(SUBSTITUTE($AT29,CHAR(160),""))="Devis 3", IFERROR(VALUE(TRIM(SUBSTITUTE(AR29,CHAR(160),""))),0)),0) * IFERROR(VALUE(TRIM(SUBSTITUTE($AB29,CHAR(160),""))),0))))</f>
        <v/>
      </c>
      <c r="BA29" s="74" t="str" cm="1">
        <f t="array" ref="BA29">IF($AB29="","",IF(IFERROR(_xlfn.IFS($AT29="Devis 1",IFERROR(VALUE(TRIM(SUBSTITUTE(AM29,CHAR(160),""))),0),$AT29="Devis 2",IFERROR(VALUE(TRIM(SUBSTITUTE(AP29,CHAR(160),""))),0),$AT29="Devis 3",IFERROR(VALUE(TRIM(SUBSTITUTE(AS29,CHAR(160),""))),0)),0)*IFERROR(VALUE(TRIM(SUBSTITUTE($AB29,CHAR(160),""))),0)=0,"",IFERROR(_xlfn.IFS($AT29="Devis 1",IFERROR(VALUE(TRIM(SUBSTITUTE(AM29,CHAR(160),""))),0),$AT29="Devis 2",IFERROR(VALUE(TRIM(SUBSTITUTE(AP29,CHAR(160),""))),0),$AT29="Devis 3",IFERROR(VALUE(TRIM(SUBSTITUTE(AS29,CHAR(160),""))),0)),0)*IFERROR(VALUE(TRIM(SUBSTITUTE($AB29,CHAR(160),""))),0)))</f>
        <v/>
      </c>
      <c r="BB29" s="45"/>
      <c r="BC29" s="13" t="str" cm="1">
        <f t="array" ref="BC29">IF(OR(BA29="",AX29="",AY29="",AV29="",AZ29="",AW29=""),"",_xlfn.IFS((IFERROR(VALUE(TRIM(SUBSTITUTE(BA29,CHAR(160),""))),0))&gt;(IFERROR(VALUE(TRIM(SUBSTITUTE(AX29,CHAR(160),""))),0)),"KO : Le montant retenu TTC est supérieur au montant raisonnable TTC. Merci de revoir la ligne de dépense ou plafonner son montant.",(IFERROR(VALUE(TRIM(SUBSTITUTE(AY29,CHAR(160),""))),0))&gt;(IFERROR(VALUE(TRIM(SUBSTITUTE(AV29,CHAR(160),""))),0)),"Attention : Le montant retenu HT est supérieur au montant HT raisonnable. Merci de revoir la ligne de dépense, plafonner son montant, ou justifier la reventillation HT / TVA.",(IFERROR(VALUE(TRIM(SUBSTITUTE(AZ29,CHAR(160),""))),0))&gt;(IFERROR(VALUE(TRIM(SUBSTITUTE(AW29,CHAR(160),""))),0)),"Attention : Le montant TVA retenu est supérieur au montant TVA raisonnable. Merci de revoir la ligne de dépense, plafonner son montant, ou justifier la reventillation HT / TVA.",(IFERROR(VALUE(TRIM(SUBSTITUTE(BA29,CHAR(160),""))),0))=0,"",(IFERROR(VALUE(TRIM(SUBSTITUTE(AX29,CHAR(160),""))),0))=(IFERROR(VALUE(TRIM(SUBSTITUTE(BA29,CHAR(160),""))),0)),"OK",(IFERROR(VALUE(TRIM(SUBSTITUTE(AX29,CHAR(160),""))),0))&gt;(IFERROR(VALUE(TRIM(SUBSTITUTE(BA29,CHAR(160),""))),0))," OK : Montant instruit inférieur au montant raisonnable.",TRUE,""))</f>
        <v/>
      </c>
      <c r="BD29" s="187" t="str" cm="1">
        <f t="array" ref="BD29">IF(OR(BA29="",Y29="",AY29="",W29="",AZ29="",X29=""),"",_xlfn.IFS((IFERROR(VALUE(TRIM(SUBSTITUTE(BA29,CHAR(160),""))),0))&gt;(IFERROR(VALUE(TRIM(SUBSTITUTE(Y29,CHAR(160),""))),0)),"KO : Le montant retenu TTC est supérieur au montant présenté TTC. Merci de revoir la ligne de dépense ou plafonner son montant.",(IFERROR(VALUE(TRIM(SUBSTITUTE(AY29,CHAR(160),""))),0))&gt;(IFERROR(VALUE(TRIM(SUBSTITUTE(W29,CHAR(160),""))),0)),"Attention : Le montant retenu HT est supérieur au montant HT présenté. Merci de revoir la ligne de dépense,plafonner son montant,ou justifier la reventillation HT/TVA.",(IFERROR(VALUE(TRIM(SUBSTITUTE(AZ29,CHAR(160),""))),0))&gt;(IFERROR(VALUE(TRIM(SUBSTITUTE(X29,CHAR(160),""))),0)),"Attention : Le montant TVA retenu est supérieur au montant TVA présenté. Merci de revoir la ligne de dépense,plafonner son montant,ou justifier la reventillation HT/TVA.",(IFERROR(VALUE(TRIM(SUBSTITUTE(Y29,CHAR(160),""))),0))=0,"",(IFERROR(VALUE(TRIM(SUBSTITUTE(BA29,CHAR(160),""))),0))=(IFERROR(VALUE(TRIM(SUBSTITUTE(Y29,CHAR(160),""))),0)),"OK",
OR((IFERROR(VALUE(TRIM(SUBSTITUTE(BA29,CHAR(160),""))),0))=0,(IFERROR(VALUE(TRIM(SUBSTITUTE(AY29,CHAR(160),""))),0))=0),"Attention : montant présenté entièrement écarté",(IFERROR(VALUE(TRIM(SUBSTITUTE(BA29,CHAR(160),""))),0))&lt;(IFERROR(VALUE(TRIM(SUBSTITUTE(Y29,CHAR(160),""))),0)),"Attention : montant présenté partiellement écarté",TRUE,""))</f>
        <v/>
      </c>
      <c r="BE29" s="44" t="str">
        <f t="shared" si="25"/>
        <v/>
      </c>
      <c r="BF29" s="44" t="str">
        <f t="shared" si="26"/>
        <v/>
      </c>
      <c r="BG29" s="21" t="str">
        <f t="shared" si="27"/>
        <v/>
      </c>
    </row>
    <row r="30" spans="1:60" ht="15" customHeight="1">
      <c r="A30" s="70">
        <v>21</v>
      </c>
      <c r="B30" s="784"/>
      <c r="C30" s="7"/>
      <c r="D30" s="11"/>
      <c r="E30" s="451"/>
      <c r="F30" s="7"/>
      <c r="G30" s="7"/>
      <c r="H30" s="7"/>
      <c r="I30" s="7"/>
      <c r="J30" s="17"/>
      <c r="K30" s="7"/>
      <c r="L30" s="132"/>
      <c r="M30" s="138"/>
      <c r="N30" s="8"/>
      <c r="O30" s="35" t="str">
        <f t="shared" si="0"/>
        <v/>
      </c>
      <c r="P30" s="9"/>
      <c r="Q30" s="8"/>
      <c r="R30" s="35" t="str">
        <f t="shared" si="1"/>
        <v/>
      </c>
      <c r="S30" s="10"/>
      <c r="T30" s="8"/>
      <c r="U30" s="139" t="str">
        <f t="shared" si="2"/>
        <v/>
      </c>
      <c r="V30" s="147"/>
      <c r="W30" s="770" t="str" cm="1">
        <f t="array" ref="W30">IF((_xlfn.IFS(TRIM(SUBSTITUTE(V30,CHAR(160),""))="Devis 1",IFERROR(VALUE(TRIM(SUBSTITUTE(M30,CHAR(160),""))),0),TRIM(SUBSTITUTE(V30,CHAR(160),""))="Devis 2",IFERROR(VALUE(TRIM(SUBSTITUTE(P30,CHAR(160),""))),0),TRIM(SUBSTITUTE(V30,CHAR(160),""))="Devis 3",IFERROR(VALUE(TRIM(SUBSTITUTE(S30,CHAR(160),""))),0),TRUE,0)*IFERROR(VALUE(TRIM(SUBSTITUTE(D30,CHAR(160),""))),0))=0,"",_xlfn.IFS(TRIM(SUBSTITUTE(V30,CHAR(160),""))="Devis 1",IFERROR(VALUE(TRIM(SUBSTITUTE(M30,CHAR(160),""))),0),TRIM(SUBSTITUTE(V30,CHAR(160),""))="Devis 2",IFERROR(VALUE(TRIM(SUBSTITUTE(P30,CHAR(160),""))),0),TRIM(SUBSTITUTE(V30,CHAR(160),""))="Devis 3",IFERROR(VALUE(TRIM(SUBSTITUTE(S30,CHAR(160),""))),0),TRUE,0)*IFERROR(VALUE(TRIM(SUBSTITUTE(D30,CHAR(160),""))),0))</f>
        <v/>
      </c>
      <c r="X30" s="73" t="str" cm="1">
        <f t="array" ref="X30">IF(_xlfn.IFS(TRIM(SUBSTITUTE(V30,CHAR(160),""))="Devis 1",IFERROR(VALUE(TRIM(SUBSTITUTE(N30,CHAR(160),""))),0),TRIM(SUBSTITUTE(V30,CHAR(160),""))="Devis 2",IFERROR(VALUE(TRIM(SUBSTITUTE(Q30,CHAR(160),""))),0),TRIM(SUBSTITUTE(V30,CHAR(160),""))="Devis 3",IFERROR(VALUE(TRIM(SUBSTITUTE(T30,CHAR(160),""))),0),TRUE,0)*IFERROR(VALUE(TRIM(SUBSTITUTE(D30,CHAR(160),""))),0)=0,IF(W30&lt;&gt;"",0,""),_xlfn.IFS(TRIM(SUBSTITUTE(V30,CHAR(160),""))="Devis 1",IFERROR(VALUE(TRIM(SUBSTITUTE(N30,CHAR(160),""))),0),TRIM(SUBSTITUTE(V30,CHAR(160),""))="Devis 2",IFERROR(VALUE(TRIM(SUBSTITUTE(Q30,CHAR(160),""))),0),TRIM(SUBSTITUTE(V30,CHAR(160),""))="Devis 3",IFERROR(VALUE(TRIM(SUBSTITUTE(T30,CHAR(160),""))),0),TRUE,0)*IFERROR(VALUE(TRIM(SUBSTITUTE(D30,CHAR(160),""))),0))</f>
        <v/>
      </c>
      <c r="Y30" s="149" t="str">
        <f t="shared" si="3"/>
        <v/>
      </c>
      <c r="Z30" s="150"/>
      <c r="AA30" s="36" t="str">
        <f t="shared" si="4"/>
        <v/>
      </c>
      <c r="AB30" s="37" t="str">
        <f t="shared" si="30"/>
        <v/>
      </c>
      <c r="AC30" s="37" t="str">
        <f t="shared" si="31"/>
        <v/>
      </c>
      <c r="AD30" s="14" t="str">
        <f t="shared" si="5"/>
        <v/>
      </c>
      <c r="AE30" s="14" t="str">
        <f t="shared" si="6"/>
        <v/>
      </c>
      <c r="AF30" s="14" t="str">
        <f t="shared" si="7"/>
        <v/>
      </c>
      <c r="AG30" s="14" t="str">
        <f t="shared" si="8"/>
        <v/>
      </c>
      <c r="AH30" s="38" t="str">
        <f t="shared" si="9"/>
        <v/>
      </c>
      <c r="AI30" s="14" t="str">
        <f t="shared" si="10"/>
        <v/>
      </c>
      <c r="AJ30" s="39" t="str">
        <f t="shared" si="11"/>
        <v/>
      </c>
      <c r="AK30" s="40" t="str">
        <f t="shared" si="12"/>
        <v/>
      </c>
      <c r="AL30" s="20" t="str">
        <f t="shared" si="13"/>
        <v/>
      </c>
      <c r="AM30" s="35" t="str">
        <f t="shared" si="14"/>
        <v/>
      </c>
      <c r="AN30" s="41" t="str">
        <f t="shared" si="15"/>
        <v/>
      </c>
      <c r="AO30" s="20" t="str">
        <f t="shared" si="16"/>
        <v/>
      </c>
      <c r="AP30" s="35" t="str">
        <f t="shared" si="17"/>
        <v/>
      </c>
      <c r="AQ30" s="42" t="str">
        <f t="shared" si="18"/>
        <v/>
      </c>
      <c r="AR30" s="20" t="str">
        <f t="shared" si="19"/>
        <v/>
      </c>
      <c r="AS30" s="43" t="str">
        <f t="shared" si="20"/>
        <v/>
      </c>
      <c r="AT30" s="36" t="str">
        <f t="shared" si="21"/>
        <v/>
      </c>
      <c r="AU30" s="184"/>
      <c r="AV30" s="44" t="str">
        <f t="shared" si="22"/>
        <v/>
      </c>
      <c r="AW30" s="44" t="str">
        <f t="shared" si="23"/>
        <v/>
      </c>
      <c r="AX30" s="44" t="str">
        <f t="shared" si="24"/>
        <v/>
      </c>
      <c r="AY30" s="74" t="str" cm="1">
        <f t="array" ref="AY30">IF($AB30="","",IF((IFERROR(_xlfn.IFS($AT30="Devis 1",(IFERROR(VALUE(TRIM(SUBSTITUTE(AK30,CHAR(160),""))),0)),$AT30="Devis 2",(IFERROR(VALUE(TRIM(SUBSTITUTE(AN30,CHAR(160),""))),0)),$AT30="Devis 3",(IFERROR(VALUE(TRIM(SUBSTITUTE(AQ30,CHAR(160),""))),0))),0))*(IFERROR(VALUE(TRIM(SUBSTITUTE($AB30,CHAR(160),""))),0))=0,"",(IFERROR(_xlfn.IFS($AT30="Devis 1",(IFERROR(VALUE(TRIM(SUBSTITUTE(AK30,CHAR(160),""))),0)),$AT30="Devis 2",(IFERROR(VALUE(TRIM(SUBSTITUTE(AN30,CHAR(160),""))),0)),$AT30="Devis 3",(IFERROR(VALUE(TRIM(SUBSTITUTE(AQ30,CHAR(160),""))),0))),0))*(IFERROR(VALUE(TRIM(SUBSTITUTE($AB30,CHAR(160),""))),0))))</f>
        <v/>
      </c>
      <c r="AZ30" s="74" t="str" cm="1">
        <f t="array" ref="AZ30">IF($AB30="","",IF((IFERROR(_xlfn.IFS(TRIM(SUBSTITUTE($AT30,CHAR(160),""))="Devis 1", IFERROR(VALUE(TRIM(SUBSTITUTE(AL30,CHAR(160),""))),0),TRIM(SUBSTITUTE($AT30,CHAR(160),""))="Devis 2", IFERROR(VALUE(TRIM(SUBSTITUTE(AO30,CHAR(160),""))),0),TRIM(SUBSTITUTE($AT30,CHAR(160),""))="Devis 3", IFERROR(VALUE(TRIM(SUBSTITUTE(AR30,CHAR(160),""))),0)),0) * IFERROR(VALUE(TRIM(SUBSTITUTE($AB30,CHAR(160),""))),0)) = 0,IF(AY30&lt;&gt;"",0,""),(IFERROR(_xlfn.IFS(TRIM(SUBSTITUTE($AT30,CHAR(160),""))="Devis 1", IFERROR(VALUE(TRIM(SUBSTITUTE(AL30,CHAR(160),""))),0),TRIM(SUBSTITUTE($AT30,CHAR(160),""))="Devis 2", IFERROR(VALUE(TRIM(SUBSTITUTE(AO30,CHAR(160),""))),0),TRIM(SUBSTITUTE($AT30,CHAR(160),""))="Devis 3", IFERROR(VALUE(TRIM(SUBSTITUTE(AR30,CHAR(160),""))),0)),0) * IFERROR(VALUE(TRIM(SUBSTITUTE($AB30,CHAR(160),""))),0))))</f>
        <v/>
      </c>
      <c r="BA30" s="74" t="str" cm="1">
        <f t="array" ref="BA30">IF($AB30="","",IF(IFERROR(_xlfn.IFS($AT30="Devis 1",IFERROR(VALUE(TRIM(SUBSTITUTE(AM30,CHAR(160),""))),0),$AT30="Devis 2",IFERROR(VALUE(TRIM(SUBSTITUTE(AP30,CHAR(160),""))),0),$AT30="Devis 3",IFERROR(VALUE(TRIM(SUBSTITUTE(AS30,CHAR(160),""))),0)),0)*IFERROR(VALUE(TRIM(SUBSTITUTE($AB30,CHAR(160),""))),0)=0,"",IFERROR(_xlfn.IFS($AT30="Devis 1",IFERROR(VALUE(TRIM(SUBSTITUTE(AM30,CHAR(160),""))),0),$AT30="Devis 2",IFERROR(VALUE(TRIM(SUBSTITUTE(AP30,CHAR(160),""))),0),$AT30="Devis 3",IFERROR(VALUE(TRIM(SUBSTITUTE(AS30,CHAR(160),""))),0)),0)*IFERROR(VALUE(TRIM(SUBSTITUTE($AB30,CHAR(160),""))),0)))</f>
        <v/>
      </c>
      <c r="BB30" s="45"/>
      <c r="BC30" s="13" t="str" cm="1">
        <f t="array" ref="BC30">IF(OR(BA30="",AX30="",AY30="",AV30="",AZ30="",AW30=""),"",_xlfn.IFS((IFERROR(VALUE(TRIM(SUBSTITUTE(BA30,CHAR(160),""))),0))&gt;(IFERROR(VALUE(TRIM(SUBSTITUTE(AX30,CHAR(160),""))),0)),"KO : Le montant retenu TTC est supérieur au montant raisonnable TTC. Merci de revoir la ligne de dépense ou plafonner son montant.",(IFERROR(VALUE(TRIM(SUBSTITUTE(AY30,CHAR(160),""))),0))&gt;(IFERROR(VALUE(TRIM(SUBSTITUTE(AV30,CHAR(160),""))),0)),"Attention : Le montant retenu HT est supérieur au montant HT raisonnable. Merci de revoir la ligne de dépense, plafonner son montant, ou justifier la reventillation HT / TVA.",(IFERROR(VALUE(TRIM(SUBSTITUTE(AZ30,CHAR(160),""))),0))&gt;(IFERROR(VALUE(TRIM(SUBSTITUTE(AW30,CHAR(160),""))),0)),"Attention : Le montant TVA retenu est supérieur au montant TVA raisonnable. Merci de revoir la ligne de dépense, plafonner son montant, ou justifier la reventillation HT / TVA.",(IFERROR(VALUE(TRIM(SUBSTITUTE(BA30,CHAR(160),""))),0))=0,"",(IFERROR(VALUE(TRIM(SUBSTITUTE(AX30,CHAR(160),""))),0))=(IFERROR(VALUE(TRIM(SUBSTITUTE(BA30,CHAR(160),""))),0)),"OK",(IFERROR(VALUE(TRIM(SUBSTITUTE(AX30,CHAR(160),""))),0))&gt;(IFERROR(VALUE(TRIM(SUBSTITUTE(BA30,CHAR(160),""))),0))," OK : Montant instruit inférieur au montant raisonnable.",TRUE,""))</f>
        <v/>
      </c>
      <c r="BD30" s="187" t="str" cm="1">
        <f t="array" ref="BD30">IF(OR(BA30="",Y30="",AY30="",W30="",AZ30="",X30=""),"",_xlfn.IFS((IFERROR(VALUE(TRIM(SUBSTITUTE(BA30,CHAR(160),""))),0))&gt;(IFERROR(VALUE(TRIM(SUBSTITUTE(Y30,CHAR(160),""))),0)),"KO : Le montant retenu TTC est supérieur au montant présenté TTC. Merci de revoir la ligne de dépense ou plafonner son montant.",(IFERROR(VALUE(TRIM(SUBSTITUTE(AY30,CHAR(160),""))),0))&gt;(IFERROR(VALUE(TRIM(SUBSTITUTE(W30,CHAR(160),""))),0)),"Attention : Le montant retenu HT est supérieur au montant HT présenté. Merci de revoir la ligne de dépense,plafonner son montant,ou justifier la reventillation HT/TVA.",(IFERROR(VALUE(TRIM(SUBSTITUTE(AZ30,CHAR(160),""))),0))&gt;(IFERROR(VALUE(TRIM(SUBSTITUTE(X30,CHAR(160),""))),0)),"Attention : Le montant TVA retenu est supérieur au montant TVA présenté. Merci de revoir la ligne de dépense,plafonner son montant,ou justifier la reventillation HT/TVA.",(IFERROR(VALUE(TRIM(SUBSTITUTE(Y30,CHAR(160),""))),0))=0,"",(IFERROR(VALUE(TRIM(SUBSTITUTE(BA30,CHAR(160),""))),0))=(IFERROR(VALUE(TRIM(SUBSTITUTE(Y30,CHAR(160),""))),0)),"OK",
OR((IFERROR(VALUE(TRIM(SUBSTITUTE(BA30,CHAR(160),""))),0))=0,(IFERROR(VALUE(TRIM(SUBSTITUTE(AY30,CHAR(160),""))),0))=0),"Attention : montant présenté entièrement écarté",(IFERROR(VALUE(TRIM(SUBSTITUTE(BA30,CHAR(160),""))),0))&lt;(IFERROR(VALUE(TRIM(SUBSTITUTE(Y30,CHAR(160),""))),0)),"Attention : montant présenté partiellement écarté",TRUE,""))</f>
        <v/>
      </c>
      <c r="BE30" s="44" t="str">
        <f t="shared" si="25"/>
        <v/>
      </c>
      <c r="BF30" s="44" t="str">
        <f t="shared" si="26"/>
        <v/>
      </c>
      <c r="BG30" s="21" t="str">
        <f t="shared" si="27"/>
        <v/>
      </c>
    </row>
    <row r="31" spans="1:60" ht="15" customHeight="1">
      <c r="A31" s="70">
        <v>22</v>
      </c>
      <c r="B31" s="784"/>
      <c r="C31" s="7"/>
      <c r="D31" s="11"/>
      <c r="E31" s="451"/>
      <c r="F31" s="7"/>
      <c r="G31" s="7"/>
      <c r="H31" s="7"/>
      <c r="I31" s="7"/>
      <c r="J31" s="17"/>
      <c r="K31" s="7"/>
      <c r="L31" s="132"/>
      <c r="M31" s="138"/>
      <c r="N31" s="8"/>
      <c r="O31" s="35" t="str">
        <f t="shared" si="0"/>
        <v/>
      </c>
      <c r="P31" s="9"/>
      <c r="Q31" s="8"/>
      <c r="R31" s="35" t="str">
        <f t="shared" si="1"/>
        <v/>
      </c>
      <c r="S31" s="10"/>
      <c r="T31" s="8"/>
      <c r="U31" s="139" t="str">
        <f t="shared" si="2"/>
        <v/>
      </c>
      <c r="V31" s="147"/>
      <c r="W31" s="770" t="str" cm="1">
        <f t="array" ref="W31">IF((_xlfn.IFS(TRIM(SUBSTITUTE(V31,CHAR(160),""))="Devis 1",IFERROR(VALUE(TRIM(SUBSTITUTE(M31,CHAR(160),""))),0),TRIM(SUBSTITUTE(V31,CHAR(160),""))="Devis 2",IFERROR(VALUE(TRIM(SUBSTITUTE(P31,CHAR(160),""))),0),TRIM(SUBSTITUTE(V31,CHAR(160),""))="Devis 3",IFERROR(VALUE(TRIM(SUBSTITUTE(S31,CHAR(160),""))),0),TRUE,0)*IFERROR(VALUE(TRIM(SUBSTITUTE(D31,CHAR(160),""))),0))=0,"",_xlfn.IFS(TRIM(SUBSTITUTE(V31,CHAR(160),""))="Devis 1",IFERROR(VALUE(TRIM(SUBSTITUTE(M31,CHAR(160),""))),0),TRIM(SUBSTITUTE(V31,CHAR(160),""))="Devis 2",IFERROR(VALUE(TRIM(SUBSTITUTE(P31,CHAR(160),""))),0),TRIM(SUBSTITUTE(V31,CHAR(160),""))="Devis 3",IFERROR(VALUE(TRIM(SUBSTITUTE(S31,CHAR(160),""))),0),TRUE,0)*IFERROR(VALUE(TRIM(SUBSTITUTE(D31,CHAR(160),""))),0))</f>
        <v/>
      </c>
      <c r="X31" s="73" t="str" cm="1">
        <f t="array" ref="X31">IF(_xlfn.IFS(TRIM(SUBSTITUTE(V31,CHAR(160),""))="Devis 1",IFERROR(VALUE(TRIM(SUBSTITUTE(N31,CHAR(160),""))),0),TRIM(SUBSTITUTE(V31,CHAR(160),""))="Devis 2",IFERROR(VALUE(TRIM(SUBSTITUTE(Q31,CHAR(160),""))),0),TRIM(SUBSTITUTE(V31,CHAR(160),""))="Devis 3",IFERROR(VALUE(TRIM(SUBSTITUTE(T31,CHAR(160),""))),0),TRUE,0)*IFERROR(VALUE(TRIM(SUBSTITUTE(D31,CHAR(160),""))),0)=0,IF(W31&lt;&gt;"",0,""),_xlfn.IFS(TRIM(SUBSTITUTE(V31,CHAR(160),""))="Devis 1",IFERROR(VALUE(TRIM(SUBSTITUTE(N31,CHAR(160),""))),0),TRIM(SUBSTITUTE(V31,CHAR(160),""))="Devis 2",IFERROR(VALUE(TRIM(SUBSTITUTE(Q31,CHAR(160),""))),0),TRIM(SUBSTITUTE(V31,CHAR(160),""))="Devis 3",IFERROR(VALUE(TRIM(SUBSTITUTE(T31,CHAR(160),""))),0),TRUE,0)*IFERROR(VALUE(TRIM(SUBSTITUTE(D31,CHAR(160),""))),0))</f>
        <v/>
      </c>
      <c r="Y31" s="149" t="str">
        <f t="shared" si="3"/>
        <v/>
      </c>
      <c r="Z31" s="150"/>
      <c r="AA31" s="36" t="str">
        <f t="shared" si="4"/>
        <v/>
      </c>
      <c r="AB31" s="37" t="str">
        <f t="shared" si="30"/>
        <v/>
      </c>
      <c r="AC31" s="37" t="str">
        <f t="shared" si="31"/>
        <v/>
      </c>
      <c r="AD31" s="14" t="str">
        <f t="shared" si="5"/>
        <v/>
      </c>
      <c r="AE31" s="14" t="str">
        <f t="shared" si="6"/>
        <v/>
      </c>
      <c r="AF31" s="14" t="str">
        <f t="shared" si="7"/>
        <v/>
      </c>
      <c r="AG31" s="14" t="str">
        <f t="shared" si="8"/>
        <v/>
      </c>
      <c r="AH31" s="38" t="str">
        <f t="shared" si="9"/>
        <v/>
      </c>
      <c r="AI31" s="14" t="str">
        <f t="shared" si="10"/>
        <v/>
      </c>
      <c r="AJ31" s="39" t="str">
        <f t="shared" si="11"/>
        <v/>
      </c>
      <c r="AK31" s="40" t="str">
        <f t="shared" si="12"/>
        <v/>
      </c>
      <c r="AL31" s="20" t="str">
        <f t="shared" si="13"/>
        <v/>
      </c>
      <c r="AM31" s="35" t="str">
        <f t="shared" si="14"/>
        <v/>
      </c>
      <c r="AN31" s="41" t="str">
        <f t="shared" si="15"/>
        <v/>
      </c>
      <c r="AO31" s="20" t="str">
        <f t="shared" si="16"/>
        <v/>
      </c>
      <c r="AP31" s="35" t="str">
        <f t="shared" si="17"/>
        <v/>
      </c>
      <c r="AQ31" s="42" t="str">
        <f t="shared" si="18"/>
        <v/>
      </c>
      <c r="AR31" s="20" t="str">
        <f t="shared" si="19"/>
        <v/>
      </c>
      <c r="AS31" s="43" t="str">
        <f t="shared" si="20"/>
        <v/>
      </c>
      <c r="AT31" s="36" t="str">
        <f t="shared" si="21"/>
        <v/>
      </c>
      <c r="AU31" s="184"/>
      <c r="AV31" s="44" t="str">
        <f t="shared" si="22"/>
        <v/>
      </c>
      <c r="AW31" s="44" t="str">
        <f t="shared" si="23"/>
        <v/>
      </c>
      <c r="AX31" s="44" t="str">
        <f t="shared" si="24"/>
        <v/>
      </c>
      <c r="AY31" s="74" t="str" cm="1">
        <f t="array" ref="AY31">IF($AB31="","",IF((IFERROR(_xlfn.IFS($AT31="Devis 1",(IFERROR(VALUE(TRIM(SUBSTITUTE(AK31,CHAR(160),""))),0)),$AT31="Devis 2",(IFERROR(VALUE(TRIM(SUBSTITUTE(AN31,CHAR(160),""))),0)),$AT31="Devis 3",(IFERROR(VALUE(TRIM(SUBSTITUTE(AQ31,CHAR(160),""))),0))),0))*(IFERROR(VALUE(TRIM(SUBSTITUTE($AB31,CHAR(160),""))),0))=0,"",(IFERROR(_xlfn.IFS($AT31="Devis 1",(IFERROR(VALUE(TRIM(SUBSTITUTE(AK31,CHAR(160),""))),0)),$AT31="Devis 2",(IFERROR(VALUE(TRIM(SUBSTITUTE(AN31,CHAR(160),""))),0)),$AT31="Devis 3",(IFERROR(VALUE(TRIM(SUBSTITUTE(AQ31,CHAR(160),""))),0))),0))*(IFERROR(VALUE(TRIM(SUBSTITUTE($AB31,CHAR(160),""))),0))))</f>
        <v/>
      </c>
      <c r="AZ31" s="74" t="str" cm="1">
        <f t="array" ref="AZ31">IF($AB31="","",IF((IFERROR(_xlfn.IFS(TRIM(SUBSTITUTE($AT31,CHAR(160),""))="Devis 1", IFERROR(VALUE(TRIM(SUBSTITUTE(AL31,CHAR(160),""))),0),TRIM(SUBSTITUTE($AT31,CHAR(160),""))="Devis 2", IFERROR(VALUE(TRIM(SUBSTITUTE(AO31,CHAR(160),""))),0),TRIM(SUBSTITUTE($AT31,CHAR(160),""))="Devis 3", IFERROR(VALUE(TRIM(SUBSTITUTE(AR31,CHAR(160),""))),0)),0) * IFERROR(VALUE(TRIM(SUBSTITUTE($AB31,CHAR(160),""))),0)) = 0,IF(AY31&lt;&gt;"",0,""),(IFERROR(_xlfn.IFS(TRIM(SUBSTITUTE($AT31,CHAR(160),""))="Devis 1", IFERROR(VALUE(TRIM(SUBSTITUTE(AL31,CHAR(160),""))),0),TRIM(SUBSTITUTE($AT31,CHAR(160),""))="Devis 2", IFERROR(VALUE(TRIM(SUBSTITUTE(AO31,CHAR(160),""))),0),TRIM(SUBSTITUTE($AT31,CHAR(160),""))="Devis 3", IFERROR(VALUE(TRIM(SUBSTITUTE(AR31,CHAR(160),""))),0)),0) * IFERROR(VALUE(TRIM(SUBSTITUTE($AB31,CHAR(160),""))),0))))</f>
        <v/>
      </c>
      <c r="BA31" s="74" t="str" cm="1">
        <f t="array" ref="BA31">IF($AB31="","",IF(IFERROR(_xlfn.IFS($AT31="Devis 1",IFERROR(VALUE(TRIM(SUBSTITUTE(AM31,CHAR(160),""))),0),$AT31="Devis 2",IFERROR(VALUE(TRIM(SUBSTITUTE(AP31,CHAR(160),""))),0),$AT31="Devis 3",IFERROR(VALUE(TRIM(SUBSTITUTE(AS31,CHAR(160),""))),0)),0)*IFERROR(VALUE(TRIM(SUBSTITUTE($AB31,CHAR(160),""))),0)=0,"",IFERROR(_xlfn.IFS($AT31="Devis 1",IFERROR(VALUE(TRIM(SUBSTITUTE(AM31,CHAR(160),""))),0),$AT31="Devis 2",IFERROR(VALUE(TRIM(SUBSTITUTE(AP31,CHAR(160),""))),0),$AT31="Devis 3",IFERROR(VALUE(TRIM(SUBSTITUTE(AS31,CHAR(160),""))),0)),0)*IFERROR(VALUE(TRIM(SUBSTITUTE($AB31,CHAR(160),""))),0)))</f>
        <v/>
      </c>
      <c r="BB31" s="45"/>
      <c r="BC31" s="13" t="str" cm="1">
        <f t="array" ref="BC31">IF(OR(BA31="",AX31="",AY31="",AV31="",AZ31="",AW31=""),"",_xlfn.IFS((IFERROR(VALUE(TRIM(SUBSTITUTE(BA31,CHAR(160),""))),0))&gt;(IFERROR(VALUE(TRIM(SUBSTITUTE(AX31,CHAR(160),""))),0)),"KO : Le montant retenu TTC est supérieur au montant raisonnable TTC. Merci de revoir la ligne de dépense ou plafonner son montant.",(IFERROR(VALUE(TRIM(SUBSTITUTE(AY31,CHAR(160),""))),0))&gt;(IFERROR(VALUE(TRIM(SUBSTITUTE(AV31,CHAR(160),""))),0)),"Attention : Le montant retenu HT est supérieur au montant HT raisonnable. Merci de revoir la ligne de dépense, plafonner son montant, ou justifier la reventillation HT / TVA.",(IFERROR(VALUE(TRIM(SUBSTITUTE(AZ31,CHAR(160),""))),0))&gt;(IFERROR(VALUE(TRIM(SUBSTITUTE(AW31,CHAR(160),""))),0)),"Attention : Le montant TVA retenu est supérieur au montant TVA raisonnable. Merci de revoir la ligne de dépense, plafonner son montant, ou justifier la reventillation HT / TVA.",(IFERROR(VALUE(TRIM(SUBSTITUTE(BA31,CHAR(160),""))),0))=0,"",(IFERROR(VALUE(TRIM(SUBSTITUTE(AX31,CHAR(160),""))),0))=(IFERROR(VALUE(TRIM(SUBSTITUTE(BA31,CHAR(160),""))),0)),"OK",(IFERROR(VALUE(TRIM(SUBSTITUTE(AX31,CHAR(160),""))),0))&gt;(IFERROR(VALUE(TRIM(SUBSTITUTE(BA31,CHAR(160),""))),0))," OK : Montant instruit inférieur au montant raisonnable.",TRUE,""))</f>
        <v/>
      </c>
      <c r="BD31" s="187" t="str" cm="1">
        <f t="array" ref="BD31">IF(OR(BA31="",Y31="",AY31="",W31="",AZ31="",X31=""),"",_xlfn.IFS((IFERROR(VALUE(TRIM(SUBSTITUTE(BA31,CHAR(160),""))),0))&gt;(IFERROR(VALUE(TRIM(SUBSTITUTE(Y31,CHAR(160),""))),0)),"KO : Le montant retenu TTC est supérieur au montant présenté TTC. Merci de revoir la ligne de dépense ou plafonner son montant.",(IFERROR(VALUE(TRIM(SUBSTITUTE(AY31,CHAR(160),""))),0))&gt;(IFERROR(VALUE(TRIM(SUBSTITUTE(W31,CHAR(160),""))),0)),"Attention : Le montant retenu HT est supérieur au montant HT présenté. Merci de revoir la ligne de dépense,plafonner son montant,ou justifier la reventillation HT/TVA.",(IFERROR(VALUE(TRIM(SUBSTITUTE(AZ31,CHAR(160),""))),0))&gt;(IFERROR(VALUE(TRIM(SUBSTITUTE(X31,CHAR(160),""))),0)),"Attention : Le montant TVA retenu est supérieur au montant TVA présenté. Merci de revoir la ligne de dépense,plafonner son montant,ou justifier la reventillation HT/TVA.",(IFERROR(VALUE(TRIM(SUBSTITUTE(Y31,CHAR(160),""))),0))=0,"",(IFERROR(VALUE(TRIM(SUBSTITUTE(BA31,CHAR(160),""))),0))=(IFERROR(VALUE(TRIM(SUBSTITUTE(Y31,CHAR(160),""))),0)),"OK",
OR((IFERROR(VALUE(TRIM(SUBSTITUTE(BA31,CHAR(160),""))),0))=0,(IFERROR(VALUE(TRIM(SUBSTITUTE(AY31,CHAR(160),""))),0))=0),"Attention : montant présenté entièrement écarté",(IFERROR(VALUE(TRIM(SUBSTITUTE(BA31,CHAR(160),""))),0))&lt;(IFERROR(VALUE(TRIM(SUBSTITUTE(Y31,CHAR(160),""))),0)),"Attention : montant présenté partiellement écarté",TRUE,""))</f>
        <v/>
      </c>
      <c r="BE31" s="44" t="str">
        <f t="shared" si="25"/>
        <v/>
      </c>
      <c r="BF31" s="44" t="str">
        <f t="shared" si="26"/>
        <v/>
      </c>
      <c r="BG31" s="21" t="str">
        <f t="shared" si="27"/>
        <v/>
      </c>
    </row>
    <row r="32" spans="1:60" ht="15" customHeight="1">
      <c r="A32" s="70">
        <v>23</v>
      </c>
      <c r="B32" s="784"/>
      <c r="C32" s="7"/>
      <c r="D32" s="11"/>
      <c r="E32" s="451"/>
      <c r="F32" s="7"/>
      <c r="G32" s="7"/>
      <c r="H32" s="7"/>
      <c r="I32" s="7"/>
      <c r="J32" s="17"/>
      <c r="K32" s="7"/>
      <c r="L32" s="132"/>
      <c r="M32" s="138"/>
      <c r="N32" s="8"/>
      <c r="O32" s="35" t="str">
        <f t="shared" si="0"/>
        <v/>
      </c>
      <c r="P32" s="9"/>
      <c r="Q32" s="8"/>
      <c r="R32" s="35" t="str">
        <f t="shared" si="1"/>
        <v/>
      </c>
      <c r="S32" s="10"/>
      <c r="T32" s="8"/>
      <c r="U32" s="139" t="str">
        <f t="shared" si="2"/>
        <v/>
      </c>
      <c r="V32" s="147"/>
      <c r="W32" s="770" t="str" cm="1">
        <f t="array" ref="W32">IF((_xlfn.IFS(TRIM(SUBSTITUTE(V32,CHAR(160),""))="Devis 1",IFERROR(VALUE(TRIM(SUBSTITUTE(M32,CHAR(160),""))),0),TRIM(SUBSTITUTE(V32,CHAR(160),""))="Devis 2",IFERROR(VALUE(TRIM(SUBSTITUTE(P32,CHAR(160),""))),0),TRIM(SUBSTITUTE(V32,CHAR(160),""))="Devis 3",IFERROR(VALUE(TRIM(SUBSTITUTE(S32,CHAR(160),""))),0),TRUE,0)*IFERROR(VALUE(TRIM(SUBSTITUTE(D32,CHAR(160),""))),0))=0,"",_xlfn.IFS(TRIM(SUBSTITUTE(V32,CHAR(160),""))="Devis 1",IFERROR(VALUE(TRIM(SUBSTITUTE(M32,CHAR(160),""))),0),TRIM(SUBSTITUTE(V32,CHAR(160),""))="Devis 2",IFERROR(VALUE(TRIM(SUBSTITUTE(P32,CHAR(160),""))),0),TRIM(SUBSTITUTE(V32,CHAR(160),""))="Devis 3",IFERROR(VALUE(TRIM(SUBSTITUTE(S32,CHAR(160),""))),0),TRUE,0)*IFERROR(VALUE(TRIM(SUBSTITUTE(D32,CHAR(160),""))),0))</f>
        <v/>
      </c>
      <c r="X32" s="73" t="str" cm="1">
        <f t="array" ref="X32">IF(_xlfn.IFS(TRIM(SUBSTITUTE(V32,CHAR(160),""))="Devis 1",IFERROR(VALUE(TRIM(SUBSTITUTE(N32,CHAR(160),""))),0),TRIM(SUBSTITUTE(V32,CHAR(160),""))="Devis 2",IFERROR(VALUE(TRIM(SUBSTITUTE(Q32,CHAR(160),""))),0),TRIM(SUBSTITUTE(V32,CHAR(160),""))="Devis 3",IFERROR(VALUE(TRIM(SUBSTITUTE(T32,CHAR(160),""))),0),TRUE,0)*IFERROR(VALUE(TRIM(SUBSTITUTE(D32,CHAR(160),""))),0)=0,IF(W32&lt;&gt;"",0,""),_xlfn.IFS(TRIM(SUBSTITUTE(V32,CHAR(160),""))="Devis 1",IFERROR(VALUE(TRIM(SUBSTITUTE(N32,CHAR(160),""))),0),TRIM(SUBSTITUTE(V32,CHAR(160),""))="Devis 2",IFERROR(VALUE(TRIM(SUBSTITUTE(Q32,CHAR(160),""))),0),TRIM(SUBSTITUTE(V32,CHAR(160),""))="Devis 3",IFERROR(VALUE(TRIM(SUBSTITUTE(T32,CHAR(160),""))),0),TRUE,0)*IFERROR(VALUE(TRIM(SUBSTITUTE(D32,CHAR(160),""))),0))</f>
        <v/>
      </c>
      <c r="Y32" s="149" t="str">
        <f t="shared" si="3"/>
        <v/>
      </c>
      <c r="Z32" s="150"/>
      <c r="AA32" s="36" t="str">
        <f t="shared" si="4"/>
        <v/>
      </c>
      <c r="AB32" s="37" t="str">
        <f t="shared" si="30"/>
        <v/>
      </c>
      <c r="AC32" s="37" t="str">
        <f t="shared" si="31"/>
        <v/>
      </c>
      <c r="AD32" s="14" t="str">
        <f t="shared" si="5"/>
        <v/>
      </c>
      <c r="AE32" s="14" t="str">
        <f t="shared" si="6"/>
        <v/>
      </c>
      <c r="AF32" s="14" t="str">
        <f t="shared" si="7"/>
        <v/>
      </c>
      <c r="AG32" s="14" t="str">
        <f t="shared" si="8"/>
        <v/>
      </c>
      <c r="AH32" s="38" t="str">
        <f t="shared" si="9"/>
        <v/>
      </c>
      <c r="AI32" s="14" t="str">
        <f t="shared" si="10"/>
        <v/>
      </c>
      <c r="AJ32" s="39" t="str">
        <f t="shared" si="11"/>
        <v/>
      </c>
      <c r="AK32" s="40" t="str">
        <f t="shared" si="12"/>
        <v/>
      </c>
      <c r="AL32" s="20" t="str">
        <f t="shared" si="13"/>
        <v/>
      </c>
      <c r="AM32" s="35" t="str">
        <f t="shared" si="14"/>
        <v/>
      </c>
      <c r="AN32" s="41" t="str">
        <f t="shared" si="15"/>
        <v/>
      </c>
      <c r="AO32" s="20" t="str">
        <f t="shared" si="16"/>
        <v/>
      </c>
      <c r="AP32" s="35" t="str">
        <f t="shared" si="17"/>
        <v/>
      </c>
      <c r="AQ32" s="42" t="str">
        <f t="shared" si="18"/>
        <v/>
      </c>
      <c r="AR32" s="20" t="str">
        <f t="shared" si="19"/>
        <v/>
      </c>
      <c r="AS32" s="43" t="str">
        <f t="shared" si="20"/>
        <v/>
      </c>
      <c r="AT32" s="36" t="str">
        <f t="shared" si="21"/>
        <v/>
      </c>
      <c r="AU32" s="184"/>
      <c r="AV32" s="44" t="str">
        <f t="shared" si="22"/>
        <v/>
      </c>
      <c r="AW32" s="44" t="str">
        <f t="shared" si="23"/>
        <v/>
      </c>
      <c r="AX32" s="44" t="str">
        <f t="shared" si="24"/>
        <v/>
      </c>
      <c r="AY32" s="74" t="str" cm="1">
        <f t="array" ref="AY32">IF($AB32="","",IF((IFERROR(_xlfn.IFS($AT32="Devis 1",(IFERROR(VALUE(TRIM(SUBSTITUTE(AK32,CHAR(160),""))),0)),$AT32="Devis 2",(IFERROR(VALUE(TRIM(SUBSTITUTE(AN32,CHAR(160),""))),0)),$AT32="Devis 3",(IFERROR(VALUE(TRIM(SUBSTITUTE(AQ32,CHAR(160),""))),0))),0))*(IFERROR(VALUE(TRIM(SUBSTITUTE($AB32,CHAR(160),""))),0))=0,"",(IFERROR(_xlfn.IFS($AT32="Devis 1",(IFERROR(VALUE(TRIM(SUBSTITUTE(AK32,CHAR(160),""))),0)),$AT32="Devis 2",(IFERROR(VALUE(TRIM(SUBSTITUTE(AN32,CHAR(160),""))),0)),$AT32="Devis 3",(IFERROR(VALUE(TRIM(SUBSTITUTE(AQ32,CHAR(160),""))),0))),0))*(IFERROR(VALUE(TRIM(SUBSTITUTE($AB32,CHAR(160),""))),0))))</f>
        <v/>
      </c>
      <c r="AZ32" s="74" t="str" cm="1">
        <f t="array" ref="AZ32">IF($AB32="","",IF((IFERROR(_xlfn.IFS(TRIM(SUBSTITUTE($AT32,CHAR(160),""))="Devis 1", IFERROR(VALUE(TRIM(SUBSTITUTE(AL32,CHAR(160),""))),0),TRIM(SUBSTITUTE($AT32,CHAR(160),""))="Devis 2", IFERROR(VALUE(TRIM(SUBSTITUTE(AO32,CHAR(160),""))),0),TRIM(SUBSTITUTE($AT32,CHAR(160),""))="Devis 3", IFERROR(VALUE(TRIM(SUBSTITUTE(AR32,CHAR(160),""))),0)),0) * IFERROR(VALUE(TRIM(SUBSTITUTE($AB32,CHAR(160),""))),0)) = 0,IF(AY32&lt;&gt;"",0,""),(IFERROR(_xlfn.IFS(TRIM(SUBSTITUTE($AT32,CHAR(160),""))="Devis 1", IFERROR(VALUE(TRIM(SUBSTITUTE(AL32,CHAR(160),""))),0),TRIM(SUBSTITUTE($AT32,CHAR(160),""))="Devis 2", IFERROR(VALUE(TRIM(SUBSTITUTE(AO32,CHAR(160),""))),0),TRIM(SUBSTITUTE($AT32,CHAR(160),""))="Devis 3", IFERROR(VALUE(TRIM(SUBSTITUTE(AR32,CHAR(160),""))),0)),0) * IFERROR(VALUE(TRIM(SUBSTITUTE($AB32,CHAR(160),""))),0))))</f>
        <v/>
      </c>
      <c r="BA32" s="74" t="str" cm="1">
        <f t="array" ref="BA32">IF($AB32="","",IF(IFERROR(_xlfn.IFS($AT32="Devis 1",IFERROR(VALUE(TRIM(SUBSTITUTE(AM32,CHAR(160),""))),0),$AT32="Devis 2",IFERROR(VALUE(TRIM(SUBSTITUTE(AP32,CHAR(160),""))),0),$AT32="Devis 3",IFERROR(VALUE(TRIM(SUBSTITUTE(AS32,CHAR(160),""))),0)),0)*IFERROR(VALUE(TRIM(SUBSTITUTE($AB32,CHAR(160),""))),0)=0,"",IFERROR(_xlfn.IFS($AT32="Devis 1",IFERROR(VALUE(TRIM(SUBSTITUTE(AM32,CHAR(160),""))),0),$AT32="Devis 2",IFERROR(VALUE(TRIM(SUBSTITUTE(AP32,CHAR(160),""))),0),$AT32="Devis 3",IFERROR(VALUE(TRIM(SUBSTITUTE(AS32,CHAR(160),""))),0)),0)*IFERROR(VALUE(TRIM(SUBSTITUTE($AB32,CHAR(160),""))),0)))</f>
        <v/>
      </c>
      <c r="BB32" s="45"/>
      <c r="BC32" s="13" t="str" cm="1">
        <f t="array" ref="BC32">IF(OR(BA32="",AX32="",AY32="",AV32="",AZ32="",AW32=""),"",_xlfn.IFS((IFERROR(VALUE(TRIM(SUBSTITUTE(BA32,CHAR(160),""))),0))&gt;(IFERROR(VALUE(TRIM(SUBSTITUTE(AX32,CHAR(160),""))),0)),"KO : Le montant retenu TTC est supérieur au montant raisonnable TTC. Merci de revoir la ligne de dépense ou plafonner son montant.",(IFERROR(VALUE(TRIM(SUBSTITUTE(AY32,CHAR(160),""))),0))&gt;(IFERROR(VALUE(TRIM(SUBSTITUTE(AV32,CHAR(160),""))),0)),"Attention : Le montant retenu HT est supérieur au montant HT raisonnable. Merci de revoir la ligne de dépense, plafonner son montant, ou justifier la reventillation HT / TVA.",(IFERROR(VALUE(TRIM(SUBSTITUTE(AZ32,CHAR(160),""))),0))&gt;(IFERROR(VALUE(TRIM(SUBSTITUTE(AW32,CHAR(160),""))),0)),"Attention : Le montant TVA retenu est supérieur au montant TVA raisonnable. Merci de revoir la ligne de dépense, plafonner son montant, ou justifier la reventillation HT / TVA.",(IFERROR(VALUE(TRIM(SUBSTITUTE(BA32,CHAR(160),""))),0))=0,"",(IFERROR(VALUE(TRIM(SUBSTITUTE(AX32,CHAR(160),""))),0))=(IFERROR(VALUE(TRIM(SUBSTITUTE(BA32,CHAR(160),""))),0)),"OK",(IFERROR(VALUE(TRIM(SUBSTITUTE(AX32,CHAR(160),""))),0))&gt;(IFERROR(VALUE(TRIM(SUBSTITUTE(BA32,CHAR(160),""))),0))," OK : Montant instruit inférieur au montant raisonnable.",TRUE,""))</f>
        <v/>
      </c>
      <c r="BD32" s="187" t="str" cm="1">
        <f t="array" ref="BD32">IF(OR(BA32="",Y32="",AY32="",W32="",AZ32="",X32=""),"",_xlfn.IFS((IFERROR(VALUE(TRIM(SUBSTITUTE(BA32,CHAR(160),""))),0))&gt;(IFERROR(VALUE(TRIM(SUBSTITUTE(Y32,CHAR(160),""))),0)),"KO : Le montant retenu TTC est supérieur au montant présenté TTC. Merci de revoir la ligne de dépense ou plafonner son montant.",(IFERROR(VALUE(TRIM(SUBSTITUTE(AY32,CHAR(160),""))),0))&gt;(IFERROR(VALUE(TRIM(SUBSTITUTE(W32,CHAR(160),""))),0)),"Attention : Le montant retenu HT est supérieur au montant HT présenté. Merci de revoir la ligne de dépense,plafonner son montant,ou justifier la reventillation HT/TVA.",(IFERROR(VALUE(TRIM(SUBSTITUTE(AZ32,CHAR(160),""))),0))&gt;(IFERROR(VALUE(TRIM(SUBSTITUTE(X32,CHAR(160),""))),0)),"Attention : Le montant TVA retenu est supérieur au montant TVA présenté. Merci de revoir la ligne de dépense,plafonner son montant,ou justifier la reventillation HT/TVA.",(IFERROR(VALUE(TRIM(SUBSTITUTE(Y32,CHAR(160),""))),0))=0,"",(IFERROR(VALUE(TRIM(SUBSTITUTE(BA32,CHAR(160),""))),0))=(IFERROR(VALUE(TRIM(SUBSTITUTE(Y32,CHAR(160),""))),0)),"OK",
OR((IFERROR(VALUE(TRIM(SUBSTITUTE(BA32,CHAR(160),""))),0))=0,(IFERROR(VALUE(TRIM(SUBSTITUTE(AY32,CHAR(160),""))),0))=0),"Attention : montant présenté entièrement écarté",(IFERROR(VALUE(TRIM(SUBSTITUTE(BA32,CHAR(160),""))),0))&lt;(IFERROR(VALUE(TRIM(SUBSTITUTE(Y32,CHAR(160),""))),0)),"Attention : montant présenté partiellement écarté",TRUE,""))</f>
        <v/>
      </c>
      <c r="BE32" s="44" t="str">
        <f t="shared" si="25"/>
        <v/>
      </c>
      <c r="BF32" s="44" t="str">
        <f t="shared" si="26"/>
        <v/>
      </c>
      <c r="BG32" s="21" t="str">
        <f t="shared" si="27"/>
        <v/>
      </c>
    </row>
    <row r="33" spans="1:59" ht="15" customHeight="1">
      <c r="A33" s="70">
        <v>24</v>
      </c>
      <c r="B33" s="784"/>
      <c r="C33" s="7"/>
      <c r="D33" s="11"/>
      <c r="E33" s="451"/>
      <c r="F33" s="7"/>
      <c r="G33" s="7"/>
      <c r="H33" s="7"/>
      <c r="I33" s="7"/>
      <c r="J33" s="17"/>
      <c r="K33" s="7"/>
      <c r="L33" s="132"/>
      <c r="M33" s="138"/>
      <c r="N33" s="8"/>
      <c r="O33" s="35" t="str">
        <f t="shared" si="0"/>
        <v/>
      </c>
      <c r="P33" s="9"/>
      <c r="Q33" s="8"/>
      <c r="R33" s="35" t="str">
        <f t="shared" si="1"/>
        <v/>
      </c>
      <c r="S33" s="10"/>
      <c r="T33" s="8"/>
      <c r="U33" s="139" t="str">
        <f t="shared" si="2"/>
        <v/>
      </c>
      <c r="V33" s="147"/>
      <c r="W33" s="770" t="str" cm="1">
        <f t="array" ref="W33">IF((_xlfn.IFS(TRIM(SUBSTITUTE(V33,CHAR(160),""))="Devis 1",IFERROR(VALUE(TRIM(SUBSTITUTE(M33,CHAR(160),""))),0),TRIM(SUBSTITUTE(V33,CHAR(160),""))="Devis 2",IFERROR(VALUE(TRIM(SUBSTITUTE(P33,CHAR(160),""))),0),TRIM(SUBSTITUTE(V33,CHAR(160),""))="Devis 3",IFERROR(VALUE(TRIM(SUBSTITUTE(S33,CHAR(160),""))),0),TRUE,0)*IFERROR(VALUE(TRIM(SUBSTITUTE(D33,CHAR(160),""))),0))=0,"",_xlfn.IFS(TRIM(SUBSTITUTE(V33,CHAR(160),""))="Devis 1",IFERROR(VALUE(TRIM(SUBSTITUTE(M33,CHAR(160),""))),0),TRIM(SUBSTITUTE(V33,CHAR(160),""))="Devis 2",IFERROR(VALUE(TRIM(SUBSTITUTE(P33,CHAR(160),""))),0),TRIM(SUBSTITUTE(V33,CHAR(160),""))="Devis 3",IFERROR(VALUE(TRIM(SUBSTITUTE(S33,CHAR(160),""))),0),TRUE,0)*IFERROR(VALUE(TRIM(SUBSTITUTE(D33,CHAR(160),""))),0))</f>
        <v/>
      </c>
      <c r="X33" s="73" t="str" cm="1">
        <f t="array" ref="X33">IF(_xlfn.IFS(TRIM(SUBSTITUTE(V33,CHAR(160),""))="Devis 1",IFERROR(VALUE(TRIM(SUBSTITUTE(N33,CHAR(160),""))),0),TRIM(SUBSTITUTE(V33,CHAR(160),""))="Devis 2",IFERROR(VALUE(TRIM(SUBSTITUTE(Q33,CHAR(160),""))),0),TRIM(SUBSTITUTE(V33,CHAR(160),""))="Devis 3",IFERROR(VALUE(TRIM(SUBSTITUTE(T33,CHAR(160),""))),0),TRUE,0)*IFERROR(VALUE(TRIM(SUBSTITUTE(D33,CHAR(160),""))),0)=0,IF(W33&lt;&gt;"",0,""),_xlfn.IFS(TRIM(SUBSTITUTE(V33,CHAR(160),""))="Devis 1",IFERROR(VALUE(TRIM(SUBSTITUTE(N33,CHAR(160),""))),0),TRIM(SUBSTITUTE(V33,CHAR(160),""))="Devis 2",IFERROR(VALUE(TRIM(SUBSTITUTE(Q33,CHAR(160),""))),0),TRIM(SUBSTITUTE(V33,CHAR(160),""))="Devis 3",IFERROR(VALUE(TRIM(SUBSTITUTE(T33,CHAR(160),""))),0),TRUE,0)*IFERROR(VALUE(TRIM(SUBSTITUTE(D33,CHAR(160),""))),0))</f>
        <v/>
      </c>
      <c r="Y33" s="149" t="str">
        <f t="shared" si="3"/>
        <v/>
      </c>
      <c r="Z33" s="150"/>
      <c r="AA33" s="36" t="str">
        <f t="shared" si="4"/>
        <v/>
      </c>
      <c r="AB33" s="37" t="str">
        <f t="shared" si="30"/>
        <v/>
      </c>
      <c r="AC33" s="37" t="str">
        <f t="shared" si="31"/>
        <v/>
      </c>
      <c r="AD33" s="14" t="str">
        <f t="shared" si="5"/>
        <v/>
      </c>
      <c r="AE33" s="14" t="str">
        <f t="shared" si="6"/>
        <v/>
      </c>
      <c r="AF33" s="14" t="str">
        <f t="shared" si="7"/>
        <v/>
      </c>
      <c r="AG33" s="14" t="str">
        <f t="shared" si="8"/>
        <v/>
      </c>
      <c r="AH33" s="38" t="str">
        <f t="shared" si="9"/>
        <v/>
      </c>
      <c r="AI33" s="14" t="str">
        <f t="shared" si="10"/>
        <v/>
      </c>
      <c r="AJ33" s="39" t="str">
        <f t="shared" si="11"/>
        <v/>
      </c>
      <c r="AK33" s="40" t="str">
        <f t="shared" si="12"/>
        <v/>
      </c>
      <c r="AL33" s="20" t="str">
        <f t="shared" si="13"/>
        <v/>
      </c>
      <c r="AM33" s="35" t="str">
        <f t="shared" si="14"/>
        <v/>
      </c>
      <c r="AN33" s="41" t="str">
        <f t="shared" si="15"/>
        <v/>
      </c>
      <c r="AO33" s="20" t="str">
        <f t="shared" si="16"/>
        <v/>
      </c>
      <c r="AP33" s="35" t="str">
        <f t="shared" si="17"/>
        <v/>
      </c>
      <c r="AQ33" s="42" t="str">
        <f t="shared" si="18"/>
        <v/>
      </c>
      <c r="AR33" s="20" t="str">
        <f t="shared" si="19"/>
        <v/>
      </c>
      <c r="AS33" s="43" t="str">
        <f t="shared" si="20"/>
        <v/>
      </c>
      <c r="AT33" s="36" t="str">
        <f t="shared" si="21"/>
        <v/>
      </c>
      <c r="AU33" s="184"/>
      <c r="AV33" s="44" t="str">
        <f t="shared" si="22"/>
        <v/>
      </c>
      <c r="AW33" s="44" t="str">
        <f t="shared" si="23"/>
        <v/>
      </c>
      <c r="AX33" s="44" t="str">
        <f t="shared" si="24"/>
        <v/>
      </c>
      <c r="AY33" s="74" t="str" cm="1">
        <f t="array" ref="AY33">IF($AB33="","",IF((IFERROR(_xlfn.IFS($AT33="Devis 1",(IFERROR(VALUE(TRIM(SUBSTITUTE(AK33,CHAR(160),""))),0)),$AT33="Devis 2",(IFERROR(VALUE(TRIM(SUBSTITUTE(AN33,CHAR(160),""))),0)),$AT33="Devis 3",(IFERROR(VALUE(TRIM(SUBSTITUTE(AQ33,CHAR(160),""))),0))),0))*(IFERROR(VALUE(TRIM(SUBSTITUTE($AB33,CHAR(160),""))),0))=0,"",(IFERROR(_xlfn.IFS($AT33="Devis 1",(IFERROR(VALUE(TRIM(SUBSTITUTE(AK33,CHAR(160),""))),0)),$AT33="Devis 2",(IFERROR(VALUE(TRIM(SUBSTITUTE(AN33,CHAR(160),""))),0)),$AT33="Devis 3",(IFERROR(VALUE(TRIM(SUBSTITUTE(AQ33,CHAR(160),""))),0))),0))*(IFERROR(VALUE(TRIM(SUBSTITUTE($AB33,CHAR(160),""))),0))))</f>
        <v/>
      </c>
      <c r="AZ33" s="74" t="str" cm="1">
        <f t="array" ref="AZ33">IF($AB33="","",IF((IFERROR(_xlfn.IFS(TRIM(SUBSTITUTE($AT33,CHAR(160),""))="Devis 1", IFERROR(VALUE(TRIM(SUBSTITUTE(AL33,CHAR(160),""))),0),TRIM(SUBSTITUTE($AT33,CHAR(160),""))="Devis 2", IFERROR(VALUE(TRIM(SUBSTITUTE(AO33,CHAR(160),""))),0),TRIM(SUBSTITUTE($AT33,CHAR(160),""))="Devis 3", IFERROR(VALUE(TRIM(SUBSTITUTE(AR33,CHAR(160),""))),0)),0) * IFERROR(VALUE(TRIM(SUBSTITUTE($AB33,CHAR(160),""))),0)) = 0,IF(AY33&lt;&gt;"",0,""),(IFERROR(_xlfn.IFS(TRIM(SUBSTITUTE($AT33,CHAR(160),""))="Devis 1", IFERROR(VALUE(TRIM(SUBSTITUTE(AL33,CHAR(160),""))),0),TRIM(SUBSTITUTE($AT33,CHAR(160),""))="Devis 2", IFERROR(VALUE(TRIM(SUBSTITUTE(AO33,CHAR(160),""))),0),TRIM(SUBSTITUTE($AT33,CHAR(160),""))="Devis 3", IFERROR(VALUE(TRIM(SUBSTITUTE(AR33,CHAR(160),""))),0)),0) * IFERROR(VALUE(TRIM(SUBSTITUTE($AB33,CHAR(160),""))),0))))</f>
        <v/>
      </c>
      <c r="BA33" s="74" t="str" cm="1">
        <f t="array" ref="BA33">IF($AB33="","",IF(IFERROR(_xlfn.IFS($AT33="Devis 1",IFERROR(VALUE(TRIM(SUBSTITUTE(AM33,CHAR(160),""))),0),$AT33="Devis 2",IFERROR(VALUE(TRIM(SUBSTITUTE(AP33,CHAR(160),""))),0),$AT33="Devis 3",IFERROR(VALUE(TRIM(SUBSTITUTE(AS33,CHAR(160),""))),0)),0)*IFERROR(VALUE(TRIM(SUBSTITUTE($AB33,CHAR(160),""))),0)=0,"",IFERROR(_xlfn.IFS($AT33="Devis 1",IFERROR(VALUE(TRIM(SUBSTITUTE(AM33,CHAR(160),""))),0),$AT33="Devis 2",IFERROR(VALUE(TRIM(SUBSTITUTE(AP33,CHAR(160),""))),0),$AT33="Devis 3",IFERROR(VALUE(TRIM(SUBSTITUTE(AS33,CHAR(160),""))),0)),0)*IFERROR(VALUE(TRIM(SUBSTITUTE($AB33,CHAR(160),""))),0)))</f>
        <v/>
      </c>
      <c r="BB33" s="45"/>
      <c r="BC33" s="13" t="str" cm="1">
        <f t="array" ref="BC33">IF(OR(BA33="",AX33="",AY33="",AV33="",AZ33="",AW33=""),"",_xlfn.IFS((IFERROR(VALUE(TRIM(SUBSTITUTE(BA33,CHAR(160),""))),0))&gt;(IFERROR(VALUE(TRIM(SUBSTITUTE(AX33,CHAR(160),""))),0)),"KO : Le montant retenu TTC est supérieur au montant raisonnable TTC. Merci de revoir la ligne de dépense ou plafonner son montant.",(IFERROR(VALUE(TRIM(SUBSTITUTE(AY33,CHAR(160),""))),0))&gt;(IFERROR(VALUE(TRIM(SUBSTITUTE(AV33,CHAR(160),""))),0)),"Attention : Le montant retenu HT est supérieur au montant HT raisonnable. Merci de revoir la ligne de dépense, plafonner son montant, ou justifier la reventillation HT / TVA.",(IFERROR(VALUE(TRIM(SUBSTITUTE(AZ33,CHAR(160),""))),0))&gt;(IFERROR(VALUE(TRIM(SUBSTITUTE(AW33,CHAR(160),""))),0)),"Attention : Le montant TVA retenu est supérieur au montant TVA raisonnable. Merci de revoir la ligne de dépense, plafonner son montant, ou justifier la reventillation HT / TVA.",(IFERROR(VALUE(TRIM(SUBSTITUTE(BA33,CHAR(160),""))),0))=0,"",(IFERROR(VALUE(TRIM(SUBSTITUTE(AX33,CHAR(160),""))),0))=(IFERROR(VALUE(TRIM(SUBSTITUTE(BA33,CHAR(160),""))),0)),"OK",(IFERROR(VALUE(TRIM(SUBSTITUTE(AX33,CHAR(160),""))),0))&gt;(IFERROR(VALUE(TRIM(SUBSTITUTE(BA33,CHAR(160),""))),0))," OK : Montant instruit inférieur au montant raisonnable.",TRUE,""))</f>
        <v/>
      </c>
      <c r="BD33" s="187" t="str" cm="1">
        <f t="array" ref="BD33">IF(OR(BA33="",Y33="",AY33="",W33="",AZ33="",X33=""),"",_xlfn.IFS((IFERROR(VALUE(TRIM(SUBSTITUTE(BA33,CHAR(160),""))),0))&gt;(IFERROR(VALUE(TRIM(SUBSTITUTE(Y33,CHAR(160),""))),0)),"KO : Le montant retenu TTC est supérieur au montant présenté TTC. Merci de revoir la ligne de dépense ou plafonner son montant.",(IFERROR(VALUE(TRIM(SUBSTITUTE(AY33,CHAR(160),""))),0))&gt;(IFERROR(VALUE(TRIM(SUBSTITUTE(W33,CHAR(160),""))),0)),"Attention : Le montant retenu HT est supérieur au montant HT présenté. Merci de revoir la ligne de dépense,plafonner son montant,ou justifier la reventillation HT/TVA.",(IFERROR(VALUE(TRIM(SUBSTITUTE(AZ33,CHAR(160),""))),0))&gt;(IFERROR(VALUE(TRIM(SUBSTITUTE(X33,CHAR(160),""))),0)),"Attention : Le montant TVA retenu est supérieur au montant TVA présenté. Merci de revoir la ligne de dépense,plafonner son montant,ou justifier la reventillation HT/TVA.",(IFERROR(VALUE(TRIM(SUBSTITUTE(Y33,CHAR(160),""))),0))=0,"",(IFERROR(VALUE(TRIM(SUBSTITUTE(BA33,CHAR(160),""))),0))=(IFERROR(VALUE(TRIM(SUBSTITUTE(Y33,CHAR(160),""))),0)),"OK",
OR((IFERROR(VALUE(TRIM(SUBSTITUTE(BA33,CHAR(160),""))),0))=0,(IFERROR(VALUE(TRIM(SUBSTITUTE(AY33,CHAR(160),""))),0))=0),"Attention : montant présenté entièrement écarté",(IFERROR(VALUE(TRIM(SUBSTITUTE(BA33,CHAR(160),""))),0))&lt;(IFERROR(VALUE(TRIM(SUBSTITUTE(Y33,CHAR(160),""))),0)),"Attention : montant présenté partiellement écarté",TRUE,""))</f>
        <v/>
      </c>
      <c r="BE33" s="44" t="str">
        <f t="shared" si="25"/>
        <v/>
      </c>
      <c r="BF33" s="44" t="str">
        <f t="shared" si="26"/>
        <v/>
      </c>
      <c r="BG33" s="21" t="str">
        <f t="shared" si="27"/>
        <v/>
      </c>
    </row>
    <row r="34" spans="1:59" ht="15" customHeight="1">
      <c r="A34" s="70">
        <v>25</v>
      </c>
      <c r="B34" s="784"/>
      <c r="C34" s="7"/>
      <c r="D34" s="11"/>
      <c r="E34" s="451"/>
      <c r="F34" s="7"/>
      <c r="G34" s="7"/>
      <c r="H34" s="7"/>
      <c r="I34" s="7"/>
      <c r="J34" s="17"/>
      <c r="K34" s="7"/>
      <c r="L34" s="132"/>
      <c r="M34" s="138"/>
      <c r="N34" s="8"/>
      <c r="O34" s="35" t="str">
        <f t="shared" si="0"/>
        <v/>
      </c>
      <c r="P34" s="9"/>
      <c r="Q34" s="8"/>
      <c r="R34" s="35" t="str">
        <f t="shared" si="1"/>
        <v/>
      </c>
      <c r="S34" s="10"/>
      <c r="T34" s="8"/>
      <c r="U34" s="139" t="str">
        <f t="shared" si="2"/>
        <v/>
      </c>
      <c r="V34" s="147"/>
      <c r="W34" s="770" t="str" cm="1">
        <f t="array" ref="W34">IF((_xlfn.IFS(TRIM(SUBSTITUTE(V34,CHAR(160),""))="Devis 1",IFERROR(VALUE(TRIM(SUBSTITUTE(M34,CHAR(160),""))),0),TRIM(SUBSTITUTE(V34,CHAR(160),""))="Devis 2",IFERROR(VALUE(TRIM(SUBSTITUTE(P34,CHAR(160),""))),0),TRIM(SUBSTITUTE(V34,CHAR(160),""))="Devis 3",IFERROR(VALUE(TRIM(SUBSTITUTE(S34,CHAR(160),""))),0),TRUE,0)*IFERROR(VALUE(TRIM(SUBSTITUTE(D34,CHAR(160),""))),0))=0,"",_xlfn.IFS(TRIM(SUBSTITUTE(V34,CHAR(160),""))="Devis 1",IFERROR(VALUE(TRIM(SUBSTITUTE(M34,CHAR(160),""))),0),TRIM(SUBSTITUTE(V34,CHAR(160),""))="Devis 2",IFERROR(VALUE(TRIM(SUBSTITUTE(P34,CHAR(160),""))),0),TRIM(SUBSTITUTE(V34,CHAR(160),""))="Devis 3",IFERROR(VALUE(TRIM(SUBSTITUTE(S34,CHAR(160),""))),0),TRUE,0)*IFERROR(VALUE(TRIM(SUBSTITUTE(D34,CHAR(160),""))),0))</f>
        <v/>
      </c>
      <c r="X34" s="73" t="str" cm="1">
        <f t="array" ref="X34">IF(_xlfn.IFS(TRIM(SUBSTITUTE(V34,CHAR(160),""))="Devis 1",IFERROR(VALUE(TRIM(SUBSTITUTE(N34,CHAR(160),""))),0),TRIM(SUBSTITUTE(V34,CHAR(160),""))="Devis 2",IFERROR(VALUE(TRIM(SUBSTITUTE(Q34,CHAR(160),""))),0),TRIM(SUBSTITUTE(V34,CHAR(160),""))="Devis 3",IFERROR(VALUE(TRIM(SUBSTITUTE(T34,CHAR(160),""))),0),TRUE,0)*IFERROR(VALUE(TRIM(SUBSTITUTE(D34,CHAR(160),""))),0)=0,IF(W34&lt;&gt;"",0,""),_xlfn.IFS(TRIM(SUBSTITUTE(V34,CHAR(160),""))="Devis 1",IFERROR(VALUE(TRIM(SUBSTITUTE(N34,CHAR(160),""))),0),TRIM(SUBSTITUTE(V34,CHAR(160),""))="Devis 2",IFERROR(VALUE(TRIM(SUBSTITUTE(Q34,CHAR(160),""))),0),TRIM(SUBSTITUTE(V34,CHAR(160),""))="Devis 3",IFERROR(VALUE(TRIM(SUBSTITUTE(T34,CHAR(160),""))),0),TRUE,0)*IFERROR(VALUE(TRIM(SUBSTITUTE(D34,CHAR(160),""))),0))</f>
        <v/>
      </c>
      <c r="Y34" s="149" t="str">
        <f t="shared" si="3"/>
        <v/>
      </c>
      <c r="Z34" s="150"/>
      <c r="AA34" s="36" t="str">
        <f t="shared" si="4"/>
        <v/>
      </c>
      <c r="AB34" s="37" t="str">
        <f t="shared" si="30"/>
        <v/>
      </c>
      <c r="AC34" s="37" t="str">
        <f t="shared" si="31"/>
        <v/>
      </c>
      <c r="AD34" s="14" t="str">
        <f t="shared" si="5"/>
        <v/>
      </c>
      <c r="AE34" s="14" t="str">
        <f t="shared" si="6"/>
        <v/>
      </c>
      <c r="AF34" s="14" t="str">
        <f t="shared" si="7"/>
        <v/>
      </c>
      <c r="AG34" s="14" t="str">
        <f t="shared" si="8"/>
        <v/>
      </c>
      <c r="AH34" s="38" t="str">
        <f t="shared" si="9"/>
        <v/>
      </c>
      <c r="AI34" s="14" t="str">
        <f t="shared" si="10"/>
        <v/>
      </c>
      <c r="AJ34" s="39" t="str">
        <f t="shared" si="11"/>
        <v/>
      </c>
      <c r="AK34" s="40" t="str">
        <f t="shared" si="12"/>
        <v/>
      </c>
      <c r="AL34" s="20" t="str">
        <f t="shared" si="13"/>
        <v/>
      </c>
      <c r="AM34" s="35" t="str">
        <f t="shared" si="14"/>
        <v/>
      </c>
      <c r="AN34" s="41" t="str">
        <f t="shared" si="15"/>
        <v/>
      </c>
      <c r="AO34" s="20" t="str">
        <f t="shared" si="16"/>
        <v/>
      </c>
      <c r="AP34" s="35" t="str">
        <f t="shared" si="17"/>
        <v/>
      </c>
      <c r="AQ34" s="42" t="str">
        <f t="shared" si="18"/>
        <v/>
      </c>
      <c r="AR34" s="20" t="str">
        <f t="shared" si="19"/>
        <v/>
      </c>
      <c r="AS34" s="43" t="str">
        <f t="shared" si="20"/>
        <v/>
      </c>
      <c r="AT34" s="36" t="str">
        <f t="shared" si="21"/>
        <v/>
      </c>
      <c r="AU34" s="184"/>
      <c r="AV34" s="44" t="str">
        <f t="shared" si="22"/>
        <v/>
      </c>
      <c r="AW34" s="44" t="str">
        <f t="shared" si="23"/>
        <v/>
      </c>
      <c r="AX34" s="44" t="str">
        <f t="shared" si="24"/>
        <v/>
      </c>
      <c r="AY34" s="74" t="str" cm="1">
        <f t="array" ref="AY34">IF($AB34="","",IF((IFERROR(_xlfn.IFS($AT34="Devis 1",(IFERROR(VALUE(TRIM(SUBSTITUTE(AK34,CHAR(160),""))),0)),$AT34="Devis 2",(IFERROR(VALUE(TRIM(SUBSTITUTE(AN34,CHAR(160),""))),0)),$AT34="Devis 3",(IFERROR(VALUE(TRIM(SUBSTITUTE(AQ34,CHAR(160),""))),0))),0))*(IFERROR(VALUE(TRIM(SUBSTITUTE($AB34,CHAR(160),""))),0))=0,"",(IFERROR(_xlfn.IFS($AT34="Devis 1",(IFERROR(VALUE(TRIM(SUBSTITUTE(AK34,CHAR(160),""))),0)),$AT34="Devis 2",(IFERROR(VALUE(TRIM(SUBSTITUTE(AN34,CHAR(160),""))),0)),$AT34="Devis 3",(IFERROR(VALUE(TRIM(SUBSTITUTE(AQ34,CHAR(160),""))),0))),0))*(IFERROR(VALUE(TRIM(SUBSTITUTE($AB34,CHAR(160),""))),0))))</f>
        <v/>
      </c>
      <c r="AZ34" s="74" t="str" cm="1">
        <f t="array" ref="AZ34">IF($AB34="","",IF((IFERROR(_xlfn.IFS(TRIM(SUBSTITUTE($AT34,CHAR(160),""))="Devis 1", IFERROR(VALUE(TRIM(SUBSTITUTE(AL34,CHAR(160),""))),0),TRIM(SUBSTITUTE($AT34,CHAR(160),""))="Devis 2", IFERROR(VALUE(TRIM(SUBSTITUTE(AO34,CHAR(160),""))),0),TRIM(SUBSTITUTE($AT34,CHAR(160),""))="Devis 3", IFERROR(VALUE(TRIM(SUBSTITUTE(AR34,CHAR(160),""))),0)),0) * IFERROR(VALUE(TRIM(SUBSTITUTE($AB34,CHAR(160),""))),0)) = 0,IF(AY34&lt;&gt;"",0,""),(IFERROR(_xlfn.IFS(TRIM(SUBSTITUTE($AT34,CHAR(160),""))="Devis 1", IFERROR(VALUE(TRIM(SUBSTITUTE(AL34,CHAR(160),""))),0),TRIM(SUBSTITUTE($AT34,CHAR(160),""))="Devis 2", IFERROR(VALUE(TRIM(SUBSTITUTE(AO34,CHAR(160),""))),0),TRIM(SUBSTITUTE($AT34,CHAR(160),""))="Devis 3", IFERROR(VALUE(TRIM(SUBSTITUTE(AR34,CHAR(160),""))),0)),0) * IFERROR(VALUE(TRIM(SUBSTITUTE($AB34,CHAR(160),""))),0))))</f>
        <v/>
      </c>
      <c r="BA34" s="74" t="str" cm="1">
        <f t="array" ref="BA34">IF($AB34="","",IF(IFERROR(_xlfn.IFS($AT34="Devis 1",IFERROR(VALUE(TRIM(SUBSTITUTE(AM34,CHAR(160),""))),0),$AT34="Devis 2",IFERROR(VALUE(TRIM(SUBSTITUTE(AP34,CHAR(160),""))),0),$AT34="Devis 3",IFERROR(VALUE(TRIM(SUBSTITUTE(AS34,CHAR(160),""))),0)),0)*IFERROR(VALUE(TRIM(SUBSTITUTE($AB34,CHAR(160),""))),0)=0,"",IFERROR(_xlfn.IFS($AT34="Devis 1",IFERROR(VALUE(TRIM(SUBSTITUTE(AM34,CHAR(160),""))),0),$AT34="Devis 2",IFERROR(VALUE(TRIM(SUBSTITUTE(AP34,CHAR(160),""))),0),$AT34="Devis 3",IFERROR(VALUE(TRIM(SUBSTITUTE(AS34,CHAR(160),""))),0)),0)*IFERROR(VALUE(TRIM(SUBSTITUTE($AB34,CHAR(160),""))),0)))</f>
        <v/>
      </c>
      <c r="BB34" s="45"/>
      <c r="BC34" s="13" t="str" cm="1">
        <f t="array" ref="BC34">IF(OR(BA34="",AX34="",AY34="",AV34="",AZ34="",AW34=""),"",_xlfn.IFS((IFERROR(VALUE(TRIM(SUBSTITUTE(BA34,CHAR(160),""))),0))&gt;(IFERROR(VALUE(TRIM(SUBSTITUTE(AX34,CHAR(160),""))),0)),"KO : Le montant retenu TTC est supérieur au montant raisonnable TTC. Merci de revoir la ligne de dépense ou plafonner son montant.",(IFERROR(VALUE(TRIM(SUBSTITUTE(AY34,CHAR(160),""))),0))&gt;(IFERROR(VALUE(TRIM(SUBSTITUTE(AV34,CHAR(160),""))),0)),"Attention : Le montant retenu HT est supérieur au montant HT raisonnable. Merci de revoir la ligne de dépense, plafonner son montant, ou justifier la reventillation HT / TVA.",(IFERROR(VALUE(TRIM(SUBSTITUTE(AZ34,CHAR(160),""))),0))&gt;(IFERROR(VALUE(TRIM(SUBSTITUTE(AW34,CHAR(160),""))),0)),"Attention : Le montant TVA retenu est supérieur au montant TVA raisonnable. Merci de revoir la ligne de dépense, plafonner son montant, ou justifier la reventillation HT / TVA.",(IFERROR(VALUE(TRIM(SUBSTITUTE(BA34,CHAR(160),""))),0))=0,"",(IFERROR(VALUE(TRIM(SUBSTITUTE(AX34,CHAR(160),""))),0))=(IFERROR(VALUE(TRIM(SUBSTITUTE(BA34,CHAR(160),""))),0)),"OK",(IFERROR(VALUE(TRIM(SUBSTITUTE(AX34,CHAR(160),""))),0))&gt;(IFERROR(VALUE(TRIM(SUBSTITUTE(BA34,CHAR(160),""))),0))," OK : Montant instruit inférieur au montant raisonnable.",TRUE,""))</f>
        <v/>
      </c>
      <c r="BD34" s="187" t="str" cm="1">
        <f t="array" ref="BD34">IF(OR(BA34="",Y34="",AY34="",W34="",AZ34="",X34=""),"",_xlfn.IFS((IFERROR(VALUE(TRIM(SUBSTITUTE(BA34,CHAR(160),""))),0))&gt;(IFERROR(VALUE(TRIM(SUBSTITUTE(Y34,CHAR(160),""))),0)),"KO : Le montant retenu TTC est supérieur au montant présenté TTC. Merci de revoir la ligne de dépense ou plafonner son montant.",(IFERROR(VALUE(TRIM(SUBSTITUTE(AY34,CHAR(160),""))),0))&gt;(IFERROR(VALUE(TRIM(SUBSTITUTE(W34,CHAR(160),""))),0)),"Attention : Le montant retenu HT est supérieur au montant HT présenté. Merci de revoir la ligne de dépense,plafonner son montant,ou justifier la reventillation HT/TVA.",(IFERROR(VALUE(TRIM(SUBSTITUTE(AZ34,CHAR(160),""))),0))&gt;(IFERROR(VALUE(TRIM(SUBSTITUTE(X34,CHAR(160),""))),0)),"Attention : Le montant TVA retenu est supérieur au montant TVA présenté. Merci de revoir la ligne de dépense,plafonner son montant,ou justifier la reventillation HT/TVA.",(IFERROR(VALUE(TRIM(SUBSTITUTE(Y34,CHAR(160),""))),0))=0,"",(IFERROR(VALUE(TRIM(SUBSTITUTE(BA34,CHAR(160),""))),0))=(IFERROR(VALUE(TRIM(SUBSTITUTE(Y34,CHAR(160),""))),0)),"OK",
OR((IFERROR(VALUE(TRIM(SUBSTITUTE(BA34,CHAR(160),""))),0))=0,(IFERROR(VALUE(TRIM(SUBSTITUTE(AY34,CHAR(160),""))),0))=0),"Attention : montant présenté entièrement écarté",(IFERROR(VALUE(TRIM(SUBSTITUTE(BA34,CHAR(160),""))),0))&lt;(IFERROR(VALUE(TRIM(SUBSTITUTE(Y34,CHAR(160),""))),0)),"Attention : montant présenté partiellement écarté",TRUE,""))</f>
        <v/>
      </c>
      <c r="BE34" s="44" t="str">
        <f t="shared" si="25"/>
        <v/>
      </c>
      <c r="BF34" s="44" t="str">
        <f t="shared" si="26"/>
        <v/>
      </c>
      <c r="BG34" s="21" t="str">
        <f t="shared" si="27"/>
        <v/>
      </c>
    </row>
    <row r="35" spans="1:59" ht="15" customHeight="1">
      <c r="A35" s="70">
        <v>26</v>
      </c>
      <c r="B35" s="784"/>
      <c r="C35" s="7"/>
      <c r="D35" s="11"/>
      <c r="E35" s="451"/>
      <c r="F35" s="7"/>
      <c r="G35" s="7"/>
      <c r="H35" s="7"/>
      <c r="I35" s="7"/>
      <c r="J35" s="17"/>
      <c r="K35" s="7"/>
      <c r="L35" s="132"/>
      <c r="M35" s="138"/>
      <c r="N35" s="8"/>
      <c r="O35" s="35" t="str">
        <f t="shared" si="0"/>
        <v/>
      </c>
      <c r="P35" s="9"/>
      <c r="Q35" s="8"/>
      <c r="R35" s="35" t="str">
        <f t="shared" si="1"/>
        <v/>
      </c>
      <c r="S35" s="10"/>
      <c r="T35" s="8"/>
      <c r="U35" s="139" t="str">
        <f t="shared" si="2"/>
        <v/>
      </c>
      <c r="V35" s="147"/>
      <c r="W35" s="770" t="str" cm="1">
        <f t="array" ref="W35">IF((_xlfn.IFS(TRIM(SUBSTITUTE(V35,CHAR(160),""))="Devis 1",IFERROR(VALUE(TRIM(SUBSTITUTE(M35,CHAR(160),""))),0),TRIM(SUBSTITUTE(V35,CHAR(160),""))="Devis 2",IFERROR(VALUE(TRIM(SUBSTITUTE(P35,CHAR(160),""))),0),TRIM(SUBSTITUTE(V35,CHAR(160),""))="Devis 3",IFERROR(VALUE(TRIM(SUBSTITUTE(S35,CHAR(160),""))),0),TRUE,0)*IFERROR(VALUE(TRIM(SUBSTITUTE(D35,CHAR(160),""))),0))=0,"",_xlfn.IFS(TRIM(SUBSTITUTE(V35,CHAR(160),""))="Devis 1",IFERROR(VALUE(TRIM(SUBSTITUTE(M35,CHAR(160),""))),0),TRIM(SUBSTITUTE(V35,CHAR(160),""))="Devis 2",IFERROR(VALUE(TRIM(SUBSTITUTE(P35,CHAR(160),""))),0),TRIM(SUBSTITUTE(V35,CHAR(160),""))="Devis 3",IFERROR(VALUE(TRIM(SUBSTITUTE(S35,CHAR(160),""))),0),TRUE,0)*IFERROR(VALUE(TRIM(SUBSTITUTE(D35,CHAR(160),""))),0))</f>
        <v/>
      </c>
      <c r="X35" s="73" t="str" cm="1">
        <f t="array" ref="X35">IF(_xlfn.IFS(TRIM(SUBSTITUTE(V35,CHAR(160),""))="Devis 1",IFERROR(VALUE(TRIM(SUBSTITUTE(N35,CHAR(160),""))),0),TRIM(SUBSTITUTE(V35,CHAR(160),""))="Devis 2",IFERROR(VALUE(TRIM(SUBSTITUTE(Q35,CHAR(160),""))),0),TRIM(SUBSTITUTE(V35,CHAR(160),""))="Devis 3",IFERROR(VALUE(TRIM(SUBSTITUTE(T35,CHAR(160),""))),0),TRUE,0)*IFERROR(VALUE(TRIM(SUBSTITUTE(D35,CHAR(160),""))),0)=0,IF(W35&lt;&gt;"",0,""),_xlfn.IFS(TRIM(SUBSTITUTE(V35,CHAR(160),""))="Devis 1",IFERROR(VALUE(TRIM(SUBSTITUTE(N35,CHAR(160),""))),0),TRIM(SUBSTITUTE(V35,CHAR(160),""))="Devis 2",IFERROR(VALUE(TRIM(SUBSTITUTE(Q35,CHAR(160),""))),0),TRIM(SUBSTITUTE(V35,CHAR(160),""))="Devis 3",IFERROR(VALUE(TRIM(SUBSTITUTE(T35,CHAR(160),""))),0),TRUE,0)*IFERROR(VALUE(TRIM(SUBSTITUTE(D35,CHAR(160),""))),0))</f>
        <v/>
      </c>
      <c r="Y35" s="149" t="str">
        <f t="shared" si="3"/>
        <v/>
      </c>
      <c r="Z35" s="150"/>
      <c r="AA35" s="36" t="str">
        <f t="shared" si="4"/>
        <v/>
      </c>
      <c r="AB35" s="37" t="str">
        <f t="shared" si="30"/>
        <v/>
      </c>
      <c r="AC35" s="37" t="str">
        <f t="shared" si="31"/>
        <v/>
      </c>
      <c r="AD35" s="14" t="str">
        <f t="shared" si="5"/>
        <v/>
      </c>
      <c r="AE35" s="14" t="str">
        <f t="shared" si="6"/>
        <v/>
      </c>
      <c r="AF35" s="14" t="str">
        <f t="shared" si="7"/>
        <v/>
      </c>
      <c r="AG35" s="14" t="str">
        <f t="shared" si="8"/>
        <v/>
      </c>
      <c r="AH35" s="38" t="str">
        <f t="shared" si="9"/>
        <v/>
      </c>
      <c r="AI35" s="14" t="str">
        <f t="shared" si="10"/>
        <v/>
      </c>
      <c r="AJ35" s="39" t="str">
        <f t="shared" si="11"/>
        <v/>
      </c>
      <c r="AK35" s="40" t="str">
        <f t="shared" si="12"/>
        <v/>
      </c>
      <c r="AL35" s="20" t="str">
        <f t="shared" si="13"/>
        <v/>
      </c>
      <c r="AM35" s="35" t="str">
        <f t="shared" si="14"/>
        <v/>
      </c>
      <c r="AN35" s="41" t="str">
        <f t="shared" si="15"/>
        <v/>
      </c>
      <c r="AO35" s="20" t="str">
        <f t="shared" si="16"/>
        <v/>
      </c>
      <c r="AP35" s="35" t="str">
        <f t="shared" si="17"/>
        <v/>
      </c>
      <c r="AQ35" s="42" t="str">
        <f t="shared" si="18"/>
        <v/>
      </c>
      <c r="AR35" s="20" t="str">
        <f t="shared" si="19"/>
        <v/>
      </c>
      <c r="AS35" s="43" t="str">
        <f t="shared" si="20"/>
        <v/>
      </c>
      <c r="AT35" s="36" t="str">
        <f t="shared" si="21"/>
        <v/>
      </c>
      <c r="AU35" s="184"/>
      <c r="AV35" s="44" t="str">
        <f t="shared" si="22"/>
        <v/>
      </c>
      <c r="AW35" s="44" t="str">
        <f t="shared" si="23"/>
        <v/>
      </c>
      <c r="AX35" s="44" t="str">
        <f t="shared" si="24"/>
        <v/>
      </c>
      <c r="AY35" s="74" t="str" cm="1">
        <f t="array" ref="AY35">IF($AB35="","",IF((IFERROR(_xlfn.IFS($AT35="Devis 1",(IFERROR(VALUE(TRIM(SUBSTITUTE(AK35,CHAR(160),""))),0)),$AT35="Devis 2",(IFERROR(VALUE(TRIM(SUBSTITUTE(AN35,CHAR(160),""))),0)),$AT35="Devis 3",(IFERROR(VALUE(TRIM(SUBSTITUTE(AQ35,CHAR(160),""))),0))),0))*(IFERROR(VALUE(TRIM(SUBSTITUTE($AB35,CHAR(160),""))),0))=0,"",(IFERROR(_xlfn.IFS($AT35="Devis 1",(IFERROR(VALUE(TRIM(SUBSTITUTE(AK35,CHAR(160),""))),0)),$AT35="Devis 2",(IFERROR(VALUE(TRIM(SUBSTITUTE(AN35,CHAR(160),""))),0)),$AT35="Devis 3",(IFERROR(VALUE(TRIM(SUBSTITUTE(AQ35,CHAR(160),""))),0))),0))*(IFERROR(VALUE(TRIM(SUBSTITUTE($AB35,CHAR(160),""))),0))))</f>
        <v/>
      </c>
      <c r="AZ35" s="74" t="str" cm="1">
        <f t="array" ref="AZ35">IF($AB35="","",IF((IFERROR(_xlfn.IFS(TRIM(SUBSTITUTE($AT35,CHAR(160),""))="Devis 1", IFERROR(VALUE(TRIM(SUBSTITUTE(AL35,CHAR(160),""))),0),TRIM(SUBSTITUTE($AT35,CHAR(160),""))="Devis 2", IFERROR(VALUE(TRIM(SUBSTITUTE(AO35,CHAR(160),""))),0),TRIM(SUBSTITUTE($AT35,CHAR(160),""))="Devis 3", IFERROR(VALUE(TRIM(SUBSTITUTE(AR35,CHAR(160),""))),0)),0) * IFERROR(VALUE(TRIM(SUBSTITUTE($AB35,CHAR(160),""))),0)) = 0,IF(AY35&lt;&gt;"",0,""),(IFERROR(_xlfn.IFS(TRIM(SUBSTITUTE($AT35,CHAR(160),""))="Devis 1", IFERROR(VALUE(TRIM(SUBSTITUTE(AL35,CHAR(160),""))),0),TRIM(SUBSTITUTE($AT35,CHAR(160),""))="Devis 2", IFERROR(VALUE(TRIM(SUBSTITUTE(AO35,CHAR(160),""))),0),TRIM(SUBSTITUTE($AT35,CHAR(160),""))="Devis 3", IFERROR(VALUE(TRIM(SUBSTITUTE(AR35,CHAR(160),""))),0)),0) * IFERROR(VALUE(TRIM(SUBSTITUTE($AB35,CHAR(160),""))),0))))</f>
        <v/>
      </c>
      <c r="BA35" s="74" t="str" cm="1">
        <f t="array" ref="BA35">IF($AB35="","",IF(IFERROR(_xlfn.IFS($AT35="Devis 1",IFERROR(VALUE(TRIM(SUBSTITUTE(AM35,CHAR(160),""))),0),$AT35="Devis 2",IFERROR(VALUE(TRIM(SUBSTITUTE(AP35,CHAR(160),""))),0),$AT35="Devis 3",IFERROR(VALUE(TRIM(SUBSTITUTE(AS35,CHAR(160),""))),0)),0)*IFERROR(VALUE(TRIM(SUBSTITUTE($AB35,CHAR(160),""))),0)=0,"",IFERROR(_xlfn.IFS($AT35="Devis 1",IFERROR(VALUE(TRIM(SUBSTITUTE(AM35,CHAR(160),""))),0),$AT35="Devis 2",IFERROR(VALUE(TRIM(SUBSTITUTE(AP35,CHAR(160),""))),0),$AT35="Devis 3",IFERROR(VALUE(TRIM(SUBSTITUTE(AS35,CHAR(160),""))),0)),0)*IFERROR(VALUE(TRIM(SUBSTITUTE($AB35,CHAR(160),""))),0)))</f>
        <v/>
      </c>
      <c r="BB35" s="45"/>
      <c r="BC35" s="13" t="str" cm="1">
        <f t="array" ref="BC35">IF(OR(BA35="",AX35="",AY35="",AV35="",AZ35="",AW35=""),"",_xlfn.IFS((IFERROR(VALUE(TRIM(SUBSTITUTE(BA35,CHAR(160),""))),0))&gt;(IFERROR(VALUE(TRIM(SUBSTITUTE(AX35,CHAR(160),""))),0)),"KO : Le montant retenu TTC est supérieur au montant raisonnable TTC. Merci de revoir la ligne de dépense ou plafonner son montant.",(IFERROR(VALUE(TRIM(SUBSTITUTE(AY35,CHAR(160),""))),0))&gt;(IFERROR(VALUE(TRIM(SUBSTITUTE(AV35,CHAR(160),""))),0)),"Attention : Le montant retenu HT est supérieur au montant HT raisonnable. Merci de revoir la ligne de dépense, plafonner son montant, ou justifier la reventillation HT / TVA.",(IFERROR(VALUE(TRIM(SUBSTITUTE(AZ35,CHAR(160),""))),0))&gt;(IFERROR(VALUE(TRIM(SUBSTITUTE(AW35,CHAR(160),""))),0)),"Attention : Le montant TVA retenu est supérieur au montant TVA raisonnable. Merci de revoir la ligne de dépense, plafonner son montant, ou justifier la reventillation HT / TVA.",(IFERROR(VALUE(TRIM(SUBSTITUTE(BA35,CHAR(160),""))),0))=0,"",(IFERROR(VALUE(TRIM(SUBSTITUTE(AX35,CHAR(160),""))),0))=(IFERROR(VALUE(TRIM(SUBSTITUTE(BA35,CHAR(160),""))),0)),"OK",(IFERROR(VALUE(TRIM(SUBSTITUTE(AX35,CHAR(160),""))),0))&gt;(IFERROR(VALUE(TRIM(SUBSTITUTE(BA35,CHAR(160),""))),0))," OK : Montant instruit inférieur au montant raisonnable.",TRUE,""))</f>
        <v/>
      </c>
      <c r="BD35" s="187" t="str" cm="1">
        <f t="array" ref="BD35">IF(OR(BA35="",Y35="",AY35="",W35="",AZ35="",X35=""),"",_xlfn.IFS((IFERROR(VALUE(TRIM(SUBSTITUTE(BA35,CHAR(160),""))),0))&gt;(IFERROR(VALUE(TRIM(SUBSTITUTE(Y35,CHAR(160),""))),0)),"KO : Le montant retenu TTC est supérieur au montant présenté TTC. Merci de revoir la ligne de dépense ou plafonner son montant.",(IFERROR(VALUE(TRIM(SUBSTITUTE(AY35,CHAR(160),""))),0))&gt;(IFERROR(VALUE(TRIM(SUBSTITUTE(W35,CHAR(160),""))),0)),"Attention : Le montant retenu HT est supérieur au montant HT présenté. Merci de revoir la ligne de dépense,plafonner son montant,ou justifier la reventillation HT/TVA.",(IFERROR(VALUE(TRIM(SUBSTITUTE(AZ35,CHAR(160),""))),0))&gt;(IFERROR(VALUE(TRIM(SUBSTITUTE(X35,CHAR(160),""))),0)),"Attention : Le montant TVA retenu est supérieur au montant TVA présenté. Merci de revoir la ligne de dépense,plafonner son montant,ou justifier la reventillation HT/TVA.",(IFERROR(VALUE(TRIM(SUBSTITUTE(Y35,CHAR(160),""))),0))=0,"",(IFERROR(VALUE(TRIM(SUBSTITUTE(BA35,CHAR(160),""))),0))=(IFERROR(VALUE(TRIM(SUBSTITUTE(Y35,CHAR(160),""))),0)),"OK",
OR((IFERROR(VALUE(TRIM(SUBSTITUTE(BA35,CHAR(160),""))),0))=0,(IFERROR(VALUE(TRIM(SUBSTITUTE(AY35,CHAR(160),""))),0))=0),"Attention : montant présenté entièrement écarté",(IFERROR(VALUE(TRIM(SUBSTITUTE(BA35,CHAR(160),""))),0))&lt;(IFERROR(VALUE(TRIM(SUBSTITUTE(Y35,CHAR(160),""))),0)),"Attention : montant présenté partiellement écarté",TRUE,""))</f>
        <v/>
      </c>
      <c r="BE35" s="44" t="str">
        <f t="shared" si="25"/>
        <v/>
      </c>
      <c r="BF35" s="44" t="str">
        <f t="shared" si="26"/>
        <v/>
      </c>
      <c r="BG35" s="21" t="str">
        <f t="shared" si="27"/>
        <v/>
      </c>
    </row>
    <row r="36" spans="1:59" ht="15" customHeight="1">
      <c r="A36" s="70">
        <v>27</v>
      </c>
      <c r="B36" s="784"/>
      <c r="C36" s="7"/>
      <c r="D36" s="11"/>
      <c r="E36" s="451"/>
      <c r="F36" s="7"/>
      <c r="G36" s="7"/>
      <c r="H36" s="7"/>
      <c r="I36" s="7"/>
      <c r="J36" s="17"/>
      <c r="K36" s="7"/>
      <c r="L36" s="132"/>
      <c r="M36" s="138"/>
      <c r="N36" s="8"/>
      <c r="O36" s="35" t="str">
        <f t="shared" si="0"/>
        <v/>
      </c>
      <c r="P36" s="9"/>
      <c r="Q36" s="8"/>
      <c r="R36" s="35" t="str">
        <f t="shared" si="1"/>
        <v/>
      </c>
      <c r="S36" s="10"/>
      <c r="T36" s="8"/>
      <c r="U36" s="139" t="str">
        <f t="shared" si="2"/>
        <v/>
      </c>
      <c r="V36" s="147"/>
      <c r="W36" s="770" t="str" cm="1">
        <f t="array" ref="W36">IF((_xlfn.IFS(TRIM(SUBSTITUTE(V36,CHAR(160),""))="Devis 1",IFERROR(VALUE(TRIM(SUBSTITUTE(M36,CHAR(160),""))),0),TRIM(SUBSTITUTE(V36,CHAR(160),""))="Devis 2",IFERROR(VALUE(TRIM(SUBSTITUTE(P36,CHAR(160),""))),0),TRIM(SUBSTITUTE(V36,CHAR(160),""))="Devis 3",IFERROR(VALUE(TRIM(SUBSTITUTE(S36,CHAR(160),""))),0),TRUE,0)*IFERROR(VALUE(TRIM(SUBSTITUTE(D36,CHAR(160),""))),0))=0,"",_xlfn.IFS(TRIM(SUBSTITUTE(V36,CHAR(160),""))="Devis 1",IFERROR(VALUE(TRIM(SUBSTITUTE(M36,CHAR(160),""))),0),TRIM(SUBSTITUTE(V36,CHAR(160),""))="Devis 2",IFERROR(VALUE(TRIM(SUBSTITUTE(P36,CHAR(160),""))),0),TRIM(SUBSTITUTE(V36,CHAR(160),""))="Devis 3",IFERROR(VALUE(TRIM(SUBSTITUTE(S36,CHAR(160),""))),0),TRUE,0)*IFERROR(VALUE(TRIM(SUBSTITUTE(D36,CHAR(160),""))),0))</f>
        <v/>
      </c>
      <c r="X36" s="73" t="str" cm="1">
        <f t="array" ref="X36">IF(_xlfn.IFS(TRIM(SUBSTITUTE(V36,CHAR(160),""))="Devis 1",IFERROR(VALUE(TRIM(SUBSTITUTE(N36,CHAR(160),""))),0),TRIM(SUBSTITUTE(V36,CHAR(160),""))="Devis 2",IFERROR(VALUE(TRIM(SUBSTITUTE(Q36,CHAR(160),""))),0),TRIM(SUBSTITUTE(V36,CHAR(160),""))="Devis 3",IFERROR(VALUE(TRIM(SUBSTITUTE(T36,CHAR(160),""))),0),TRUE,0)*IFERROR(VALUE(TRIM(SUBSTITUTE(D36,CHAR(160),""))),0)=0,IF(W36&lt;&gt;"",0,""),_xlfn.IFS(TRIM(SUBSTITUTE(V36,CHAR(160),""))="Devis 1",IFERROR(VALUE(TRIM(SUBSTITUTE(N36,CHAR(160),""))),0),TRIM(SUBSTITUTE(V36,CHAR(160),""))="Devis 2",IFERROR(VALUE(TRIM(SUBSTITUTE(Q36,CHAR(160),""))),0),TRIM(SUBSTITUTE(V36,CHAR(160),""))="Devis 3",IFERROR(VALUE(TRIM(SUBSTITUTE(T36,CHAR(160),""))),0),TRUE,0)*IFERROR(VALUE(TRIM(SUBSTITUTE(D36,CHAR(160),""))),0))</f>
        <v/>
      </c>
      <c r="Y36" s="149" t="str">
        <f t="shared" si="3"/>
        <v/>
      </c>
      <c r="Z36" s="150"/>
      <c r="AA36" s="36" t="str">
        <f t="shared" si="4"/>
        <v/>
      </c>
      <c r="AB36" s="37" t="str">
        <f t="shared" si="30"/>
        <v/>
      </c>
      <c r="AC36" s="37" t="str">
        <f t="shared" si="31"/>
        <v/>
      </c>
      <c r="AD36" s="14" t="str">
        <f t="shared" si="5"/>
        <v/>
      </c>
      <c r="AE36" s="14" t="str">
        <f t="shared" si="6"/>
        <v/>
      </c>
      <c r="AF36" s="14" t="str">
        <f t="shared" si="7"/>
        <v/>
      </c>
      <c r="AG36" s="14" t="str">
        <f t="shared" si="8"/>
        <v/>
      </c>
      <c r="AH36" s="38" t="str">
        <f t="shared" si="9"/>
        <v/>
      </c>
      <c r="AI36" s="14" t="str">
        <f t="shared" si="10"/>
        <v/>
      </c>
      <c r="AJ36" s="39" t="str">
        <f t="shared" si="11"/>
        <v/>
      </c>
      <c r="AK36" s="40" t="str">
        <f t="shared" si="12"/>
        <v/>
      </c>
      <c r="AL36" s="20" t="str">
        <f t="shared" si="13"/>
        <v/>
      </c>
      <c r="AM36" s="35" t="str">
        <f t="shared" si="14"/>
        <v/>
      </c>
      <c r="AN36" s="41" t="str">
        <f t="shared" si="15"/>
        <v/>
      </c>
      <c r="AO36" s="20" t="str">
        <f t="shared" si="16"/>
        <v/>
      </c>
      <c r="AP36" s="35" t="str">
        <f t="shared" si="17"/>
        <v/>
      </c>
      <c r="AQ36" s="42" t="str">
        <f t="shared" si="18"/>
        <v/>
      </c>
      <c r="AR36" s="20" t="str">
        <f t="shared" si="19"/>
        <v/>
      </c>
      <c r="AS36" s="43" t="str">
        <f t="shared" si="20"/>
        <v/>
      </c>
      <c r="AT36" s="36" t="str">
        <f t="shared" si="21"/>
        <v/>
      </c>
      <c r="AU36" s="184"/>
      <c r="AV36" s="44" t="str">
        <f t="shared" si="22"/>
        <v/>
      </c>
      <c r="AW36" s="44" t="str">
        <f t="shared" si="23"/>
        <v/>
      </c>
      <c r="AX36" s="44" t="str">
        <f t="shared" si="24"/>
        <v/>
      </c>
      <c r="AY36" s="74" t="str" cm="1">
        <f t="array" ref="AY36">IF($AB36="","",IF((IFERROR(_xlfn.IFS($AT36="Devis 1",(IFERROR(VALUE(TRIM(SUBSTITUTE(AK36,CHAR(160),""))),0)),$AT36="Devis 2",(IFERROR(VALUE(TRIM(SUBSTITUTE(AN36,CHAR(160),""))),0)),$AT36="Devis 3",(IFERROR(VALUE(TRIM(SUBSTITUTE(AQ36,CHAR(160),""))),0))),0))*(IFERROR(VALUE(TRIM(SUBSTITUTE($AB36,CHAR(160),""))),0))=0,"",(IFERROR(_xlfn.IFS($AT36="Devis 1",(IFERROR(VALUE(TRIM(SUBSTITUTE(AK36,CHAR(160),""))),0)),$AT36="Devis 2",(IFERROR(VALUE(TRIM(SUBSTITUTE(AN36,CHAR(160),""))),0)),$AT36="Devis 3",(IFERROR(VALUE(TRIM(SUBSTITUTE(AQ36,CHAR(160),""))),0))),0))*(IFERROR(VALUE(TRIM(SUBSTITUTE($AB36,CHAR(160),""))),0))))</f>
        <v/>
      </c>
      <c r="AZ36" s="74" t="str" cm="1">
        <f t="array" ref="AZ36">IF($AB36="","",IF((IFERROR(_xlfn.IFS(TRIM(SUBSTITUTE($AT36,CHAR(160),""))="Devis 1", IFERROR(VALUE(TRIM(SUBSTITUTE(AL36,CHAR(160),""))),0),TRIM(SUBSTITUTE($AT36,CHAR(160),""))="Devis 2", IFERROR(VALUE(TRIM(SUBSTITUTE(AO36,CHAR(160),""))),0),TRIM(SUBSTITUTE($AT36,CHAR(160),""))="Devis 3", IFERROR(VALUE(TRIM(SUBSTITUTE(AR36,CHAR(160),""))),0)),0) * IFERROR(VALUE(TRIM(SUBSTITUTE($AB36,CHAR(160),""))),0)) = 0,IF(AY36&lt;&gt;"",0,""),(IFERROR(_xlfn.IFS(TRIM(SUBSTITUTE($AT36,CHAR(160),""))="Devis 1", IFERROR(VALUE(TRIM(SUBSTITUTE(AL36,CHAR(160),""))),0),TRIM(SUBSTITUTE($AT36,CHAR(160),""))="Devis 2", IFERROR(VALUE(TRIM(SUBSTITUTE(AO36,CHAR(160),""))),0),TRIM(SUBSTITUTE($AT36,CHAR(160),""))="Devis 3", IFERROR(VALUE(TRIM(SUBSTITUTE(AR36,CHAR(160),""))),0)),0) * IFERROR(VALUE(TRIM(SUBSTITUTE($AB36,CHAR(160),""))),0))))</f>
        <v/>
      </c>
      <c r="BA36" s="74" t="str" cm="1">
        <f t="array" ref="BA36">IF($AB36="","",IF(IFERROR(_xlfn.IFS($AT36="Devis 1",IFERROR(VALUE(TRIM(SUBSTITUTE(AM36,CHAR(160),""))),0),$AT36="Devis 2",IFERROR(VALUE(TRIM(SUBSTITUTE(AP36,CHAR(160),""))),0),$AT36="Devis 3",IFERROR(VALUE(TRIM(SUBSTITUTE(AS36,CHAR(160),""))),0)),0)*IFERROR(VALUE(TRIM(SUBSTITUTE($AB36,CHAR(160),""))),0)=0,"",IFERROR(_xlfn.IFS($AT36="Devis 1",IFERROR(VALUE(TRIM(SUBSTITUTE(AM36,CHAR(160),""))),0),$AT36="Devis 2",IFERROR(VALUE(TRIM(SUBSTITUTE(AP36,CHAR(160),""))),0),$AT36="Devis 3",IFERROR(VALUE(TRIM(SUBSTITUTE(AS36,CHAR(160),""))),0)),0)*IFERROR(VALUE(TRIM(SUBSTITUTE($AB36,CHAR(160),""))),0)))</f>
        <v/>
      </c>
      <c r="BB36" s="45"/>
      <c r="BC36" s="13" t="str" cm="1">
        <f t="array" ref="BC36">IF(OR(BA36="",AX36="",AY36="",AV36="",AZ36="",AW36=""),"",_xlfn.IFS((IFERROR(VALUE(TRIM(SUBSTITUTE(BA36,CHAR(160),""))),0))&gt;(IFERROR(VALUE(TRIM(SUBSTITUTE(AX36,CHAR(160),""))),0)),"KO : Le montant retenu TTC est supérieur au montant raisonnable TTC. Merci de revoir la ligne de dépense ou plafonner son montant.",(IFERROR(VALUE(TRIM(SUBSTITUTE(AY36,CHAR(160),""))),0))&gt;(IFERROR(VALUE(TRIM(SUBSTITUTE(AV36,CHAR(160),""))),0)),"Attention : Le montant retenu HT est supérieur au montant HT raisonnable. Merci de revoir la ligne de dépense, plafonner son montant, ou justifier la reventillation HT / TVA.",(IFERROR(VALUE(TRIM(SUBSTITUTE(AZ36,CHAR(160),""))),0))&gt;(IFERROR(VALUE(TRIM(SUBSTITUTE(AW36,CHAR(160),""))),0)),"Attention : Le montant TVA retenu est supérieur au montant TVA raisonnable. Merci de revoir la ligne de dépense, plafonner son montant, ou justifier la reventillation HT / TVA.",(IFERROR(VALUE(TRIM(SUBSTITUTE(BA36,CHAR(160),""))),0))=0,"",(IFERROR(VALUE(TRIM(SUBSTITUTE(AX36,CHAR(160),""))),0))=(IFERROR(VALUE(TRIM(SUBSTITUTE(BA36,CHAR(160),""))),0)),"OK",(IFERROR(VALUE(TRIM(SUBSTITUTE(AX36,CHAR(160),""))),0))&gt;(IFERROR(VALUE(TRIM(SUBSTITUTE(BA36,CHAR(160),""))),0))," OK : Montant instruit inférieur au montant raisonnable.",TRUE,""))</f>
        <v/>
      </c>
      <c r="BD36" s="187" t="str" cm="1">
        <f t="array" ref="BD36">IF(OR(BA36="",Y36="",AY36="",W36="",AZ36="",X36=""),"",_xlfn.IFS((IFERROR(VALUE(TRIM(SUBSTITUTE(BA36,CHAR(160),""))),0))&gt;(IFERROR(VALUE(TRIM(SUBSTITUTE(Y36,CHAR(160),""))),0)),"KO : Le montant retenu TTC est supérieur au montant présenté TTC. Merci de revoir la ligne de dépense ou plafonner son montant.",(IFERROR(VALUE(TRIM(SUBSTITUTE(AY36,CHAR(160),""))),0))&gt;(IFERROR(VALUE(TRIM(SUBSTITUTE(W36,CHAR(160),""))),0)),"Attention : Le montant retenu HT est supérieur au montant HT présenté. Merci de revoir la ligne de dépense,plafonner son montant,ou justifier la reventillation HT/TVA.",(IFERROR(VALUE(TRIM(SUBSTITUTE(AZ36,CHAR(160),""))),0))&gt;(IFERROR(VALUE(TRIM(SUBSTITUTE(X36,CHAR(160),""))),0)),"Attention : Le montant TVA retenu est supérieur au montant TVA présenté. Merci de revoir la ligne de dépense,plafonner son montant,ou justifier la reventillation HT/TVA.",(IFERROR(VALUE(TRIM(SUBSTITUTE(Y36,CHAR(160),""))),0))=0,"",(IFERROR(VALUE(TRIM(SUBSTITUTE(BA36,CHAR(160),""))),0))=(IFERROR(VALUE(TRIM(SUBSTITUTE(Y36,CHAR(160),""))),0)),"OK",
OR((IFERROR(VALUE(TRIM(SUBSTITUTE(BA36,CHAR(160),""))),0))=0,(IFERROR(VALUE(TRIM(SUBSTITUTE(AY36,CHAR(160),""))),0))=0),"Attention : montant présenté entièrement écarté",(IFERROR(VALUE(TRIM(SUBSTITUTE(BA36,CHAR(160),""))),0))&lt;(IFERROR(VALUE(TRIM(SUBSTITUTE(Y36,CHAR(160),""))),0)),"Attention : montant présenté partiellement écarté",TRUE,""))</f>
        <v/>
      </c>
      <c r="BE36" s="44" t="str">
        <f t="shared" si="25"/>
        <v/>
      </c>
      <c r="BF36" s="44" t="str">
        <f t="shared" si="26"/>
        <v/>
      </c>
      <c r="BG36" s="21" t="str">
        <f t="shared" si="27"/>
        <v/>
      </c>
    </row>
    <row r="37" spans="1:59" ht="15" customHeight="1">
      <c r="A37" s="70">
        <v>28</v>
      </c>
      <c r="B37" s="784"/>
      <c r="C37" s="7"/>
      <c r="D37" s="11"/>
      <c r="E37" s="451"/>
      <c r="F37" s="7"/>
      <c r="G37" s="7"/>
      <c r="H37" s="7"/>
      <c r="I37" s="7"/>
      <c r="J37" s="17"/>
      <c r="K37" s="7"/>
      <c r="L37" s="132"/>
      <c r="M37" s="138"/>
      <c r="N37" s="8"/>
      <c r="O37" s="35" t="str">
        <f t="shared" si="0"/>
        <v/>
      </c>
      <c r="P37" s="9"/>
      <c r="Q37" s="8"/>
      <c r="R37" s="35" t="str">
        <f t="shared" si="1"/>
        <v/>
      </c>
      <c r="S37" s="10"/>
      <c r="T37" s="8"/>
      <c r="U37" s="139" t="str">
        <f t="shared" si="2"/>
        <v/>
      </c>
      <c r="V37" s="147"/>
      <c r="W37" s="770" t="str" cm="1">
        <f t="array" ref="W37">IF((_xlfn.IFS(TRIM(SUBSTITUTE(V37,CHAR(160),""))="Devis 1",IFERROR(VALUE(TRIM(SUBSTITUTE(M37,CHAR(160),""))),0),TRIM(SUBSTITUTE(V37,CHAR(160),""))="Devis 2",IFERROR(VALUE(TRIM(SUBSTITUTE(P37,CHAR(160),""))),0),TRIM(SUBSTITUTE(V37,CHAR(160),""))="Devis 3",IFERROR(VALUE(TRIM(SUBSTITUTE(S37,CHAR(160),""))),0),TRUE,0)*IFERROR(VALUE(TRIM(SUBSTITUTE(D37,CHAR(160),""))),0))=0,"",_xlfn.IFS(TRIM(SUBSTITUTE(V37,CHAR(160),""))="Devis 1",IFERROR(VALUE(TRIM(SUBSTITUTE(M37,CHAR(160),""))),0),TRIM(SUBSTITUTE(V37,CHAR(160),""))="Devis 2",IFERROR(VALUE(TRIM(SUBSTITUTE(P37,CHAR(160),""))),0),TRIM(SUBSTITUTE(V37,CHAR(160),""))="Devis 3",IFERROR(VALUE(TRIM(SUBSTITUTE(S37,CHAR(160),""))),0),TRUE,0)*IFERROR(VALUE(TRIM(SUBSTITUTE(D37,CHAR(160),""))),0))</f>
        <v/>
      </c>
      <c r="X37" s="73" t="str" cm="1">
        <f t="array" ref="X37">IF(_xlfn.IFS(TRIM(SUBSTITUTE(V37,CHAR(160),""))="Devis 1",IFERROR(VALUE(TRIM(SUBSTITUTE(N37,CHAR(160),""))),0),TRIM(SUBSTITUTE(V37,CHAR(160),""))="Devis 2",IFERROR(VALUE(TRIM(SUBSTITUTE(Q37,CHAR(160),""))),0),TRIM(SUBSTITUTE(V37,CHAR(160),""))="Devis 3",IFERROR(VALUE(TRIM(SUBSTITUTE(T37,CHAR(160),""))),0),TRUE,0)*IFERROR(VALUE(TRIM(SUBSTITUTE(D37,CHAR(160),""))),0)=0,IF(W37&lt;&gt;"",0,""),_xlfn.IFS(TRIM(SUBSTITUTE(V37,CHAR(160),""))="Devis 1",IFERROR(VALUE(TRIM(SUBSTITUTE(N37,CHAR(160),""))),0),TRIM(SUBSTITUTE(V37,CHAR(160),""))="Devis 2",IFERROR(VALUE(TRIM(SUBSTITUTE(Q37,CHAR(160),""))),0),TRIM(SUBSTITUTE(V37,CHAR(160),""))="Devis 3",IFERROR(VALUE(TRIM(SUBSTITUTE(T37,CHAR(160),""))),0),TRUE,0)*IFERROR(VALUE(TRIM(SUBSTITUTE(D37,CHAR(160),""))),0))</f>
        <v/>
      </c>
      <c r="Y37" s="149" t="str">
        <f t="shared" si="3"/>
        <v/>
      </c>
      <c r="Z37" s="150"/>
      <c r="AA37" s="36" t="str">
        <f t="shared" si="4"/>
        <v/>
      </c>
      <c r="AB37" s="37" t="str">
        <f t="shared" si="30"/>
        <v/>
      </c>
      <c r="AC37" s="37" t="str">
        <f t="shared" si="31"/>
        <v/>
      </c>
      <c r="AD37" s="14" t="str">
        <f t="shared" si="5"/>
        <v/>
      </c>
      <c r="AE37" s="14" t="str">
        <f t="shared" si="6"/>
        <v/>
      </c>
      <c r="AF37" s="14" t="str">
        <f t="shared" si="7"/>
        <v/>
      </c>
      <c r="AG37" s="14" t="str">
        <f t="shared" si="8"/>
        <v/>
      </c>
      <c r="AH37" s="38" t="str">
        <f t="shared" si="9"/>
        <v/>
      </c>
      <c r="AI37" s="14" t="str">
        <f t="shared" si="10"/>
        <v/>
      </c>
      <c r="AJ37" s="39" t="str">
        <f t="shared" si="11"/>
        <v/>
      </c>
      <c r="AK37" s="40" t="str">
        <f t="shared" si="12"/>
        <v/>
      </c>
      <c r="AL37" s="20" t="str">
        <f t="shared" si="13"/>
        <v/>
      </c>
      <c r="AM37" s="35" t="str">
        <f t="shared" si="14"/>
        <v/>
      </c>
      <c r="AN37" s="41" t="str">
        <f t="shared" si="15"/>
        <v/>
      </c>
      <c r="AO37" s="20" t="str">
        <f t="shared" si="16"/>
        <v/>
      </c>
      <c r="AP37" s="35" t="str">
        <f t="shared" si="17"/>
        <v/>
      </c>
      <c r="AQ37" s="42" t="str">
        <f t="shared" si="18"/>
        <v/>
      </c>
      <c r="AR37" s="20" t="str">
        <f t="shared" si="19"/>
        <v/>
      </c>
      <c r="AS37" s="43" t="str">
        <f t="shared" si="20"/>
        <v/>
      </c>
      <c r="AT37" s="36" t="str">
        <f t="shared" si="21"/>
        <v/>
      </c>
      <c r="AU37" s="184"/>
      <c r="AV37" s="44" t="str">
        <f t="shared" si="22"/>
        <v/>
      </c>
      <c r="AW37" s="44" t="str">
        <f t="shared" si="23"/>
        <v/>
      </c>
      <c r="AX37" s="44" t="str">
        <f t="shared" si="24"/>
        <v/>
      </c>
      <c r="AY37" s="74" t="str" cm="1">
        <f t="array" ref="AY37">IF($AB37="","",IF((IFERROR(_xlfn.IFS($AT37="Devis 1",(IFERROR(VALUE(TRIM(SUBSTITUTE(AK37,CHAR(160),""))),0)),$AT37="Devis 2",(IFERROR(VALUE(TRIM(SUBSTITUTE(AN37,CHAR(160),""))),0)),$AT37="Devis 3",(IFERROR(VALUE(TRIM(SUBSTITUTE(AQ37,CHAR(160),""))),0))),0))*(IFERROR(VALUE(TRIM(SUBSTITUTE($AB37,CHAR(160),""))),0))=0,"",(IFERROR(_xlfn.IFS($AT37="Devis 1",(IFERROR(VALUE(TRIM(SUBSTITUTE(AK37,CHAR(160),""))),0)),$AT37="Devis 2",(IFERROR(VALUE(TRIM(SUBSTITUTE(AN37,CHAR(160),""))),0)),$AT37="Devis 3",(IFERROR(VALUE(TRIM(SUBSTITUTE(AQ37,CHAR(160),""))),0))),0))*(IFERROR(VALUE(TRIM(SUBSTITUTE($AB37,CHAR(160),""))),0))))</f>
        <v/>
      </c>
      <c r="AZ37" s="74" t="str" cm="1">
        <f t="array" ref="AZ37">IF($AB37="","",IF((IFERROR(_xlfn.IFS(TRIM(SUBSTITUTE($AT37,CHAR(160),""))="Devis 1", IFERROR(VALUE(TRIM(SUBSTITUTE(AL37,CHAR(160),""))),0),TRIM(SUBSTITUTE($AT37,CHAR(160),""))="Devis 2", IFERROR(VALUE(TRIM(SUBSTITUTE(AO37,CHAR(160),""))),0),TRIM(SUBSTITUTE($AT37,CHAR(160),""))="Devis 3", IFERROR(VALUE(TRIM(SUBSTITUTE(AR37,CHAR(160),""))),0)),0) * IFERROR(VALUE(TRIM(SUBSTITUTE($AB37,CHAR(160),""))),0)) = 0,IF(AY37&lt;&gt;"",0,""),(IFERROR(_xlfn.IFS(TRIM(SUBSTITUTE($AT37,CHAR(160),""))="Devis 1", IFERROR(VALUE(TRIM(SUBSTITUTE(AL37,CHAR(160),""))),0),TRIM(SUBSTITUTE($AT37,CHAR(160),""))="Devis 2", IFERROR(VALUE(TRIM(SUBSTITUTE(AO37,CHAR(160),""))),0),TRIM(SUBSTITUTE($AT37,CHAR(160),""))="Devis 3", IFERROR(VALUE(TRIM(SUBSTITUTE(AR37,CHAR(160),""))),0)),0) * IFERROR(VALUE(TRIM(SUBSTITUTE($AB37,CHAR(160),""))),0))))</f>
        <v/>
      </c>
      <c r="BA37" s="74" t="str" cm="1">
        <f t="array" ref="BA37">IF($AB37="","",IF(IFERROR(_xlfn.IFS($AT37="Devis 1",IFERROR(VALUE(TRIM(SUBSTITUTE(AM37,CHAR(160),""))),0),$AT37="Devis 2",IFERROR(VALUE(TRIM(SUBSTITUTE(AP37,CHAR(160),""))),0),$AT37="Devis 3",IFERROR(VALUE(TRIM(SUBSTITUTE(AS37,CHAR(160),""))),0)),0)*IFERROR(VALUE(TRIM(SUBSTITUTE($AB37,CHAR(160),""))),0)=0,"",IFERROR(_xlfn.IFS($AT37="Devis 1",IFERROR(VALUE(TRIM(SUBSTITUTE(AM37,CHAR(160),""))),0),$AT37="Devis 2",IFERROR(VALUE(TRIM(SUBSTITUTE(AP37,CHAR(160),""))),0),$AT37="Devis 3",IFERROR(VALUE(TRIM(SUBSTITUTE(AS37,CHAR(160),""))),0)),0)*IFERROR(VALUE(TRIM(SUBSTITUTE($AB37,CHAR(160),""))),0)))</f>
        <v/>
      </c>
      <c r="BB37" s="45"/>
      <c r="BC37" s="13" t="str" cm="1">
        <f t="array" ref="BC37">IF(OR(BA37="",AX37="",AY37="",AV37="",AZ37="",AW37=""),"",_xlfn.IFS((IFERROR(VALUE(TRIM(SUBSTITUTE(BA37,CHAR(160),""))),0))&gt;(IFERROR(VALUE(TRIM(SUBSTITUTE(AX37,CHAR(160),""))),0)),"KO : Le montant retenu TTC est supérieur au montant raisonnable TTC. Merci de revoir la ligne de dépense ou plafonner son montant.",(IFERROR(VALUE(TRIM(SUBSTITUTE(AY37,CHAR(160),""))),0))&gt;(IFERROR(VALUE(TRIM(SUBSTITUTE(AV37,CHAR(160),""))),0)),"Attention : Le montant retenu HT est supérieur au montant HT raisonnable. Merci de revoir la ligne de dépense, plafonner son montant, ou justifier la reventillation HT / TVA.",(IFERROR(VALUE(TRIM(SUBSTITUTE(AZ37,CHAR(160),""))),0))&gt;(IFERROR(VALUE(TRIM(SUBSTITUTE(AW37,CHAR(160),""))),0)),"Attention : Le montant TVA retenu est supérieur au montant TVA raisonnable. Merci de revoir la ligne de dépense, plafonner son montant, ou justifier la reventillation HT / TVA.",(IFERROR(VALUE(TRIM(SUBSTITUTE(BA37,CHAR(160),""))),0))=0,"",(IFERROR(VALUE(TRIM(SUBSTITUTE(AX37,CHAR(160),""))),0))=(IFERROR(VALUE(TRIM(SUBSTITUTE(BA37,CHAR(160),""))),0)),"OK",(IFERROR(VALUE(TRIM(SUBSTITUTE(AX37,CHAR(160),""))),0))&gt;(IFERROR(VALUE(TRIM(SUBSTITUTE(BA37,CHAR(160),""))),0))," OK : Montant instruit inférieur au montant raisonnable.",TRUE,""))</f>
        <v/>
      </c>
      <c r="BD37" s="187" t="str" cm="1">
        <f t="array" ref="BD37">IF(OR(BA37="",Y37="",AY37="",W37="",AZ37="",X37=""),"",_xlfn.IFS((IFERROR(VALUE(TRIM(SUBSTITUTE(BA37,CHAR(160),""))),0))&gt;(IFERROR(VALUE(TRIM(SUBSTITUTE(Y37,CHAR(160),""))),0)),"KO : Le montant retenu TTC est supérieur au montant présenté TTC. Merci de revoir la ligne de dépense ou plafonner son montant.",(IFERROR(VALUE(TRIM(SUBSTITUTE(AY37,CHAR(160),""))),0))&gt;(IFERROR(VALUE(TRIM(SUBSTITUTE(W37,CHAR(160),""))),0)),"Attention : Le montant retenu HT est supérieur au montant HT présenté. Merci de revoir la ligne de dépense,plafonner son montant,ou justifier la reventillation HT/TVA.",(IFERROR(VALUE(TRIM(SUBSTITUTE(AZ37,CHAR(160),""))),0))&gt;(IFERROR(VALUE(TRIM(SUBSTITUTE(X37,CHAR(160),""))),0)),"Attention : Le montant TVA retenu est supérieur au montant TVA présenté. Merci de revoir la ligne de dépense,plafonner son montant,ou justifier la reventillation HT/TVA.",(IFERROR(VALUE(TRIM(SUBSTITUTE(Y37,CHAR(160),""))),0))=0,"",(IFERROR(VALUE(TRIM(SUBSTITUTE(BA37,CHAR(160),""))),0))=(IFERROR(VALUE(TRIM(SUBSTITUTE(Y37,CHAR(160),""))),0)),"OK",
OR((IFERROR(VALUE(TRIM(SUBSTITUTE(BA37,CHAR(160),""))),0))=0,(IFERROR(VALUE(TRIM(SUBSTITUTE(AY37,CHAR(160),""))),0))=0),"Attention : montant présenté entièrement écarté",(IFERROR(VALUE(TRIM(SUBSTITUTE(BA37,CHAR(160),""))),0))&lt;(IFERROR(VALUE(TRIM(SUBSTITUTE(Y37,CHAR(160),""))),0)),"Attention : montant présenté partiellement écarté",TRUE,""))</f>
        <v/>
      </c>
      <c r="BE37" s="44" t="str">
        <f t="shared" si="25"/>
        <v/>
      </c>
      <c r="BF37" s="44" t="str">
        <f t="shared" si="26"/>
        <v/>
      </c>
      <c r="BG37" s="21" t="str">
        <f t="shared" si="27"/>
        <v/>
      </c>
    </row>
    <row r="38" spans="1:59" ht="15" customHeight="1">
      <c r="A38" s="70">
        <v>29</v>
      </c>
      <c r="B38" s="784"/>
      <c r="C38" s="7"/>
      <c r="D38" s="11"/>
      <c r="E38" s="451"/>
      <c r="F38" s="7"/>
      <c r="G38" s="7"/>
      <c r="H38" s="7"/>
      <c r="I38" s="7"/>
      <c r="J38" s="17"/>
      <c r="K38" s="7"/>
      <c r="L38" s="132"/>
      <c r="M38" s="138"/>
      <c r="N38" s="8"/>
      <c r="O38" s="35" t="str">
        <f t="shared" si="0"/>
        <v/>
      </c>
      <c r="P38" s="9"/>
      <c r="Q38" s="8"/>
      <c r="R38" s="35" t="str">
        <f t="shared" si="1"/>
        <v/>
      </c>
      <c r="S38" s="10"/>
      <c r="T38" s="8"/>
      <c r="U38" s="139" t="str">
        <f t="shared" si="2"/>
        <v/>
      </c>
      <c r="V38" s="147"/>
      <c r="W38" s="770" t="str" cm="1">
        <f t="array" ref="W38">IF((_xlfn.IFS(TRIM(SUBSTITUTE(V38,CHAR(160),""))="Devis 1",IFERROR(VALUE(TRIM(SUBSTITUTE(M38,CHAR(160),""))),0),TRIM(SUBSTITUTE(V38,CHAR(160),""))="Devis 2",IFERROR(VALUE(TRIM(SUBSTITUTE(P38,CHAR(160),""))),0),TRIM(SUBSTITUTE(V38,CHAR(160),""))="Devis 3",IFERROR(VALUE(TRIM(SUBSTITUTE(S38,CHAR(160),""))),0),TRUE,0)*IFERROR(VALUE(TRIM(SUBSTITUTE(D38,CHAR(160),""))),0))=0,"",_xlfn.IFS(TRIM(SUBSTITUTE(V38,CHAR(160),""))="Devis 1",IFERROR(VALUE(TRIM(SUBSTITUTE(M38,CHAR(160),""))),0),TRIM(SUBSTITUTE(V38,CHAR(160),""))="Devis 2",IFERROR(VALUE(TRIM(SUBSTITUTE(P38,CHAR(160),""))),0),TRIM(SUBSTITUTE(V38,CHAR(160),""))="Devis 3",IFERROR(VALUE(TRIM(SUBSTITUTE(S38,CHAR(160),""))),0),TRUE,0)*IFERROR(VALUE(TRIM(SUBSTITUTE(D38,CHAR(160),""))),0))</f>
        <v/>
      </c>
      <c r="X38" s="73" t="str" cm="1">
        <f t="array" ref="X38">IF(_xlfn.IFS(TRIM(SUBSTITUTE(V38,CHAR(160),""))="Devis 1",IFERROR(VALUE(TRIM(SUBSTITUTE(N38,CHAR(160),""))),0),TRIM(SUBSTITUTE(V38,CHAR(160),""))="Devis 2",IFERROR(VALUE(TRIM(SUBSTITUTE(Q38,CHAR(160),""))),0),TRIM(SUBSTITUTE(V38,CHAR(160),""))="Devis 3",IFERROR(VALUE(TRIM(SUBSTITUTE(T38,CHAR(160),""))),0),TRUE,0)*IFERROR(VALUE(TRIM(SUBSTITUTE(D38,CHAR(160),""))),0)=0,IF(W38&lt;&gt;"",0,""),_xlfn.IFS(TRIM(SUBSTITUTE(V38,CHAR(160),""))="Devis 1",IFERROR(VALUE(TRIM(SUBSTITUTE(N38,CHAR(160),""))),0),TRIM(SUBSTITUTE(V38,CHAR(160),""))="Devis 2",IFERROR(VALUE(TRIM(SUBSTITUTE(Q38,CHAR(160),""))),0),TRIM(SUBSTITUTE(V38,CHAR(160),""))="Devis 3",IFERROR(VALUE(TRIM(SUBSTITUTE(T38,CHAR(160),""))),0),TRUE,0)*IFERROR(VALUE(TRIM(SUBSTITUTE(D38,CHAR(160),""))),0))</f>
        <v/>
      </c>
      <c r="Y38" s="149" t="str">
        <f t="shared" si="3"/>
        <v/>
      </c>
      <c r="Z38" s="150"/>
      <c r="AA38" s="36" t="str">
        <f t="shared" si="4"/>
        <v/>
      </c>
      <c r="AB38" s="37" t="str">
        <f t="shared" si="30"/>
        <v/>
      </c>
      <c r="AC38" s="37" t="str">
        <f t="shared" si="31"/>
        <v/>
      </c>
      <c r="AD38" s="14" t="str">
        <f t="shared" si="5"/>
        <v/>
      </c>
      <c r="AE38" s="14" t="str">
        <f t="shared" si="6"/>
        <v/>
      </c>
      <c r="AF38" s="14" t="str">
        <f t="shared" si="7"/>
        <v/>
      </c>
      <c r="AG38" s="14" t="str">
        <f t="shared" si="8"/>
        <v/>
      </c>
      <c r="AH38" s="38" t="str">
        <f t="shared" si="9"/>
        <v/>
      </c>
      <c r="AI38" s="14" t="str">
        <f t="shared" si="10"/>
        <v/>
      </c>
      <c r="AJ38" s="39" t="str">
        <f t="shared" si="11"/>
        <v/>
      </c>
      <c r="AK38" s="40" t="str">
        <f t="shared" si="12"/>
        <v/>
      </c>
      <c r="AL38" s="20" t="str">
        <f t="shared" si="13"/>
        <v/>
      </c>
      <c r="AM38" s="35" t="str">
        <f t="shared" si="14"/>
        <v/>
      </c>
      <c r="AN38" s="41" t="str">
        <f t="shared" si="15"/>
        <v/>
      </c>
      <c r="AO38" s="20" t="str">
        <f t="shared" si="16"/>
        <v/>
      </c>
      <c r="AP38" s="35" t="str">
        <f t="shared" si="17"/>
        <v/>
      </c>
      <c r="AQ38" s="42" t="str">
        <f t="shared" si="18"/>
        <v/>
      </c>
      <c r="AR38" s="20" t="str">
        <f t="shared" si="19"/>
        <v/>
      </c>
      <c r="AS38" s="43" t="str">
        <f t="shared" si="20"/>
        <v/>
      </c>
      <c r="AT38" s="36" t="str">
        <f t="shared" si="21"/>
        <v/>
      </c>
      <c r="AU38" s="184"/>
      <c r="AV38" s="44" t="str">
        <f t="shared" si="22"/>
        <v/>
      </c>
      <c r="AW38" s="44" t="str">
        <f t="shared" si="23"/>
        <v/>
      </c>
      <c r="AX38" s="44" t="str">
        <f t="shared" si="24"/>
        <v/>
      </c>
      <c r="AY38" s="74" t="str" cm="1">
        <f t="array" ref="AY38">IF($AB38="","",IF((IFERROR(_xlfn.IFS($AT38="Devis 1",(IFERROR(VALUE(TRIM(SUBSTITUTE(AK38,CHAR(160),""))),0)),$AT38="Devis 2",(IFERROR(VALUE(TRIM(SUBSTITUTE(AN38,CHAR(160),""))),0)),$AT38="Devis 3",(IFERROR(VALUE(TRIM(SUBSTITUTE(AQ38,CHAR(160),""))),0))),0))*(IFERROR(VALUE(TRIM(SUBSTITUTE($AB38,CHAR(160),""))),0))=0,"",(IFERROR(_xlfn.IFS($AT38="Devis 1",(IFERROR(VALUE(TRIM(SUBSTITUTE(AK38,CHAR(160),""))),0)),$AT38="Devis 2",(IFERROR(VALUE(TRIM(SUBSTITUTE(AN38,CHAR(160),""))),0)),$AT38="Devis 3",(IFERROR(VALUE(TRIM(SUBSTITUTE(AQ38,CHAR(160),""))),0))),0))*(IFERROR(VALUE(TRIM(SUBSTITUTE($AB38,CHAR(160),""))),0))))</f>
        <v/>
      </c>
      <c r="AZ38" s="74" t="str" cm="1">
        <f t="array" ref="AZ38">IF($AB38="","",IF((IFERROR(_xlfn.IFS(TRIM(SUBSTITUTE($AT38,CHAR(160),""))="Devis 1", IFERROR(VALUE(TRIM(SUBSTITUTE(AL38,CHAR(160),""))),0),TRIM(SUBSTITUTE($AT38,CHAR(160),""))="Devis 2", IFERROR(VALUE(TRIM(SUBSTITUTE(AO38,CHAR(160),""))),0),TRIM(SUBSTITUTE($AT38,CHAR(160),""))="Devis 3", IFERROR(VALUE(TRIM(SUBSTITUTE(AR38,CHAR(160),""))),0)),0) * IFERROR(VALUE(TRIM(SUBSTITUTE($AB38,CHAR(160),""))),0)) = 0,IF(AY38&lt;&gt;"",0,""),(IFERROR(_xlfn.IFS(TRIM(SUBSTITUTE($AT38,CHAR(160),""))="Devis 1", IFERROR(VALUE(TRIM(SUBSTITUTE(AL38,CHAR(160),""))),0),TRIM(SUBSTITUTE($AT38,CHAR(160),""))="Devis 2", IFERROR(VALUE(TRIM(SUBSTITUTE(AO38,CHAR(160),""))),0),TRIM(SUBSTITUTE($AT38,CHAR(160),""))="Devis 3", IFERROR(VALUE(TRIM(SUBSTITUTE(AR38,CHAR(160),""))),0)),0) * IFERROR(VALUE(TRIM(SUBSTITUTE($AB38,CHAR(160),""))),0))))</f>
        <v/>
      </c>
      <c r="BA38" s="74" t="str" cm="1">
        <f t="array" ref="BA38">IF($AB38="","",IF(IFERROR(_xlfn.IFS($AT38="Devis 1",IFERROR(VALUE(TRIM(SUBSTITUTE(AM38,CHAR(160),""))),0),$AT38="Devis 2",IFERROR(VALUE(TRIM(SUBSTITUTE(AP38,CHAR(160),""))),0),$AT38="Devis 3",IFERROR(VALUE(TRIM(SUBSTITUTE(AS38,CHAR(160),""))),0)),0)*IFERROR(VALUE(TRIM(SUBSTITUTE($AB38,CHAR(160),""))),0)=0,"",IFERROR(_xlfn.IFS($AT38="Devis 1",IFERROR(VALUE(TRIM(SUBSTITUTE(AM38,CHAR(160),""))),0),$AT38="Devis 2",IFERROR(VALUE(TRIM(SUBSTITUTE(AP38,CHAR(160),""))),0),$AT38="Devis 3",IFERROR(VALUE(TRIM(SUBSTITUTE(AS38,CHAR(160),""))),0)),0)*IFERROR(VALUE(TRIM(SUBSTITUTE($AB38,CHAR(160),""))),0)))</f>
        <v/>
      </c>
      <c r="BB38" s="45"/>
      <c r="BC38" s="13" t="str" cm="1">
        <f t="array" ref="BC38">IF(OR(BA38="",AX38="",AY38="",AV38="",AZ38="",AW38=""),"",_xlfn.IFS((IFERROR(VALUE(TRIM(SUBSTITUTE(BA38,CHAR(160),""))),0))&gt;(IFERROR(VALUE(TRIM(SUBSTITUTE(AX38,CHAR(160),""))),0)),"KO : Le montant retenu TTC est supérieur au montant raisonnable TTC. Merci de revoir la ligne de dépense ou plafonner son montant.",(IFERROR(VALUE(TRIM(SUBSTITUTE(AY38,CHAR(160),""))),0))&gt;(IFERROR(VALUE(TRIM(SUBSTITUTE(AV38,CHAR(160),""))),0)),"Attention : Le montant retenu HT est supérieur au montant HT raisonnable. Merci de revoir la ligne de dépense, plafonner son montant, ou justifier la reventillation HT / TVA.",(IFERROR(VALUE(TRIM(SUBSTITUTE(AZ38,CHAR(160),""))),0))&gt;(IFERROR(VALUE(TRIM(SUBSTITUTE(AW38,CHAR(160),""))),0)),"Attention : Le montant TVA retenu est supérieur au montant TVA raisonnable. Merci de revoir la ligne de dépense, plafonner son montant, ou justifier la reventillation HT / TVA.",(IFERROR(VALUE(TRIM(SUBSTITUTE(BA38,CHAR(160),""))),0))=0,"",(IFERROR(VALUE(TRIM(SUBSTITUTE(AX38,CHAR(160),""))),0))=(IFERROR(VALUE(TRIM(SUBSTITUTE(BA38,CHAR(160),""))),0)),"OK",(IFERROR(VALUE(TRIM(SUBSTITUTE(AX38,CHAR(160),""))),0))&gt;(IFERROR(VALUE(TRIM(SUBSTITUTE(BA38,CHAR(160),""))),0))," OK : Montant instruit inférieur au montant raisonnable.",TRUE,""))</f>
        <v/>
      </c>
      <c r="BD38" s="187" t="str" cm="1">
        <f t="array" ref="BD38">IF(OR(BA38="",Y38="",AY38="",W38="",AZ38="",X38=""),"",_xlfn.IFS((IFERROR(VALUE(TRIM(SUBSTITUTE(BA38,CHAR(160),""))),0))&gt;(IFERROR(VALUE(TRIM(SUBSTITUTE(Y38,CHAR(160),""))),0)),"KO : Le montant retenu TTC est supérieur au montant présenté TTC. Merci de revoir la ligne de dépense ou plafonner son montant.",(IFERROR(VALUE(TRIM(SUBSTITUTE(AY38,CHAR(160),""))),0))&gt;(IFERROR(VALUE(TRIM(SUBSTITUTE(W38,CHAR(160),""))),0)),"Attention : Le montant retenu HT est supérieur au montant HT présenté. Merci de revoir la ligne de dépense,plafonner son montant,ou justifier la reventillation HT/TVA.",(IFERROR(VALUE(TRIM(SUBSTITUTE(AZ38,CHAR(160),""))),0))&gt;(IFERROR(VALUE(TRIM(SUBSTITUTE(X38,CHAR(160),""))),0)),"Attention : Le montant TVA retenu est supérieur au montant TVA présenté. Merci de revoir la ligne de dépense,plafonner son montant,ou justifier la reventillation HT/TVA.",(IFERROR(VALUE(TRIM(SUBSTITUTE(Y38,CHAR(160),""))),0))=0,"",(IFERROR(VALUE(TRIM(SUBSTITUTE(BA38,CHAR(160),""))),0))=(IFERROR(VALUE(TRIM(SUBSTITUTE(Y38,CHAR(160),""))),0)),"OK",
OR((IFERROR(VALUE(TRIM(SUBSTITUTE(BA38,CHAR(160),""))),0))=0,(IFERROR(VALUE(TRIM(SUBSTITUTE(AY38,CHAR(160),""))),0))=0),"Attention : montant présenté entièrement écarté",(IFERROR(VALUE(TRIM(SUBSTITUTE(BA38,CHAR(160),""))),0))&lt;(IFERROR(VALUE(TRIM(SUBSTITUTE(Y38,CHAR(160),""))),0)),"Attention : montant présenté partiellement écarté",TRUE,""))</f>
        <v/>
      </c>
      <c r="BE38" s="44" t="str">
        <f t="shared" si="25"/>
        <v/>
      </c>
      <c r="BF38" s="44" t="str">
        <f t="shared" si="26"/>
        <v/>
      </c>
      <c r="BG38" s="21" t="str">
        <f t="shared" si="27"/>
        <v/>
      </c>
    </row>
    <row r="39" spans="1:59" ht="15" customHeight="1">
      <c r="A39" s="70">
        <v>30</v>
      </c>
      <c r="B39" s="784"/>
      <c r="C39" s="7"/>
      <c r="D39" s="11"/>
      <c r="E39" s="451"/>
      <c r="F39" s="7"/>
      <c r="G39" s="7"/>
      <c r="H39" s="7"/>
      <c r="I39" s="7"/>
      <c r="J39" s="17"/>
      <c r="K39" s="7"/>
      <c r="L39" s="132"/>
      <c r="M39" s="138"/>
      <c r="N39" s="8"/>
      <c r="O39" s="35" t="str">
        <f t="shared" si="0"/>
        <v/>
      </c>
      <c r="P39" s="9"/>
      <c r="Q39" s="8"/>
      <c r="R39" s="35" t="str">
        <f t="shared" si="1"/>
        <v/>
      </c>
      <c r="S39" s="10"/>
      <c r="T39" s="8"/>
      <c r="U39" s="139" t="str">
        <f t="shared" si="2"/>
        <v/>
      </c>
      <c r="V39" s="147"/>
      <c r="W39" s="770" t="str" cm="1">
        <f t="array" ref="W39">IF((_xlfn.IFS(TRIM(SUBSTITUTE(V39,CHAR(160),""))="Devis 1",IFERROR(VALUE(TRIM(SUBSTITUTE(M39,CHAR(160),""))),0),TRIM(SUBSTITUTE(V39,CHAR(160),""))="Devis 2",IFERROR(VALUE(TRIM(SUBSTITUTE(P39,CHAR(160),""))),0),TRIM(SUBSTITUTE(V39,CHAR(160),""))="Devis 3",IFERROR(VALUE(TRIM(SUBSTITUTE(S39,CHAR(160),""))),0),TRUE,0)*IFERROR(VALUE(TRIM(SUBSTITUTE(D39,CHAR(160),""))),0))=0,"",_xlfn.IFS(TRIM(SUBSTITUTE(V39,CHAR(160),""))="Devis 1",IFERROR(VALUE(TRIM(SUBSTITUTE(M39,CHAR(160),""))),0),TRIM(SUBSTITUTE(V39,CHAR(160),""))="Devis 2",IFERROR(VALUE(TRIM(SUBSTITUTE(P39,CHAR(160),""))),0),TRIM(SUBSTITUTE(V39,CHAR(160),""))="Devis 3",IFERROR(VALUE(TRIM(SUBSTITUTE(S39,CHAR(160),""))),0),TRUE,0)*IFERROR(VALUE(TRIM(SUBSTITUTE(D39,CHAR(160),""))),0))</f>
        <v/>
      </c>
      <c r="X39" s="73" t="str" cm="1">
        <f t="array" ref="X39">IF(_xlfn.IFS(TRIM(SUBSTITUTE(V39,CHAR(160),""))="Devis 1",IFERROR(VALUE(TRIM(SUBSTITUTE(N39,CHAR(160),""))),0),TRIM(SUBSTITUTE(V39,CHAR(160),""))="Devis 2",IFERROR(VALUE(TRIM(SUBSTITUTE(Q39,CHAR(160),""))),0),TRIM(SUBSTITUTE(V39,CHAR(160),""))="Devis 3",IFERROR(VALUE(TRIM(SUBSTITUTE(T39,CHAR(160),""))),0),TRUE,0)*IFERROR(VALUE(TRIM(SUBSTITUTE(D39,CHAR(160),""))),0)=0,IF(W39&lt;&gt;"",0,""),_xlfn.IFS(TRIM(SUBSTITUTE(V39,CHAR(160),""))="Devis 1",IFERROR(VALUE(TRIM(SUBSTITUTE(N39,CHAR(160),""))),0),TRIM(SUBSTITUTE(V39,CHAR(160),""))="Devis 2",IFERROR(VALUE(TRIM(SUBSTITUTE(Q39,CHAR(160),""))),0),TRIM(SUBSTITUTE(V39,CHAR(160),""))="Devis 3",IFERROR(VALUE(TRIM(SUBSTITUTE(T39,CHAR(160),""))),0),TRUE,0)*IFERROR(VALUE(TRIM(SUBSTITUTE(D39,CHAR(160),""))),0))</f>
        <v/>
      </c>
      <c r="Y39" s="149" t="str">
        <f t="shared" si="3"/>
        <v/>
      </c>
      <c r="Z39" s="150"/>
      <c r="AA39" s="36" t="str">
        <f t="shared" si="4"/>
        <v/>
      </c>
      <c r="AB39" s="37" t="str">
        <f t="shared" si="30"/>
        <v/>
      </c>
      <c r="AC39" s="37" t="str">
        <f t="shared" si="31"/>
        <v/>
      </c>
      <c r="AD39" s="14" t="str">
        <f t="shared" si="5"/>
        <v/>
      </c>
      <c r="AE39" s="14" t="str">
        <f t="shared" si="6"/>
        <v/>
      </c>
      <c r="AF39" s="14" t="str">
        <f t="shared" si="7"/>
        <v/>
      </c>
      <c r="AG39" s="14" t="str">
        <f t="shared" si="8"/>
        <v/>
      </c>
      <c r="AH39" s="38" t="str">
        <f t="shared" si="9"/>
        <v/>
      </c>
      <c r="AI39" s="14" t="str">
        <f t="shared" si="10"/>
        <v/>
      </c>
      <c r="AJ39" s="39" t="str">
        <f t="shared" si="11"/>
        <v/>
      </c>
      <c r="AK39" s="40" t="str">
        <f t="shared" si="12"/>
        <v/>
      </c>
      <c r="AL39" s="20" t="str">
        <f t="shared" si="13"/>
        <v/>
      </c>
      <c r="AM39" s="35" t="str">
        <f t="shared" si="14"/>
        <v/>
      </c>
      <c r="AN39" s="41" t="str">
        <f t="shared" si="15"/>
        <v/>
      </c>
      <c r="AO39" s="20" t="str">
        <f t="shared" si="16"/>
        <v/>
      </c>
      <c r="AP39" s="35" t="str">
        <f t="shared" si="17"/>
        <v/>
      </c>
      <c r="AQ39" s="42" t="str">
        <f t="shared" si="18"/>
        <v/>
      </c>
      <c r="AR39" s="20" t="str">
        <f t="shared" si="19"/>
        <v/>
      </c>
      <c r="AS39" s="43" t="str">
        <f t="shared" si="20"/>
        <v/>
      </c>
      <c r="AT39" s="36" t="str">
        <f t="shared" si="21"/>
        <v/>
      </c>
      <c r="AU39" s="184"/>
      <c r="AV39" s="44" t="str">
        <f t="shared" si="22"/>
        <v/>
      </c>
      <c r="AW39" s="44" t="str">
        <f t="shared" si="23"/>
        <v/>
      </c>
      <c r="AX39" s="44" t="str">
        <f t="shared" si="24"/>
        <v/>
      </c>
      <c r="AY39" s="74" t="str" cm="1">
        <f t="array" ref="AY39">IF($AB39="","",IF((IFERROR(_xlfn.IFS($AT39="Devis 1",(IFERROR(VALUE(TRIM(SUBSTITUTE(AK39,CHAR(160),""))),0)),$AT39="Devis 2",(IFERROR(VALUE(TRIM(SUBSTITUTE(AN39,CHAR(160),""))),0)),$AT39="Devis 3",(IFERROR(VALUE(TRIM(SUBSTITUTE(AQ39,CHAR(160),""))),0))),0))*(IFERROR(VALUE(TRIM(SUBSTITUTE($AB39,CHAR(160),""))),0))=0,"",(IFERROR(_xlfn.IFS($AT39="Devis 1",(IFERROR(VALUE(TRIM(SUBSTITUTE(AK39,CHAR(160),""))),0)),$AT39="Devis 2",(IFERROR(VALUE(TRIM(SUBSTITUTE(AN39,CHAR(160),""))),0)),$AT39="Devis 3",(IFERROR(VALUE(TRIM(SUBSTITUTE(AQ39,CHAR(160),""))),0))),0))*(IFERROR(VALUE(TRIM(SUBSTITUTE($AB39,CHAR(160),""))),0))))</f>
        <v/>
      </c>
      <c r="AZ39" s="74" t="str" cm="1">
        <f t="array" ref="AZ39">IF($AB39="","",IF((IFERROR(_xlfn.IFS(TRIM(SUBSTITUTE($AT39,CHAR(160),""))="Devis 1", IFERROR(VALUE(TRIM(SUBSTITUTE(AL39,CHAR(160),""))),0),TRIM(SUBSTITUTE($AT39,CHAR(160),""))="Devis 2", IFERROR(VALUE(TRIM(SUBSTITUTE(AO39,CHAR(160),""))),0),TRIM(SUBSTITUTE($AT39,CHAR(160),""))="Devis 3", IFERROR(VALUE(TRIM(SUBSTITUTE(AR39,CHAR(160),""))),0)),0) * IFERROR(VALUE(TRIM(SUBSTITUTE($AB39,CHAR(160),""))),0)) = 0,IF(AY39&lt;&gt;"",0,""),(IFERROR(_xlfn.IFS(TRIM(SUBSTITUTE($AT39,CHAR(160),""))="Devis 1", IFERROR(VALUE(TRIM(SUBSTITUTE(AL39,CHAR(160),""))),0),TRIM(SUBSTITUTE($AT39,CHAR(160),""))="Devis 2", IFERROR(VALUE(TRIM(SUBSTITUTE(AO39,CHAR(160),""))),0),TRIM(SUBSTITUTE($AT39,CHAR(160),""))="Devis 3", IFERROR(VALUE(TRIM(SUBSTITUTE(AR39,CHAR(160),""))),0)),0) * IFERROR(VALUE(TRIM(SUBSTITUTE($AB39,CHAR(160),""))),0))))</f>
        <v/>
      </c>
      <c r="BA39" s="74" t="str" cm="1">
        <f t="array" ref="BA39">IF($AB39="","",IF(IFERROR(_xlfn.IFS($AT39="Devis 1",IFERROR(VALUE(TRIM(SUBSTITUTE(AM39,CHAR(160),""))),0),$AT39="Devis 2",IFERROR(VALUE(TRIM(SUBSTITUTE(AP39,CHAR(160),""))),0),$AT39="Devis 3",IFERROR(VALUE(TRIM(SUBSTITUTE(AS39,CHAR(160),""))),0)),0)*IFERROR(VALUE(TRIM(SUBSTITUTE($AB39,CHAR(160),""))),0)=0,"",IFERROR(_xlfn.IFS($AT39="Devis 1",IFERROR(VALUE(TRIM(SUBSTITUTE(AM39,CHAR(160),""))),0),$AT39="Devis 2",IFERROR(VALUE(TRIM(SUBSTITUTE(AP39,CHAR(160),""))),0),$AT39="Devis 3",IFERROR(VALUE(TRIM(SUBSTITUTE(AS39,CHAR(160),""))),0)),0)*IFERROR(VALUE(TRIM(SUBSTITUTE($AB39,CHAR(160),""))),0)))</f>
        <v/>
      </c>
      <c r="BB39" s="45"/>
      <c r="BC39" s="13" t="str" cm="1">
        <f t="array" ref="BC39">IF(OR(BA39="",AX39="",AY39="",AV39="",AZ39="",AW39=""),"",_xlfn.IFS((IFERROR(VALUE(TRIM(SUBSTITUTE(BA39,CHAR(160),""))),0))&gt;(IFERROR(VALUE(TRIM(SUBSTITUTE(AX39,CHAR(160),""))),0)),"KO : Le montant retenu TTC est supérieur au montant raisonnable TTC. Merci de revoir la ligne de dépense ou plafonner son montant.",(IFERROR(VALUE(TRIM(SUBSTITUTE(AY39,CHAR(160),""))),0))&gt;(IFERROR(VALUE(TRIM(SUBSTITUTE(AV39,CHAR(160),""))),0)),"Attention : Le montant retenu HT est supérieur au montant HT raisonnable. Merci de revoir la ligne de dépense, plafonner son montant, ou justifier la reventillation HT / TVA.",(IFERROR(VALUE(TRIM(SUBSTITUTE(AZ39,CHAR(160),""))),0))&gt;(IFERROR(VALUE(TRIM(SUBSTITUTE(AW39,CHAR(160),""))),0)),"Attention : Le montant TVA retenu est supérieur au montant TVA raisonnable. Merci de revoir la ligne de dépense, plafonner son montant, ou justifier la reventillation HT / TVA.",(IFERROR(VALUE(TRIM(SUBSTITUTE(BA39,CHAR(160),""))),0))=0,"",(IFERROR(VALUE(TRIM(SUBSTITUTE(AX39,CHAR(160),""))),0))=(IFERROR(VALUE(TRIM(SUBSTITUTE(BA39,CHAR(160),""))),0)),"OK",(IFERROR(VALUE(TRIM(SUBSTITUTE(AX39,CHAR(160),""))),0))&gt;(IFERROR(VALUE(TRIM(SUBSTITUTE(BA39,CHAR(160),""))),0))," OK : Montant instruit inférieur au montant raisonnable.",TRUE,""))</f>
        <v/>
      </c>
      <c r="BD39" s="187" t="str" cm="1">
        <f t="array" ref="BD39">IF(OR(BA39="",Y39="",AY39="",W39="",AZ39="",X39=""),"",_xlfn.IFS((IFERROR(VALUE(TRIM(SUBSTITUTE(BA39,CHAR(160),""))),0))&gt;(IFERROR(VALUE(TRIM(SUBSTITUTE(Y39,CHAR(160),""))),0)),"KO : Le montant retenu TTC est supérieur au montant présenté TTC. Merci de revoir la ligne de dépense ou plafonner son montant.",(IFERROR(VALUE(TRIM(SUBSTITUTE(AY39,CHAR(160),""))),0))&gt;(IFERROR(VALUE(TRIM(SUBSTITUTE(W39,CHAR(160),""))),0)),"Attention : Le montant retenu HT est supérieur au montant HT présenté. Merci de revoir la ligne de dépense,plafonner son montant,ou justifier la reventillation HT/TVA.",(IFERROR(VALUE(TRIM(SUBSTITUTE(AZ39,CHAR(160),""))),0))&gt;(IFERROR(VALUE(TRIM(SUBSTITUTE(X39,CHAR(160),""))),0)),"Attention : Le montant TVA retenu est supérieur au montant TVA présenté. Merci de revoir la ligne de dépense,plafonner son montant,ou justifier la reventillation HT/TVA.",(IFERROR(VALUE(TRIM(SUBSTITUTE(Y39,CHAR(160),""))),0))=0,"",(IFERROR(VALUE(TRIM(SUBSTITUTE(BA39,CHAR(160),""))),0))=(IFERROR(VALUE(TRIM(SUBSTITUTE(Y39,CHAR(160),""))),0)),"OK",
OR((IFERROR(VALUE(TRIM(SUBSTITUTE(BA39,CHAR(160),""))),0))=0,(IFERROR(VALUE(TRIM(SUBSTITUTE(AY39,CHAR(160),""))),0))=0),"Attention : montant présenté entièrement écarté",(IFERROR(VALUE(TRIM(SUBSTITUTE(BA39,CHAR(160),""))),0))&lt;(IFERROR(VALUE(TRIM(SUBSTITUTE(Y39,CHAR(160),""))),0)),"Attention : montant présenté partiellement écarté",TRUE,""))</f>
        <v/>
      </c>
      <c r="BE39" s="44" t="str">
        <f t="shared" si="25"/>
        <v/>
      </c>
      <c r="BF39" s="44" t="str">
        <f t="shared" si="26"/>
        <v/>
      </c>
      <c r="BG39" s="21" t="str">
        <f t="shared" si="27"/>
        <v/>
      </c>
    </row>
    <row r="40" spans="1:59" ht="15" customHeight="1">
      <c r="A40" s="70">
        <v>31</v>
      </c>
      <c r="B40" s="784"/>
      <c r="C40" s="7"/>
      <c r="D40" s="11"/>
      <c r="E40" s="451"/>
      <c r="F40" s="7"/>
      <c r="G40" s="7"/>
      <c r="H40" s="7"/>
      <c r="I40" s="7"/>
      <c r="J40" s="17"/>
      <c r="K40" s="7"/>
      <c r="L40" s="132"/>
      <c r="M40" s="138"/>
      <c r="N40" s="8"/>
      <c r="O40" s="35" t="str">
        <f t="shared" si="0"/>
        <v/>
      </c>
      <c r="P40" s="9"/>
      <c r="Q40" s="8"/>
      <c r="R40" s="35" t="str">
        <f t="shared" si="1"/>
        <v/>
      </c>
      <c r="S40" s="10"/>
      <c r="T40" s="8"/>
      <c r="U40" s="139" t="str">
        <f t="shared" si="2"/>
        <v/>
      </c>
      <c r="V40" s="147"/>
      <c r="W40" s="770" t="str" cm="1">
        <f t="array" ref="W40">IF((_xlfn.IFS(TRIM(SUBSTITUTE(V40,CHAR(160),""))="Devis 1",IFERROR(VALUE(TRIM(SUBSTITUTE(M40,CHAR(160),""))),0),TRIM(SUBSTITUTE(V40,CHAR(160),""))="Devis 2",IFERROR(VALUE(TRIM(SUBSTITUTE(P40,CHAR(160),""))),0),TRIM(SUBSTITUTE(V40,CHAR(160),""))="Devis 3",IFERROR(VALUE(TRIM(SUBSTITUTE(S40,CHAR(160),""))),0),TRUE,0)*IFERROR(VALUE(TRIM(SUBSTITUTE(D40,CHAR(160),""))),0))=0,"",_xlfn.IFS(TRIM(SUBSTITUTE(V40,CHAR(160),""))="Devis 1",IFERROR(VALUE(TRIM(SUBSTITUTE(M40,CHAR(160),""))),0),TRIM(SUBSTITUTE(V40,CHAR(160),""))="Devis 2",IFERROR(VALUE(TRIM(SUBSTITUTE(P40,CHAR(160),""))),0),TRIM(SUBSTITUTE(V40,CHAR(160),""))="Devis 3",IFERROR(VALUE(TRIM(SUBSTITUTE(S40,CHAR(160),""))),0),TRUE,0)*IFERROR(VALUE(TRIM(SUBSTITUTE(D40,CHAR(160),""))),0))</f>
        <v/>
      </c>
      <c r="X40" s="73" t="str" cm="1">
        <f t="array" ref="X40">IF(_xlfn.IFS(TRIM(SUBSTITUTE(V40,CHAR(160),""))="Devis 1",IFERROR(VALUE(TRIM(SUBSTITUTE(N40,CHAR(160),""))),0),TRIM(SUBSTITUTE(V40,CHAR(160),""))="Devis 2",IFERROR(VALUE(TRIM(SUBSTITUTE(Q40,CHAR(160),""))),0),TRIM(SUBSTITUTE(V40,CHAR(160),""))="Devis 3",IFERROR(VALUE(TRIM(SUBSTITUTE(T40,CHAR(160),""))),0),TRUE,0)*IFERROR(VALUE(TRIM(SUBSTITUTE(D40,CHAR(160),""))),0)=0,IF(W40&lt;&gt;"",0,""),_xlfn.IFS(TRIM(SUBSTITUTE(V40,CHAR(160),""))="Devis 1",IFERROR(VALUE(TRIM(SUBSTITUTE(N40,CHAR(160),""))),0),TRIM(SUBSTITUTE(V40,CHAR(160),""))="Devis 2",IFERROR(VALUE(TRIM(SUBSTITUTE(Q40,CHAR(160),""))),0),TRIM(SUBSTITUTE(V40,CHAR(160),""))="Devis 3",IFERROR(VALUE(TRIM(SUBSTITUTE(T40,CHAR(160),""))),0),TRUE,0)*IFERROR(VALUE(TRIM(SUBSTITUTE(D40,CHAR(160),""))),0))</f>
        <v/>
      </c>
      <c r="Y40" s="149" t="str">
        <f t="shared" si="3"/>
        <v/>
      </c>
      <c r="Z40" s="150"/>
      <c r="AA40" s="36" t="str">
        <f t="shared" si="4"/>
        <v/>
      </c>
      <c r="AB40" s="37" t="str">
        <f t="shared" si="30"/>
        <v/>
      </c>
      <c r="AC40" s="37" t="str">
        <f t="shared" si="31"/>
        <v/>
      </c>
      <c r="AD40" s="14" t="str">
        <f t="shared" si="5"/>
        <v/>
      </c>
      <c r="AE40" s="14" t="str">
        <f t="shared" si="6"/>
        <v/>
      </c>
      <c r="AF40" s="14" t="str">
        <f t="shared" si="7"/>
        <v/>
      </c>
      <c r="AG40" s="14" t="str">
        <f t="shared" si="8"/>
        <v/>
      </c>
      <c r="AH40" s="38" t="str">
        <f t="shared" si="9"/>
        <v/>
      </c>
      <c r="AI40" s="14" t="str">
        <f t="shared" si="10"/>
        <v/>
      </c>
      <c r="AJ40" s="39" t="str">
        <f t="shared" si="11"/>
        <v/>
      </c>
      <c r="AK40" s="40" t="str">
        <f t="shared" si="12"/>
        <v/>
      </c>
      <c r="AL40" s="20" t="str">
        <f t="shared" si="13"/>
        <v/>
      </c>
      <c r="AM40" s="35" t="str">
        <f t="shared" si="14"/>
        <v/>
      </c>
      <c r="AN40" s="41" t="str">
        <f t="shared" si="15"/>
        <v/>
      </c>
      <c r="AO40" s="20" t="str">
        <f t="shared" si="16"/>
        <v/>
      </c>
      <c r="AP40" s="35" t="str">
        <f t="shared" si="17"/>
        <v/>
      </c>
      <c r="AQ40" s="42" t="str">
        <f t="shared" si="18"/>
        <v/>
      </c>
      <c r="AR40" s="20" t="str">
        <f t="shared" si="19"/>
        <v/>
      </c>
      <c r="AS40" s="43" t="str">
        <f t="shared" si="20"/>
        <v/>
      </c>
      <c r="AT40" s="36" t="str">
        <f t="shared" si="21"/>
        <v/>
      </c>
      <c r="AU40" s="184"/>
      <c r="AV40" s="44" t="str">
        <f t="shared" si="22"/>
        <v/>
      </c>
      <c r="AW40" s="44" t="str">
        <f t="shared" si="23"/>
        <v/>
      </c>
      <c r="AX40" s="44" t="str">
        <f t="shared" si="24"/>
        <v/>
      </c>
      <c r="AY40" s="74" t="str" cm="1">
        <f t="array" ref="AY40">IF($AB40="","",IF((IFERROR(_xlfn.IFS($AT40="Devis 1",(IFERROR(VALUE(TRIM(SUBSTITUTE(AK40,CHAR(160),""))),0)),$AT40="Devis 2",(IFERROR(VALUE(TRIM(SUBSTITUTE(AN40,CHAR(160),""))),0)),$AT40="Devis 3",(IFERROR(VALUE(TRIM(SUBSTITUTE(AQ40,CHAR(160),""))),0))),0))*(IFERROR(VALUE(TRIM(SUBSTITUTE($AB40,CHAR(160),""))),0))=0,"",(IFERROR(_xlfn.IFS($AT40="Devis 1",(IFERROR(VALUE(TRIM(SUBSTITUTE(AK40,CHAR(160),""))),0)),$AT40="Devis 2",(IFERROR(VALUE(TRIM(SUBSTITUTE(AN40,CHAR(160),""))),0)),$AT40="Devis 3",(IFERROR(VALUE(TRIM(SUBSTITUTE(AQ40,CHAR(160),""))),0))),0))*(IFERROR(VALUE(TRIM(SUBSTITUTE($AB40,CHAR(160),""))),0))))</f>
        <v/>
      </c>
      <c r="AZ40" s="74" t="str" cm="1">
        <f t="array" ref="AZ40">IF($AB40="","",IF((IFERROR(_xlfn.IFS(TRIM(SUBSTITUTE($AT40,CHAR(160),""))="Devis 1", IFERROR(VALUE(TRIM(SUBSTITUTE(AL40,CHAR(160),""))),0),TRIM(SUBSTITUTE($AT40,CHAR(160),""))="Devis 2", IFERROR(VALUE(TRIM(SUBSTITUTE(AO40,CHAR(160),""))),0),TRIM(SUBSTITUTE($AT40,CHAR(160),""))="Devis 3", IFERROR(VALUE(TRIM(SUBSTITUTE(AR40,CHAR(160),""))),0)),0) * IFERROR(VALUE(TRIM(SUBSTITUTE($AB40,CHAR(160),""))),0)) = 0,IF(AY40&lt;&gt;"",0,""),(IFERROR(_xlfn.IFS(TRIM(SUBSTITUTE($AT40,CHAR(160),""))="Devis 1", IFERROR(VALUE(TRIM(SUBSTITUTE(AL40,CHAR(160),""))),0),TRIM(SUBSTITUTE($AT40,CHAR(160),""))="Devis 2", IFERROR(VALUE(TRIM(SUBSTITUTE(AO40,CHAR(160),""))),0),TRIM(SUBSTITUTE($AT40,CHAR(160),""))="Devis 3", IFERROR(VALUE(TRIM(SUBSTITUTE(AR40,CHAR(160),""))),0)),0) * IFERROR(VALUE(TRIM(SUBSTITUTE($AB40,CHAR(160),""))),0))))</f>
        <v/>
      </c>
      <c r="BA40" s="74" t="str" cm="1">
        <f t="array" ref="BA40">IF($AB40="","",IF(IFERROR(_xlfn.IFS($AT40="Devis 1",IFERROR(VALUE(TRIM(SUBSTITUTE(AM40,CHAR(160),""))),0),$AT40="Devis 2",IFERROR(VALUE(TRIM(SUBSTITUTE(AP40,CHAR(160),""))),0),$AT40="Devis 3",IFERROR(VALUE(TRIM(SUBSTITUTE(AS40,CHAR(160),""))),0)),0)*IFERROR(VALUE(TRIM(SUBSTITUTE($AB40,CHAR(160),""))),0)=0,"",IFERROR(_xlfn.IFS($AT40="Devis 1",IFERROR(VALUE(TRIM(SUBSTITUTE(AM40,CHAR(160),""))),0),$AT40="Devis 2",IFERROR(VALUE(TRIM(SUBSTITUTE(AP40,CHAR(160),""))),0),$AT40="Devis 3",IFERROR(VALUE(TRIM(SUBSTITUTE(AS40,CHAR(160),""))),0)),0)*IFERROR(VALUE(TRIM(SUBSTITUTE($AB40,CHAR(160),""))),0)))</f>
        <v/>
      </c>
      <c r="BB40" s="45"/>
      <c r="BC40" s="13" t="str" cm="1">
        <f t="array" ref="BC40">IF(OR(BA40="",AX40="",AY40="",AV40="",AZ40="",AW40=""),"",_xlfn.IFS((IFERROR(VALUE(TRIM(SUBSTITUTE(BA40,CHAR(160),""))),0))&gt;(IFERROR(VALUE(TRIM(SUBSTITUTE(AX40,CHAR(160),""))),0)),"KO : Le montant retenu TTC est supérieur au montant raisonnable TTC. Merci de revoir la ligne de dépense ou plafonner son montant.",(IFERROR(VALUE(TRIM(SUBSTITUTE(AY40,CHAR(160),""))),0))&gt;(IFERROR(VALUE(TRIM(SUBSTITUTE(AV40,CHAR(160),""))),0)),"Attention : Le montant retenu HT est supérieur au montant HT raisonnable. Merci de revoir la ligne de dépense, plafonner son montant, ou justifier la reventillation HT / TVA.",(IFERROR(VALUE(TRIM(SUBSTITUTE(AZ40,CHAR(160),""))),0))&gt;(IFERROR(VALUE(TRIM(SUBSTITUTE(AW40,CHAR(160),""))),0)),"Attention : Le montant TVA retenu est supérieur au montant TVA raisonnable. Merci de revoir la ligne de dépense, plafonner son montant, ou justifier la reventillation HT / TVA.",(IFERROR(VALUE(TRIM(SUBSTITUTE(BA40,CHAR(160),""))),0))=0,"",(IFERROR(VALUE(TRIM(SUBSTITUTE(AX40,CHAR(160),""))),0))=(IFERROR(VALUE(TRIM(SUBSTITUTE(BA40,CHAR(160),""))),0)),"OK",(IFERROR(VALUE(TRIM(SUBSTITUTE(AX40,CHAR(160),""))),0))&gt;(IFERROR(VALUE(TRIM(SUBSTITUTE(BA40,CHAR(160),""))),0))," OK : Montant instruit inférieur au montant raisonnable.",TRUE,""))</f>
        <v/>
      </c>
      <c r="BD40" s="187" t="str" cm="1">
        <f t="array" ref="BD40">IF(OR(BA40="",Y40="",AY40="",W40="",AZ40="",X40=""),"",_xlfn.IFS((IFERROR(VALUE(TRIM(SUBSTITUTE(BA40,CHAR(160),""))),0))&gt;(IFERROR(VALUE(TRIM(SUBSTITUTE(Y40,CHAR(160),""))),0)),"KO : Le montant retenu TTC est supérieur au montant présenté TTC. Merci de revoir la ligne de dépense ou plafonner son montant.",(IFERROR(VALUE(TRIM(SUBSTITUTE(AY40,CHAR(160),""))),0))&gt;(IFERROR(VALUE(TRIM(SUBSTITUTE(W40,CHAR(160),""))),0)),"Attention : Le montant retenu HT est supérieur au montant HT présenté. Merci de revoir la ligne de dépense,plafonner son montant,ou justifier la reventillation HT/TVA.",(IFERROR(VALUE(TRIM(SUBSTITUTE(AZ40,CHAR(160),""))),0))&gt;(IFERROR(VALUE(TRIM(SUBSTITUTE(X40,CHAR(160),""))),0)),"Attention : Le montant TVA retenu est supérieur au montant TVA présenté. Merci de revoir la ligne de dépense,plafonner son montant,ou justifier la reventillation HT/TVA.",(IFERROR(VALUE(TRIM(SUBSTITUTE(Y40,CHAR(160),""))),0))=0,"",(IFERROR(VALUE(TRIM(SUBSTITUTE(BA40,CHAR(160),""))),0))=(IFERROR(VALUE(TRIM(SUBSTITUTE(Y40,CHAR(160),""))),0)),"OK",
OR((IFERROR(VALUE(TRIM(SUBSTITUTE(BA40,CHAR(160),""))),0))=0,(IFERROR(VALUE(TRIM(SUBSTITUTE(AY40,CHAR(160),""))),0))=0),"Attention : montant présenté entièrement écarté",(IFERROR(VALUE(TRIM(SUBSTITUTE(BA40,CHAR(160),""))),0))&lt;(IFERROR(VALUE(TRIM(SUBSTITUTE(Y40,CHAR(160),""))),0)),"Attention : montant présenté partiellement écarté",TRUE,""))</f>
        <v/>
      </c>
      <c r="BE40" s="44" t="str">
        <f t="shared" si="25"/>
        <v/>
      </c>
      <c r="BF40" s="44" t="str">
        <f t="shared" si="26"/>
        <v/>
      </c>
      <c r="BG40" s="21" t="str">
        <f t="shared" si="27"/>
        <v/>
      </c>
    </row>
    <row r="41" spans="1:59" ht="15" customHeight="1">
      <c r="A41" s="70">
        <v>32</v>
      </c>
      <c r="B41" s="784"/>
      <c r="C41" s="7"/>
      <c r="D41" s="11"/>
      <c r="E41" s="451"/>
      <c r="F41" s="7"/>
      <c r="G41" s="7"/>
      <c r="H41" s="7"/>
      <c r="I41" s="7"/>
      <c r="J41" s="17"/>
      <c r="K41" s="7"/>
      <c r="L41" s="132"/>
      <c r="M41" s="138"/>
      <c r="N41" s="8"/>
      <c r="O41" s="35" t="str">
        <f t="shared" ref="O41:O72" si="32">IF(OR(M41="", N41=""), "", IFERROR(VALUE(TRIM(SUBSTITUTE(M41,CHAR(160),""))),0) + IFERROR(VALUE(TRIM(SUBSTITUTE(N41,CHAR(160),""))),0))</f>
        <v/>
      </c>
      <c r="P41" s="9"/>
      <c r="Q41" s="8"/>
      <c r="R41" s="35" t="str">
        <f t="shared" ref="R41:R72" si="33">IF(OR(P41="", Q41=""), "", IFERROR(VALUE(TRIM(SUBSTITUTE(P41,CHAR(160),""))),0) + IFERROR(VALUE(TRIM(SUBSTITUTE(Q41,CHAR(160),""))),0))</f>
        <v/>
      </c>
      <c r="S41" s="10"/>
      <c r="T41" s="8"/>
      <c r="U41" s="139" t="str">
        <f t="shared" ref="U41:U72" si="34">IF(OR(S41="", T41=""), "", IFERROR(VALUE(TRIM(SUBSTITUTE(S41,CHAR(160),""))),0) + IFERROR(VALUE(TRIM(SUBSTITUTE(T41,CHAR(160),""))),0))</f>
        <v/>
      </c>
      <c r="V41" s="147"/>
      <c r="W41" s="770" t="str" cm="1">
        <f t="array" ref="W41">IF((_xlfn.IFS(TRIM(SUBSTITUTE(V41,CHAR(160),""))="Devis 1",IFERROR(VALUE(TRIM(SUBSTITUTE(M41,CHAR(160),""))),0),TRIM(SUBSTITUTE(V41,CHAR(160),""))="Devis 2",IFERROR(VALUE(TRIM(SUBSTITUTE(P41,CHAR(160),""))),0),TRIM(SUBSTITUTE(V41,CHAR(160),""))="Devis 3",IFERROR(VALUE(TRIM(SUBSTITUTE(S41,CHAR(160),""))),0),TRUE,0)*IFERROR(VALUE(TRIM(SUBSTITUTE(D41,CHAR(160),""))),0))=0,"",_xlfn.IFS(TRIM(SUBSTITUTE(V41,CHAR(160),""))="Devis 1",IFERROR(VALUE(TRIM(SUBSTITUTE(M41,CHAR(160),""))),0),TRIM(SUBSTITUTE(V41,CHAR(160),""))="Devis 2",IFERROR(VALUE(TRIM(SUBSTITUTE(P41,CHAR(160),""))),0),TRIM(SUBSTITUTE(V41,CHAR(160),""))="Devis 3",IFERROR(VALUE(TRIM(SUBSTITUTE(S41,CHAR(160),""))),0),TRUE,0)*IFERROR(VALUE(TRIM(SUBSTITUTE(D41,CHAR(160),""))),0))</f>
        <v/>
      </c>
      <c r="X41" s="73" t="str" cm="1">
        <f t="array" ref="X41">IF(_xlfn.IFS(TRIM(SUBSTITUTE(V41,CHAR(160),""))="Devis 1",IFERROR(VALUE(TRIM(SUBSTITUTE(N41,CHAR(160),""))),0),TRIM(SUBSTITUTE(V41,CHAR(160),""))="Devis 2",IFERROR(VALUE(TRIM(SUBSTITUTE(Q41,CHAR(160),""))),0),TRIM(SUBSTITUTE(V41,CHAR(160),""))="Devis 3",IFERROR(VALUE(TRIM(SUBSTITUTE(T41,CHAR(160),""))),0),TRUE,0)*IFERROR(VALUE(TRIM(SUBSTITUTE(D41,CHAR(160),""))),0)=0,IF(W41&lt;&gt;"",0,""),_xlfn.IFS(TRIM(SUBSTITUTE(V41,CHAR(160),""))="Devis 1",IFERROR(VALUE(TRIM(SUBSTITUTE(N41,CHAR(160),""))),0),TRIM(SUBSTITUTE(V41,CHAR(160),""))="Devis 2",IFERROR(VALUE(TRIM(SUBSTITUTE(Q41,CHAR(160),""))),0),TRIM(SUBSTITUTE(V41,CHAR(160),""))="Devis 3",IFERROR(VALUE(TRIM(SUBSTITUTE(T41,CHAR(160),""))),0),TRUE,0)*IFERROR(VALUE(TRIM(SUBSTITUTE(D41,CHAR(160),""))),0))</f>
        <v/>
      </c>
      <c r="Y41" s="149" t="str">
        <f t="shared" ref="Y41:Y72" si="35">IF(OR(W41="", X41=""), "", IFERROR(VALUE(TRIM(SUBSTITUTE(W41,CHAR(160),""))),0) + IFERROR(VALUE(TRIM(SUBSTITUTE(X41,CHAR(160),""))),0))</f>
        <v/>
      </c>
      <c r="Z41" s="150"/>
      <c r="AA41" s="36" t="str">
        <f t="shared" ref="AA41:AA72" si="36">IF(C41="","",C41)</f>
        <v/>
      </c>
      <c r="AB41" s="37" t="str">
        <f t="shared" ref="AB41:AB72" si="37">IF(D41="","",D41)</f>
        <v/>
      </c>
      <c r="AC41" s="37" t="str">
        <f t="shared" si="31"/>
        <v/>
      </c>
      <c r="AD41" s="14" t="str">
        <f t="shared" ref="AD41:AD72" si="38">IF(F41="","",F41)</f>
        <v/>
      </c>
      <c r="AE41" s="14" t="str">
        <f t="shared" ref="AE41:AE72" si="39">IF(G41="","",G41)</f>
        <v/>
      </c>
      <c r="AF41" s="14" t="str">
        <f t="shared" ref="AF41:AF72" si="40">IF(H41="","",H41)</f>
        <v/>
      </c>
      <c r="AG41" s="14" t="str">
        <f t="shared" ref="AG41:AG72" si="41">IF(I41="","",I41)</f>
        <v/>
      </c>
      <c r="AH41" s="38" t="str">
        <f t="shared" ref="AH41:AH72" si="42">IF(J41="","",J41)</f>
        <v/>
      </c>
      <c r="AI41" s="14" t="str">
        <f t="shared" ref="AI41:AI72" si="43">IF(K41="","",K41)</f>
        <v/>
      </c>
      <c r="AJ41" s="39" t="str">
        <f t="shared" ref="AJ41:AJ72" si="44">IF(L41="","",L41)</f>
        <v/>
      </c>
      <c r="AK41" s="40" t="str">
        <f t="shared" ref="AK41:AK72" si="45">IF(M41="","",M41)</f>
        <v/>
      </c>
      <c r="AL41" s="20" t="str">
        <f t="shared" ref="AL41:AL72" si="46">IF(N41="","",N41)</f>
        <v/>
      </c>
      <c r="AM41" s="35" t="str">
        <f t="shared" ref="AM41:AM72" si="47">IF(OR(AK41="", AL41=""), "", IFERROR(VALUE(TRIM(SUBSTITUTE(AK41,CHAR(160),""))),0) + IFERROR(VALUE(TRIM(SUBSTITUTE(AL41,CHAR(160),""))),0))</f>
        <v/>
      </c>
      <c r="AN41" s="41" t="str">
        <f t="shared" ref="AN41:AN72" si="48">IF(P41="","",P41)</f>
        <v/>
      </c>
      <c r="AO41" s="20" t="str">
        <f t="shared" ref="AO41:AO72" si="49">IF(Q41="","",Q41)</f>
        <v/>
      </c>
      <c r="AP41" s="35" t="str">
        <f t="shared" ref="AP41:AP72" si="50">IF(OR(AN41="",AO41=""),"",IFERROR(VALUE(TRIM(SUBSTITUTE(AN41,CHAR(160),""))),0)+IFERROR(VALUE(TRIM(SUBSTITUTE(AO41,CHAR(160),""))),0))</f>
        <v/>
      </c>
      <c r="AQ41" s="42" t="str">
        <f t="shared" ref="AQ41:AQ72" si="51">IF(S41="","",S41)</f>
        <v/>
      </c>
      <c r="AR41" s="20" t="str">
        <f t="shared" ref="AR41:AR72" si="52">IF(T41="","",T41)</f>
        <v/>
      </c>
      <c r="AS41" s="43" t="str">
        <f t="shared" ref="AS41:AS72" si="53">IF(OR(AQ41="",AR41=""),"",IFERROR(VALUE(TRIM(SUBSTITUTE(AQ41,CHAR(160),""))),0)+IFERROR(VALUE(TRIM(SUBSTITUTE(AR41,CHAR(160),""))),0))</f>
        <v/>
      </c>
      <c r="AT41" s="36" t="str">
        <f t="shared" ref="AT41:AT72" si="54">IF(V41="","",V41)</f>
        <v/>
      </c>
      <c r="AU41" s="184"/>
      <c r="AV41" s="44" t="str">
        <f t="shared" ref="AV41:AV72" si="55">IF((1.15*MIN(IF((IFERROR(VALUE(TRIM(SUBSTITUTE(AK41,CHAR(160),""))),0))=0,1E+30,(IFERROR(VALUE(TRIM(SUBSTITUTE(AK41,CHAR(160),""))),0))),IF((IFERROR(VALUE(TRIM(SUBSTITUTE(AN41,CHAR(160),""))),0))=0,1E+30,(IFERROR(VALUE(TRIM(SUBSTITUTE(AN41,CHAR(160),""))),0))),IF((IFERROR(VALUE(TRIM(SUBSTITUTE(AQ41,CHAR(160),""))),0))=0,1E+30,(IFERROR(VALUE(TRIM(SUBSTITUTE(AQ41,CHAR(160),""))),0))))*(IFERROR(VALUE(TRIM(SUBSTITUTE(AB41,CHAR(160),""))),0)))=0,"",(1.15*MIN(IF((IFERROR(VALUE(TRIM(SUBSTITUTE(AK41,CHAR(160),""))),0))=0,1E+30,(IFERROR(VALUE(TRIM(SUBSTITUTE(AK41,CHAR(160),""))),0))),IF((IFERROR(VALUE(TRIM(SUBSTITUTE(AN41,CHAR(160),""))),0))=0,1E+30,(IFERROR(VALUE(TRIM(SUBSTITUTE(AN41,CHAR(160),""))),0))),IF((IFERROR(VALUE(TRIM(SUBSTITUTE(AQ41,CHAR(160),""))),0))=0,1E+30,(IFERROR(VALUE(TRIM(SUBSTITUTE(AQ41,CHAR(160),""))),0))))*(IFERROR(VALUE(TRIM(SUBSTITUTE(AB41,CHAR(160),""))),0))))</f>
        <v/>
      </c>
      <c r="AW41" s="44" t="str">
        <f t="shared" ref="AW41:AW72" si="56">IF(AV41="","",IF( AND(IFERROR(VALUE(TRIM(SUBSTITUTE(AL41,CHAR(160),""))),0)=0,IFERROR(VALUE(TRIM(SUBSTITUTE(AO41,CHAR(160),""))),0)=0,IFERROR(VALUE(TRIM(SUBSTITUTE(AR41,CHAR(160),""))),0)=0),0,1.15*MIN(IF(IFERROR(VALUE(TRIM(SUBSTITUTE(AL41,CHAR(160),""))),0)=0, 1E+30, IFERROR(VALUE(TRIM(SUBSTITUTE(AL41,CHAR(160),""))),0)),IF(IFERROR(VALUE(TRIM(SUBSTITUTE(AO41,CHAR(160),""))),0)=0, 1E+30, IFERROR(VALUE(TRIM(SUBSTITUTE(AO41,CHAR(160),""))),0)),IF(IFERROR(VALUE(TRIM(SUBSTITUTE(AR41,CHAR(160),""))),0)=0, 1E+30, IFERROR(VALUE(TRIM(SUBSTITUTE(AR41,CHAR(160),""))),0))) *IFERROR(VALUE(TRIM(SUBSTITUTE(AB41,CHAR(160),""))),0)))</f>
        <v/>
      </c>
      <c r="AX41" s="44" t="str">
        <f t="shared" ref="AX41:AX72" si="57">IF(AV41="","",AV41+AW41)</f>
        <v/>
      </c>
      <c r="AY41" s="74" t="str" cm="1">
        <f t="array" ref="AY41">IF($AB41="","",IF((IFERROR(_xlfn.IFS($AT41="Devis 1",(IFERROR(VALUE(TRIM(SUBSTITUTE(AK41,CHAR(160),""))),0)),$AT41="Devis 2",(IFERROR(VALUE(TRIM(SUBSTITUTE(AN41,CHAR(160),""))),0)),$AT41="Devis 3",(IFERROR(VALUE(TRIM(SUBSTITUTE(AQ41,CHAR(160),""))),0))),0))*(IFERROR(VALUE(TRIM(SUBSTITUTE($AB41,CHAR(160),""))),0))=0,"",(IFERROR(_xlfn.IFS($AT41="Devis 1",(IFERROR(VALUE(TRIM(SUBSTITUTE(AK41,CHAR(160),""))),0)),$AT41="Devis 2",(IFERROR(VALUE(TRIM(SUBSTITUTE(AN41,CHAR(160),""))),0)),$AT41="Devis 3",(IFERROR(VALUE(TRIM(SUBSTITUTE(AQ41,CHAR(160),""))),0))),0))*(IFERROR(VALUE(TRIM(SUBSTITUTE($AB41,CHAR(160),""))),0))))</f>
        <v/>
      </c>
      <c r="AZ41" s="74" t="str" cm="1">
        <f t="array" ref="AZ41">IF($AB41="","",IF((IFERROR(_xlfn.IFS(TRIM(SUBSTITUTE($AT41,CHAR(160),""))="Devis 1", IFERROR(VALUE(TRIM(SUBSTITUTE(AL41,CHAR(160),""))),0),TRIM(SUBSTITUTE($AT41,CHAR(160),""))="Devis 2", IFERROR(VALUE(TRIM(SUBSTITUTE(AO41,CHAR(160),""))),0),TRIM(SUBSTITUTE($AT41,CHAR(160),""))="Devis 3", IFERROR(VALUE(TRIM(SUBSTITUTE(AR41,CHAR(160),""))),0)),0) * IFERROR(VALUE(TRIM(SUBSTITUTE($AB41,CHAR(160),""))),0)) = 0,IF(AY41&lt;&gt;"",0,""),(IFERROR(_xlfn.IFS(TRIM(SUBSTITUTE($AT41,CHAR(160),""))="Devis 1", IFERROR(VALUE(TRIM(SUBSTITUTE(AL41,CHAR(160),""))),0),TRIM(SUBSTITUTE($AT41,CHAR(160),""))="Devis 2", IFERROR(VALUE(TRIM(SUBSTITUTE(AO41,CHAR(160),""))),0),TRIM(SUBSTITUTE($AT41,CHAR(160),""))="Devis 3", IFERROR(VALUE(TRIM(SUBSTITUTE(AR41,CHAR(160),""))),0)),0) * IFERROR(VALUE(TRIM(SUBSTITUTE($AB41,CHAR(160),""))),0))))</f>
        <v/>
      </c>
      <c r="BA41" s="74" t="str" cm="1">
        <f t="array" ref="BA41">IF($AB41="","",IF(IFERROR(_xlfn.IFS($AT41="Devis 1",IFERROR(VALUE(TRIM(SUBSTITUTE(AM41,CHAR(160),""))),0),$AT41="Devis 2",IFERROR(VALUE(TRIM(SUBSTITUTE(AP41,CHAR(160),""))),0),$AT41="Devis 3",IFERROR(VALUE(TRIM(SUBSTITUTE(AS41,CHAR(160),""))),0)),0)*IFERROR(VALUE(TRIM(SUBSTITUTE($AB41,CHAR(160),""))),0)=0,"",IFERROR(_xlfn.IFS($AT41="Devis 1",IFERROR(VALUE(TRIM(SUBSTITUTE(AM41,CHAR(160),""))),0),$AT41="Devis 2",IFERROR(VALUE(TRIM(SUBSTITUTE(AP41,CHAR(160),""))),0),$AT41="Devis 3",IFERROR(VALUE(TRIM(SUBSTITUTE(AS41,CHAR(160),""))),0)),0)*IFERROR(VALUE(TRIM(SUBSTITUTE($AB41,CHAR(160),""))),0)))</f>
        <v/>
      </c>
      <c r="BB41" s="45"/>
      <c r="BC41" s="13" t="str" cm="1">
        <f t="array" ref="BC41">IF(OR(BA41="",AX41="",AY41="",AV41="",AZ41="",AW41=""),"",_xlfn.IFS((IFERROR(VALUE(TRIM(SUBSTITUTE(BA41,CHAR(160),""))),0))&gt;(IFERROR(VALUE(TRIM(SUBSTITUTE(AX41,CHAR(160),""))),0)),"KO : Le montant retenu TTC est supérieur au montant raisonnable TTC. Merci de revoir la ligne de dépense ou plafonner son montant.",(IFERROR(VALUE(TRIM(SUBSTITUTE(AY41,CHAR(160),""))),0))&gt;(IFERROR(VALUE(TRIM(SUBSTITUTE(AV41,CHAR(160),""))),0)),"Attention : Le montant retenu HT est supérieur au montant HT raisonnable. Merci de revoir la ligne de dépense, plafonner son montant, ou justifier la reventillation HT / TVA.",(IFERROR(VALUE(TRIM(SUBSTITUTE(AZ41,CHAR(160),""))),0))&gt;(IFERROR(VALUE(TRIM(SUBSTITUTE(AW41,CHAR(160),""))),0)),"Attention : Le montant TVA retenu est supérieur au montant TVA raisonnable. Merci de revoir la ligne de dépense, plafonner son montant, ou justifier la reventillation HT / TVA.",(IFERROR(VALUE(TRIM(SUBSTITUTE(BA41,CHAR(160),""))),0))=0,"",(IFERROR(VALUE(TRIM(SUBSTITUTE(AX41,CHAR(160),""))),0))=(IFERROR(VALUE(TRIM(SUBSTITUTE(BA41,CHAR(160),""))),0)),"OK",(IFERROR(VALUE(TRIM(SUBSTITUTE(AX41,CHAR(160),""))),0))&gt;(IFERROR(VALUE(TRIM(SUBSTITUTE(BA41,CHAR(160),""))),0))," OK : Montant instruit inférieur au montant raisonnable.",TRUE,""))</f>
        <v/>
      </c>
      <c r="BD41" s="187" t="str" cm="1">
        <f t="array" ref="BD41">IF(OR(BA41="",Y41="",AY41="",W41="",AZ41="",X41=""),"",_xlfn.IFS((IFERROR(VALUE(TRIM(SUBSTITUTE(BA41,CHAR(160),""))),0))&gt;(IFERROR(VALUE(TRIM(SUBSTITUTE(Y41,CHAR(160),""))),0)),"KO : Le montant retenu TTC est supérieur au montant présenté TTC. Merci de revoir la ligne de dépense ou plafonner son montant.",(IFERROR(VALUE(TRIM(SUBSTITUTE(AY41,CHAR(160),""))),0))&gt;(IFERROR(VALUE(TRIM(SUBSTITUTE(W41,CHAR(160),""))),0)),"Attention : Le montant retenu HT est supérieur au montant HT présenté. Merci de revoir la ligne de dépense,plafonner son montant,ou justifier la reventillation HT/TVA.",(IFERROR(VALUE(TRIM(SUBSTITUTE(AZ41,CHAR(160),""))),0))&gt;(IFERROR(VALUE(TRIM(SUBSTITUTE(X41,CHAR(160),""))),0)),"Attention : Le montant TVA retenu est supérieur au montant TVA présenté. Merci de revoir la ligne de dépense,plafonner son montant,ou justifier la reventillation HT/TVA.",(IFERROR(VALUE(TRIM(SUBSTITUTE(Y41,CHAR(160),""))),0))=0,"",(IFERROR(VALUE(TRIM(SUBSTITUTE(BA41,CHAR(160),""))),0))=(IFERROR(VALUE(TRIM(SUBSTITUTE(Y41,CHAR(160),""))),0)),"OK",
OR((IFERROR(VALUE(TRIM(SUBSTITUTE(BA41,CHAR(160),""))),0))=0,(IFERROR(VALUE(TRIM(SUBSTITUTE(AY41,CHAR(160),""))),0))=0),"Attention : montant présenté entièrement écarté",(IFERROR(VALUE(TRIM(SUBSTITUTE(BA41,CHAR(160),""))),0))&lt;(IFERROR(VALUE(TRIM(SUBSTITUTE(Y41,CHAR(160),""))),0)),"Attention : montant présenté partiellement écarté",TRUE,""))</f>
        <v/>
      </c>
      <c r="BE41" s="44" t="str">
        <f t="shared" ref="BE41:BE72" si="58">IF(OR(W41="",AY41=""),"",(IFERROR(VALUE(TRIM(SUBSTITUTE(W41,CHAR(160),""))),0))-(IFERROR(VALUE(TRIM(SUBSTITUTE(AY41,CHAR(160),""))),0)))</f>
        <v/>
      </c>
      <c r="BF41" s="44" t="str">
        <f t="shared" ref="BF41:BF72" si="59">IF(OR(X41="",AZ41=""),"",(IFERROR(VALUE(TRIM(SUBSTITUTE(X41,CHAR(160),""))),0))-(IFERROR(VALUE(TRIM(SUBSTITUTE(AZ41,CHAR(160),""))),0)))</f>
        <v/>
      </c>
      <c r="BG41" s="21" t="str">
        <f t="shared" ref="BG41:BG72" si="60">IF(OR(Y41="",BA41=""),"",(IFERROR(VALUE(TRIM(SUBSTITUTE(Y41,CHAR(160),""))),0))-(IFERROR(VALUE(TRIM(SUBSTITUTE(BA41,CHAR(160),""))),0)))</f>
        <v/>
      </c>
    </row>
    <row r="42" spans="1:59" ht="15" customHeight="1">
      <c r="A42" s="70">
        <v>33</v>
      </c>
      <c r="B42" s="784"/>
      <c r="C42" s="7"/>
      <c r="D42" s="11"/>
      <c r="E42" s="451"/>
      <c r="F42" s="7"/>
      <c r="G42" s="7"/>
      <c r="H42" s="7"/>
      <c r="I42" s="7"/>
      <c r="J42" s="17"/>
      <c r="K42" s="7"/>
      <c r="L42" s="132"/>
      <c r="M42" s="138"/>
      <c r="N42" s="8"/>
      <c r="O42" s="35" t="str">
        <f t="shared" si="32"/>
        <v/>
      </c>
      <c r="P42" s="9"/>
      <c r="Q42" s="8"/>
      <c r="R42" s="35" t="str">
        <f t="shared" si="33"/>
        <v/>
      </c>
      <c r="S42" s="10"/>
      <c r="T42" s="8"/>
      <c r="U42" s="139" t="str">
        <f t="shared" si="34"/>
        <v/>
      </c>
      <c r="V42" s="147"/>
      <c r="W42" s="770" t="str" cm="1">
        <f t="array" ref="W42">IF((_xlfn.IFS(TRIM(SUBSTITUTE(V42,CHAR(160),""))="Devis 1",IFERROR(VALUE(TRIM(SUBSTITUTE(M42,CHAR(160),""))),0),TRIM(SUBSTITUTE(V42,CHAR(160),""))="Devis 2",IFERROR(VALUE(TRIM(SUBSTITUTE(P42,CHAR(160),""))),0),TRIM(SUBSTITUTE(V42,CHAR(160),""))="Devis 3",IFERROR(VALUE(TRIM(SUBSTITUTE(S42,CHAR(160),""))),0),TRUE,0)*IFERROR(VALUE(TRIM(SUBSTITUTE(D42,CHAR(160),""))),0))=0,"",_xlfn.IFS(TRIM(SUBSTITUTE(V42,CHAR(160),""))="Devis 1",IFERROR(VALUE(TRIM(SUBSTITUTE(M42,CHAR(160),""))),0),TRIM(SUBSTITUTE(V42,CHAR(160),""))="Devis 2",IFERROR(VALUE(TRIM(SUBSTITUTE(P42,CHAR(160),""))),0),TRIM(SUBSTITUTE(V42,CHAR(160),""))="Devis 3",IFERROR(VALUE(TRIM(SUBSTITUTE(S42,CHAR(160),""))),0),TRUE,0)*IFERROR(VALUE(TRIM(SUBSTITUTE(D42,CHAR(160),""))),0))</f>
        <v/>
      </c>
      <c r="X42" s="73" t="str" cm="1">
        <f t="array" ref="X42">IF(_xlfn.IFS(TRIM(SUBSTITUTE(V42,CHAR(160),""))="Devis 1",IFERROR(VALUE(TRIM(SUBSTITUTE(N42,CHAR(160),""))),0),TRIM(SUBSTITUTE(V42,CHAR(160),""))="Devis 2",IFERROR(VALUE(TRIM(SUBSTITUTE(Q42,CHAR(160),""))),0),TRIM(SUBSTITUTE(V42,CHAR(160),""))="Devis 3",IFERROR(VALUE(TRIM(SUBSTITUTE(T42,CHAR(160),""))),0),TRUE,0)*IFERROR(VALUE(TRIM(SUBSTITUTE(D42,CHAR(160),""))),0)=0,IF(W42&lt;&gt;"",0,""),_xlfn.IFS(TRIM(SUBSTITUTE(V42,CHAR(160),""))="Devis 1",IFERROR(VALUE(TRIM(SUBSTITUTE(N42,CHAR(160),""))),0),TRIM(SUBSTITUTE(V42,CHAR(160),""))="Devis 2",IFERROR(VALUE(TRIM(SUBSTITUTE(Q42,CHAR(160),""))),0),TRIM(SUBSTITUTE(V42,CHAR(160),""))="Devis 3",IFERROR(VALUE(TRIM(SUBSTITUTE(T42,CHAR(160),""))),0),TRUE,0)*IFERROR(VALUE(TRIM(SUBSTITUTE(D42,CHAR(160),""))),0))</f>
        <v/>
      </c>
      <c r="Y42" s="149" t="str">
        <f t="shared" si="35"/>
        <v/>
      </c>
      <c r="Z42" s="150"/>
      <c r="AA42" s="36" t="str">
        <f t="shared" si="36"/>
        <v/>
      </c>
      <c r="AB42" s="37" t="str">
        <f t="shared" si="37"/>
        <v/>
      </c>
      <c r="AC42" s="37" t="str">
        <f t="shared" si="31"/>
        <v/>
      </c>
      <c r="AD42" s="14" t="str">
        <f t="shared" si="38"/>
        <v/>
      </c>
      <c r="AE42" s="14" t="str">
        <f t="shared" si="39"/>
        <v/>
      </c>
      <c r="AF42" s="14" t="str">
        <f t="shared" si="40"/>
        <v/>
      </c>
      <c r="AG42" s="14" t="str">
        <f t="shared" si="41"/>
        <v/>
      </c>
      <c r="AH42" s="38" t="str">
        <f t="shared" si="42"/>
        <v/>
      </c>
      <c r="AI42" s="14" t="str">
        <f t="shared" si="43"/>
        <v/>
      </c>
      <c r="AJ42" s="39" t="str">
        <f t="shared" si="44"/>
        <v/>
      </c>
      <c r="AK42" s="40" t="str">
        <f t="shared" si="45"/>
        <v/>
      </c>
      <c r="AL42" s="20" t="str">
        <f t="shared" si="46"/>
        <v/>
      </c>
      <c r="AM42" s="35" t="str">
        <f t="shared" si="47"/>
        <v/>
      </c>
      <c r="AN42" s="41" t="str">
        <f t="shared" si="48"/>
        <v/>
      </c>
      <c r="AO42" s="20" t="str">
        <f t="shared" si="49"/>
        <v/>
      </c>
      <c r="AP42" s="35" t="str">
        <f t="shared" si="50"/>
        <v/>
      </c>
      <c r="AQ42" s="42" t="str">
        <f t="shared" si="51"/>
        <v/>
      </c>
      <c r="AR42" s="20" t="str">
        <f t="shared" si="52"/>
        <v/>
      </c>
      <c r="AS42" s="43" t="str">
        <f t="shared" si="53"/>
        <v/>
      </c>
      <c r="AT42" s="36" t="str">
        <f t="shared" si="54"/>
        <v/>
      </c>
      <c r="AU42" s="184"/>
      <c r="AV42" s="44" t="str">
        <f t="shared" si="55"/>
        <v/>
      </c>
      <c r="AW42" s="44" t="str">
        <f t="shared" si="56"/>
        <v/>
      </c>
      <c r="AX42" s="44" t="str">
        <f t="shared" si="57"/>
        <v/>
      </c>
      <c r="AY42" s="74" t="str" cm="1">
        <f t="array" ref="AY42">IF($AB42="","",IF((IFERROR(_xlfn.IFS($AT42="Devis 1",(IFERROR(VALUE(TRIM(SUBSTITUTE(AK42,CHAR(160),""))),0)),$AT42="Devis 2",(IFERROR(VALUE(TRIM(SUBSTITUTE(AN42,CHAR(160),""))),0)),$AT42="Devis 3",(IFERROR(VALUE(TRIM(SUBSTITUTE(AQ42,CHAR(160),""))),0))),0))*(IFERROR(VALUE(TRIM(SUBSTITUTE($AB42,CHAR(160),""))),0))=0,"",(IFERROR(_xlfn.IFS($AT42="Devis 1",(IFERROR(VALUE(TRIM(SUBSTITUTE(AK42,CHAR(160),""))),0)),$AT42="Devis 2",(IFERROR(VALUE(TRIM(SUBSTITUTE(AN42,CHAR(160),""))),0)),$AT42="Devis 3",(IFERROR(VALUE(TRIM(SUBSTITUTE(AQ42,CHAR(160),""))),0))),0))*(IFERROR(VALUE(TRIM(SUBSTITUTE($AB42,CHAR(160),""))),0))))</f>
        <v/>
      </c>
      <c r="AZ42" s="74" t="str" cm="1">
        <f t="array" ref="AZ42">IF($AB42="","",IF((IFERROR(_xlfn.IFS(TRIM(SUBSTITUTE($AT42,CHAR(160),""))="Devis 1", IFERROR(VALUE(TRIM(SUBSTITUTE(AL42,CHAR(160),""))),0),TRIM(SUBSTITUTE($AT42,CHAR(160),""))="Devis 2", IFERROR(VALUE(TRIM(SUBSTITUTE(AO42,CHAR(160),""))),0),TRIM(SUBSTITUTE($AT42,CHAR(160),""))="Devis 3", IFERROR(VALUE(TRIM(SUBSTITUTE(AR42,CHAR(160),""))),0)),0) * IFERROR(VALUE(TRIM(SUBSTITUTE($AB42,CHAR(160),""))),0)) = 0,IF(AY42&lt;&gt;"",0,""),(IFERROR(_xlfn.IFS(TRIM(SUBSTITUTE($AT42,CHAR(160),""))="Devis 1", IFERROR(VALUE(TRIM(SUBSTITUTE(AL42,CHAR(160),""))),0),TRIM(SUBSTITUTE($AT42,CHAR(160),""))="Devis 2", IFERROR(VALUE(TRIM(SUBSTITUTE(AO42,CHAR(160),""))),0),TRIM(SUBSTITUTE($AT42,CHAR(160),""))="Devis 3", IFERROR(VALUE(TRIM(SUBSTITUTE(AR42,CHAR(160),""))),0)),0) * IFERROR(VALUE(TRIM(SUBSTITUTE($AB42,CHAR(160),""))),0))))</f>
        <v/>
      </c>
      <c r="BA42" s="74" t="str" cm="1">
        <f t="array" ref="BA42">IF($AB42="","",IF(IFERROR(_xlfn.IFS($AT42="Devis 1",IFERROR(VALUE(TRIM(SUBSTITUTE(AM42,CHAR(160),""))),0),$AT42="Devis 2",IFERROR(VALUE(TRIM(SUBSTITUTE(AP42,CHAR(160),""))),0),$AT42="Devis 3",IFERROR(VALUE(TRIM(SUBSTITUTE(AS42,CHAR(160),""))),0)),0)*IFERROR(VALUE(TRIM(SUBSTITUTE($AB42,CHAR(160),""))),0)=0,"",IFERROR(_xlfn.IFS($AT42="Devis 1",IFERROR(VALUE(TRIM(SUBSTITUTE(AM42,CHAR(160),""))),0),$AT42="Devis 2",IFERROR(VALUE(TRIM(SUBSTITUTE(AP42,CHAR(160),""))),0),$AT42="Devis 3",IFERROR(VALUE(TRIM(SUBSTITUTE(AS42,CHAR(160),""))),0)),0)*IFERROR(VALUE(TRIM(SUBSTITUTE($AB42,CHAR(160),""))),0)))</f>
        <v/>
      </c>
      <c r="BB42" s="45"/>
      <c r="BC42" s="13" t="str" cm="1">
        <f t="array" ref="BC42">IF(OR(BA42="",AX42="",AY42="",AV42="",AZ42="",AW42=""),"",_xlfn.IFS((IFERROR(VALUE(TRIM(SUBSTITUTE(BA42,CHAR(160),""))),0))&gt;(IFERROR(VALUE(TRIM(SUBSTITUTE(AX42,CHAR(160),""))),0)),"KO : Le montant retenu TTC est supérieur au montant raisonnable TTC. Merci de revoir la ligne de dépense ou plafonner son montant.",(IFERROR(VALUE(TRIM(SUBSTITUTE(AY42,CHAR(160),""))),0))&gt;(IFERROR(VALUE(TRIM(SUBSTITUTE(AV42,CHAR(160),""))),0)),"Attention : Le montant retenu HT est supérieur au montant HT raisonnable. Merci de revoir la ligne de dépense, plafonner son montant, ou justifier la reventillation HT / TVA.",(IFERROR(VALUE(TRIM(SUBSTITUTE(AZ42,CHAR(160),""))),0))&gt;(IFERROR(VALUE(TRIM(SUBSTITUTE(AW42,CHAR(160),""))),0)),"Attention : Le montant TVA retenu est supérieur au montant TVA raisonnable. Merci de revoir la ligne de dépense, plafonner son montant, ou justifier la reventillation HT / TVA.",(IFERROR(VALUE(TRIM(SUBSTITUTE(BA42,CHAR(160),""))),0))=0,"",(IFERROR(VALUE(TRIM(SUBSTITUTE(AX42,CHAR(160),""))),0))=(IFERROR(VALUE(TRIM(SUBSTITUTE(BA42,CHAR(160),""))),0)),"OK",(IFERROR(VALUE(TRIM(SUBSTITUTE(AX42,CHAR(160),""))),0))&gt;(IFERROR(VALUE(TRIM(SUBSTITUTE(BA42,CHAR(160),""))),0))," OK : Montant instruit inférieur au montant raisonnable.",TRUE,""))</f>
        <v/>
      </c>
      <c r="BD42" s="187" t="str" cm="1">
        <f t="array" ref="BD42">IF(OR(BA42="",Y42="",AY42="",W42="",AZ42="",X42=""),"",_xlfn.IFS((IFERROR(VALUE(TRIM(SUBSTITUTE(BA42,CHAR(160),""))),0))&gt;(IFERROR(VALUE(TRIM(SUBSTITUTE(Y42,CHAR(160),""))),0)),"KO : Le montant retenu TTC est supérieur au montant présenté TTC. Merci de revoir la ligne de dépense ou plafonner son montant.",(IFERROR(VALUE(TRIM(SUBSTITUTE(AY42,CHAR(160),""))),0))&gt;(IFERROR(VALUE(TRIM(SUBSTITUTE(W42,CHAR(160),""))),0)),"Attention : Le montant retenu HT est supérieur au montant HT présenté. Merci de revoir la ligne de dépense,plafonner son montant,ou justifier la reventillation HT/TVA.",(IFERROR(VALUE(TRIM(SUBSTITUTE(AZ42,CHAR(160),""))),0))&gt;(IFERROR(VALUE(TRIM(SUBSTITUTE(X42,CHAR(160),""))),0)),"Attention : Le montant TVA retenu est supérieur au montant TVA présenté. Merci de revoir la ligne de dépense,plafonner son montant,ou justifier la reventillation HT/TVA.",(IFERROR(VALUE(TRIM(SUBSTITUTE(Y42,CHAR(160),""))),0))=0,"",(IFERROR(VALUE(TRIM(SUBSTITUTE(BA42,CHAR(160),""))),0))=(IFERROR(VALUE(TRIM(SUBSTITUTE(Y42,CHAR(160),""))),0)),"OK",
OR((IFERROR(VALUE(TRIM(SUBSTITUTE(BA42,CHAR(160),""))),0))=0,(IFERROR(VALUE(TRIM(SUBSTITUTE(AY42,CHAR(160),""))),0))=0),"Attention : montant présenté entièrement écarté",(IFERROR(VALUE(TRIM(SUBSTITUTE(BA42,CHAR(160),""))),0))&lt;(IFERROR(VALUE(TRIM(SUBSTITUTE(Y42,CHAR(160),""))),0)),"Attention : montant présenté partiellement écarté",TRUE,""))</f>
        <v/>
      </c>
      <c r="BE42" s="44" t="str">
        <f t="shared" si="58"/>
        <v/>
      </c>
      <c r="BF42" s="44" t="str">
        <f t="shared" si="59"/>
        <v/>
      </c>
      <c r="BG42" s="21" t="str">
        <f t="shared" si="60"/>
        <v/>
      </c>
    </row>
    <row r="43" spans="1:59" ht="15" customHeight="1">
      <c r="A43" s="70">
        <v>34</v>
      </c>
      <c r="B43" s="784"/>
      <c r="C43" s="7"/>
      <c r="D43" s="11"/>
      <c r="E43" s="451"/>
      <c r="F43" s="7"/>
      <c r="G43" s="7"/>
      <c r="H43" s="7"/>
      <c r="I43" s="7"/>
      <c r="J43" s="17"/>
      <c r="K43" s="7"/>
      <c r="L43" s="132"/>
      <c r="M43" s="138"/>
      <c r="N43" s="8"/>
      <c r="O43" s="35" t="str">
        <f t="shared" si="32"/>
        <v/>
      </c>
      <c r="P43" s="9"/>
      <c r="Q43" s="8"/>
      <c r="R43" s="35" t="str">
        <f t="shared" si="33"/>
        <v/>
      </c>
      <c r="S43" s="10"/>
      <c r="T43" s="8"/>
      <c r="U43" s="139" t="str">
        <f t="shared" si="34"/>
        <v/>
      </c>
      <c r="V43" s="147"/>
      <c r="W43" s="770" t="str" cm="1">
        <f t="array" ref="W43">IF((_xlfn.IFS(TRIM(SUBSTITUTE(V43,CHAR(160),""))="Devis 1",IFERROR(VALUE(TRIM(SUBSTITUTE(M43,CHAR(160),""))),0),TRIM(SUBSTITUTE(V43,CHAR(160),""))="Devis 2",IFERROR(VALUE(TRIM(SUBSTITUTE(P43,CHAR(160),""))),0),TRIM(SUBSTITUTE(V43,CHAR(160),""))="Devis 3",IFERROR(VALUE(TRIM(SUBSTITUTE(S43,CHAR(160),""))),0),TRUE,0)*IFERROR(VALUE(TRIM(SUBSTITUTE(D43,CHAR(160),""))),0))=0,"",_xlfn.IFS(TRIM(SUBSTITUTE(V43,CHAR(160),""))="Devis 1",IFERROR(VALUE(TRIM(SUBSTITUTE(M43,CHAR(160),""))),0),TRIM(SUBSTITUTE(V43,CHAR(160),""))="Devis 2",IFERROR(VALUE(TRIM(SUBSTITUTE(P43,CHAR(160),""))),0),TRIM(SUBSTITUTE(V43,CHAR(160),""))="Devis 3",IFERROR(VALUE(TRIM(SUBSTITUTE(S43,CHAR(160),""))),0),TRUE,0)*IFERROR(VALUE(TRIM(SUBSTITUTE(D43,CHAR(160),""))),0))</f>
        <v/>
      </c>
      <c r="X43" s="73" t="str" cm="1">
        <f t="array" ref="X43">IF(_xlfn.IFS(TRIM(SUBSTITUTE(V43,CHAR(160),""))="Devis 1",IFERROR(VALUE(TRIM(SUBSTITUTE(N43,CHAR(160),""))),0),TRIM(SUBSTITUTE(V43,CHAR(160),""))="Devis 2",IFERROR(VALUE(TRIM(SUBSTITUTE(Q43,CHAR(160),""))),0),TRIM(SUBSTITUTE(V43,CHAR(160),""))="Devis 3",IFERROR(VALUE(TRIM(SUBSTITUTE(T43,CHAR(160),""))),0),TRUE,0)*IFERROR(VALUE(TRIM(SUBSTITUTE(D43,CHAR(160),""))),0)=0,IF(W43&lt;&gt;"",0,""),_xlfn.IFS(TRIM(SUBSTITUTE(V43,CHAR(160),""))="Devis 1",IFERROR(VALUE(TRIM(SUBSTITUTE(N43,CHAR(160),""))),0),TRIM(SUBSTITUTE(V43,CHAR(160),""))="Devis 2",IFERROR(VALUE(TRIM(SUBSTITUTE(Q43,CHAR(160),""))),0),TRIM(SUBSTITUTE(V43,CHAR(160),""))="Devis 3",IFERROR(VALUE(TRIM(SUBSTITUTE(T43,CHAR(160),""))),0),TRUE,0)*IFERROR(VALUE(TRIM(SUBSTITUTE(D43,CHAR(160),""))),0))</f>
        <v/>
      </c>
      <c r="Y43" s="149" t="str">
        <f t="shared" si="35"/>
        <v/>
      </c>
      <c r="Z43" s="150"/>
      <c r="AA43" s="36" t="str">
        <f t="shared" si="36"/>
        <v/>
      </c>
      <c r="AB43" s="37" t="str">
        <f t="shared" si="37"/>
        <v/>
      </c>
      <c r="AC43" s="37" t="str">
        <f t="shared" si="31"/>
        <v/>
      </c>
      <c r="AD43" s="14" t="str">
        <f t="shared" si="38"/>
        <v/>
      </c>
      <c r="AE43" s="14" t="str">
        <f t="shared" si="39"/>
        <v/>
      </c>
      <c r="AF43" s="14" t="str">
        <f t="shared" si="40"/>
        <v/>
      </c>
      <c r="AG43" s="14" t="str">
        <f t="shared" si="41"/>
        <v/>
      </c>
      <c r="AH43" s="38" t="str">
        <f t="shared" si="42"/>
        <v/>
      </c>
      <c r="AI43" s="14" t="str">
        <f t="shared" si="43"/>
        <v/>
      </c>
      <c r="AJ43" s="39" t="str">
        <f t="shared" si="44"/>
        <v/>
      </c>
      <c r="AK43" s="40" t="str">
        <f t="shared" si="45"/>
        <v/>
      </c>
      <c r="AL43" s="20" t="str">
        <f t="shared" si="46"/>
        <v/>
      </c>
      <c r="AM43" s="35" t="str">
        <f t="shared" si="47"/>
        <v/>
      </c>
      <c r="AN43" s="41" t="str">
        <f t="shared" si="48"/>
        <v/>
      </c>
      <c r="AO43" s="20" t="str">
        <f t="shared" si="49"/>
        <v/>
      </c>
      <c r="AP43" s="35" t="str">
        <f t="shared" si="50"/>
        <v/>
      </c>
      <c r="AQ43" s="42" t="str">
        <f t="shared" si="51"/>
        <v/>
      </c>
      <c r="AR43" s="20" t="str">
        <f t="shared" si="52"/>
        <v/>
      </c>
      <c r="AS43" s="43" t="str">
        <f t="shared" si="53"/>
        <v/>
      </c>
      <c r="AT43" s="36" t="str">
        <f t="shared" si="54"/>
        <v/>
      </c>
      <c r="AU43" s="184"/>
      <c r="AV43" s="44" t="str">
        <f t="shared" si="55"/>
        <v/>
      </c>
      <c r="AW43" s="44" t="str">
        <f t="shared" si="56"/>
        <v/>
      </c>
      <c r="AX43" s="44" t="str">
        <f t="shared" si="57"/>
        <v/>
      </c>
      <c r="AY43" s="74" t="str" cm="1">
        <f t="array" ref="AY43">IF($AB43="","",IF((IFERROR(_xlfn.IFS($AT43="Devis 1",(IFERROR(VALUE(TRIM(SUBSTITUTE(AK43,CHAR(160),""))),0)),$AT43="Devis 2",(IFERROR(VALUE(TRIM(SUBSTITUTE(AN43,CHAR(160),""))),0)),$AT43="Devis 3",(IFERROR(VALUE(TRIM(SUBSTITUTE(AQ43,CHAR(160),""))),0))),0))*(IFERROR(VALUE(TRIM(SUBSTITUTE($AB43,CHAR(160),""))),0))=0,"",(IFERROR(_xlfn.IFS($AT43="Devis 1",(IFERROR(VALUE(TRIM(SUBSTITUTE(AK43,CHAR(160),""))),0)),$AT43="Devis 2",(IFERROR(VALUE(TRIM(SUBSTITUTE(AN43,CHAR(160),""))),0)),$AT43="Devis 3",(IFERROR(VALUE(TRIM(SUBSTITUTE(AQ43,CHAR(160),""))),0))),0))*(IFERROR(VALUE(TRIM(SUBSTITUTE($AB43,CHAR(160),""))),0))))</f>
        <v/>
      </c>
      <c r="AZ43" s="74" t="str" cm="1">
        <f t="array" ref="AZ43">IF($AB43="","",IF((IFERROR(_xlfn.IFS(TRIM(SUBSTITUTE($AT43,CHAR(160),""))="Devis 1", IFERROR(VALUE(TRIM(SUBSTITUTE(AL43,CHAR(160),""))),0),TRIM(SUBSTITUTE($AT43,CHAR(160),""))="Devis 2", IFERROR(VALUE(TRIM(SUBSTITUTE(AO43,CHAR(160),""))),0),TRIM(SUBSTITUTE($AT43,CHAR(160),""))="Devis 3", IFERROR(VALUE(TRIM(SUBSTITUTE(AR43,CHAR(160),""))),0)),0) * IFERROR(VALUE(TRIM(SUBSTITUTE($AB43,CHAR(160),""))),0)) = 0,IF(AY43&lt;&gt;"",0,""),(IFERROR(_xlfn.IFS(TRIM(SUBSTITUTE($AT43,CHAR(160),""))="Devis 1", IFERROR(VALUE(TRIM(SUBSTITUTE(AL43,CHAR(160),""))),0),TRIM(SUBSTITUTE($AT43,CHAR(160),""))="Devis 2", IFERROR(VALUE(TRIM(SUBSTITUTE(AO43,CHAR(160),""))),0),TRIM(SUBSTITUTE($AT43,CHAR(160),""))="Devis 3", IFERROR(VALUE(TRIM(SUBSTITUTE(AR43,CHAR(160),""))),0)),0) * IFERROR(VALUE(TRIM(SUBSTITUTE($AB43,CHAR(160),""))),0))))</f>
        <v/>
      </c>
      <c r="BA43" s="74" t="str" cm="1">
        <f t="array" ref="BA43">IF($AB43="","",IF(IFERROR(_xlfn.IFS($AT43="Devis 1",IFERROR(VALUE(TRIM(SUBSTITUTE(AM43,CHAR(160),""))),0),$AT43="Devis 2",IFERROR(VALUE(TRIM(SUBSTITUTE(AP43,CHAR(160),""))),0),$AT43="Devis 3",IFERROR(VALUE(TRIM(SUBSTITUTE(AS43,CHAR(160),""))),0)),0)*IFERROR(VALUE(TRIM(SUBSTITUTE($AB43,CHAR(160),""))),0)=0,"",IFERROR(_xlfn.IFS($AT43="Devis 1",IFERROR(VALUE(TRIM(SUBSTITUTE(AM43,CHAR(160),""))),0),$AT43="Devis 2",IFERROR(VALUE(TRIM(SUBSTITUTE(AP43,CHAR(160),""))),0),$AT43="Devis 3",IFERROR(VALUE(TRIM(SUBSTITUTE(AS43,CHAR(160),""))),0)),0)*IFERROR(VALUE(TRIM(SUBSTITUTE($AB43,CHAR(160),""))),0)))</f>
        <v/>
      </c>
      <c r="BB43" s="45"/>
      <c r="BC43" s="13" t="str" cm="1">
        <f t="array" ref="BC43">IF(OR(BA43="",AX43="",AY43="",AV43="",AZ43="",AW43=""),"",_xlfn.IFS((IFERROR(VALUE(TRIM(SUBSTITUTE(BA43,CHAR(160),""))),0))&gt;(IFERROR(VALUE(TRIM(SUBSTITUTE(AX43,CHAR(160),""))),0)),"KO : Le montant retenu TTC est supérieur au montant raisonnable TTC. Merci de revoir la ligne de dépense ou plafonner son montant.",(IFERROR(VALUE(TRIM(SUBSTITUTE(AY43,CHAR(160),""))),0))&gt;(IFERROR(VALUE(TRIM(SUBSTITUTE(AV43,CHAR(160),""))),0)),"Attention : Le montant retenu HT est supérieur au montant HT raisonnable. Merci de revoir la ligne de dépense, plafonner son montant, ou justifier la reventillation HT / TVA.",(IFERROR(VALUE(TRIM(SUBSTITUTE(AZ43,CHAR(160),""))),0))&gt;(IFERROR(VALUE(TRIM(SUBSTITUTE(AW43,CHAR(160),""))),0)),"Attention : Le montant TVA retenu est supérieur au montant TVA raisonnable. Merci de revoir la ligne de dépense, plafonner son montant, ou justifier la reventillation HT / TVA.",(IFERROR(VALUE(TRIM(SUBSTITUTE(BA43,CHAR(160),""))),0))=0,"",(IFERROR(VALUE(TRIM(SUBSTITUTE(AX43,CHAR(160),""))),0))=(IFERROR(VALUE(TRIM(SUBSTITUTE(BA43,CHAR(160),""))),0)),"OK",(IFERROR(VALUE(TRIM(SUBSTITUTE(AX43,CHAR(160),""))),0))&gt;(IFERROR(VALUE(TRIM(SUBSTITUTE(BA43,CHAR(160),""))),0))," OK : Montant instruit inférieur au montant raisonnable.",TRUE,""))</f>
        <v/>
      </c>
      <c r="BD43" s="187" t="str" cm="1">
        <f t="array" ref="BD43">IF(OR(BA43="",Y43="",AY43="",W43="",AZ43="",X43=""),"",_xlfn.IFS((IFERROR(VALUE(TRIM(SUBSTITUTE(BA43,CHAR(160),""))),0))&gt;(IFERROR(VALUE(TRIM(SUBSTITUTE(Y43,CHAR(160),""))),0)),"KO : Le montant retenu TTC est supérieur au montant présenté TTC. Merci de revoir la ligne de dépense ou plafonner son montant.",(IFERROR(VALUE(TRIM(SUBSTITUTE(AY43,CHAR(160),""))),0))&gt;(IFERROR(VALUE(TRIM(SUBSTITUTE(W43,CHAR(160),""))),0)),"Attention : Le montant retenu HT est supérieur au montant HT présenté. Merci de revoir la ligne de dépense,plafonner son montant,ou justifier la reventillation HT/TVA.",(IFERROR(VALUE(TRIM(SUBSTITUTE(AZ43,CHAR(160),""))),0))&gt;(IFERROR(VALUE(TRIM(SUBSTITUTE(X43,CHAR(160),""))),0)),"Attention : Le montant TVA retenu est supérieur au montant TVA présenté. Merci de revoir la ligne de dépense,plafonner son montant,ou justifier la reventillation HT/TVA.",(IFERROR(VALUE(TRIM(SUBSTITUTE(Y43,CHAR(160),""))),0))=0,"",(IFERROR(VALUE(TRIM(SUBSTITUTE(BA43,CHAR(160),""))),0))=(IFERROR(VALUE(TRIM(SUBSTITUTE(Y43,CHAR(160),""))),0)),"OK",
OR((IFERROR(VALUE(TRIM(SUBSTITUTE(BA43,CHAR(160),""))),0))=0,(IFERROR(VALUE(TRIM(SUBSTITUTE(AY43,CHAR(160),""))),0))=0),"Attention : montant présenté entièrement écarté",(IFERROR(VALUE(TRIM(SUBSTITUTE(BA43,CHAR(160),""))),0))&lt;(IFERROR(VALUE(TRIM(SUBSTITUTE(Y43,CHAR(160),""))),0)),"Attention : montant présenté partiellement écarté",TRUE,""))</f>
        <v/>
      </c>
      <c r="BE43" s="44" t="str">
        <f t="shared" si="58"/>
        <v/>
      </c>
      <c r="BF43" s="44" t="str">
        <f t="shared" si="59"/>
        <v/>
      </c>
      <c r="BG43" s="21" t="str">
        <f t="shared" si="60"/>
        <v/>
      </c>
    </row>
    <row r="44" spans="1:59" ht="15" customHeight="1">
      <c r="A44" s="70">
        <v>35</v>
      </c>
      <c r="B44" s="784"/>
      <c r="C44" s="7"/>
      <c r="D44" s="11"/>
      <c r="E44" s="451"/>
      <c r="F44" s="7"/>
      <c r="G44" s="7"/>
      <c r="H44" s="7"/>
      <c r="I44" s="7"/>
      <c r="J44" s="17"/>
      <c r="K44" s="7"/>
      <c r="L44" s="132"/>
      <c r="M44" s="138"/>
      <c r="N44" s="8"/>
      <c r="O44" s="35" t="str">
        <f t="shared" si="32"/>
        <v/>
      </c>
      <c r="P44" s="9"/>
      <c r="Q44" s="8"/>
      <c r="R44" s="35" t="str">
        <f t="shared" si="33"/>
        <v/>
      </c>
      <c r="S44" s="10"/>
      <c r="T44" s="8"/>
      <c r="U44" s="139" t="str">
        <f t="shared" si="34"/>
        <v/>
      </c>
      <c r="V44" s="147"/>
      <c r="W44" s="770" t="str" cm="1">
        <f t="array" ref="W44">IF((_xlfn.IFS(TRIM(SUBSTITUTE(V44,CHAR(160),""))="Devis 1",IFERROR(VALUE(TRIM(SUBSTITUTE(M44,CHAR(160),""))),0),TRIM(SUBSTITUTE(V44,CHAR(160),""))="Devis 2",IFERROR(VALUE(TRIM(SUBSTITUTE(P44,CHAR(160),""))),0),TRIM(SUBSTITUTE(V44,CHAR(160),""))="Devis 3",IFERROR(VALUE(TRIM(SUBSTITUTE(S44,CHAR(160),""))),0),TRUE,0)*IFERROR(VALUE(TRIM(SUBSTITUTE(D44,CHAR(160),""))),0))=0,"",_xlfn.IFS(TRIM(SUBSTITUTE(V44,CHAR(160),""))="Devis 1",IFERROR(VALUE(TRIM(SUBSTITUTE(M44,CHAR(160),""))),0),TRIM(SUBSTITUTE(V44,CHAR(160),""))="Devis 2",IFERROR(VALUE(TRIM(SUBSTITUTE(P44,CHAR(160),""))),0),TRIM(SUBSTITUTE(V44,CHAR(160),""))="Devis 3",IFERROR(VALUE(TRIM(SUBSTITUTE(S44,CHAR(160),""))),0),TRUE,0)*IFERROR(VALUE(TRIM(SUBSTITUTE(D44,CHAR(160),""))),0))</f>
        <v/>
      </c>
      <c r="X44" s="73" t="str" cm="1">
        <f t="array" ref="X44">IF(_xlfn.IFS(TRIM(SUBSTITUTE(V44,CHAR(160),""))="Devis 1",IFERROR(VALUE(TRIM(SUBSTITUTE(N44,CHAR(160),""))),0),TRIM(SUBSTITUTE(V44,CHAR(160),""))="Devis 2",IFERROR(VALUE(TRIM(SUBSTITUTE(Q44,CHAR(160),""))),0),TRIM(SUBSTITUTE(V44,CHAR(160),""))="Devis 3",IFERROR(VALUE(TRIM(SUBSTITUTE(T44,CHAR(160),""))),0),TRUE,0)*IFERROR(VALUE(TRIM(SUBSTITUTE(D44,CHAR(160),""))),0)=0,IF(W44&lt;&gt;"",0,""),_xlfn.IFS(TRIM(SUBSTITUTE(V44,CHAR(160),""))="Devis 1",IFERROR(VALUE(TRIM(SUBSTITUTE(N44,CHAR(160),""))),0),TRIM(SUBSTITUTE(V44,CHAR(160),""))="Devis 2",IFERROR(VALUE(TRIM(SUBSTITUTE(Q44,CHAR(160),""))),0),TRIM(SUBSTITUTE(V44,CHAR(160),""))="Devis 3",IFERROR(VALUE(TRIM(SUBSTITUTE(T44,CHAR(160),""))),0),TRUE,0)*IFERROR(VALUE(TRIM(SUBSTITUTE(D44,CHAR(160),""))),0))</f>
        <v/>
      </c>
      <c r="Y44" s="149" t="str">
        <f t="shared" si="35"/>
        <v/>
      </c>
      <c r="Z44" s="150"/>
      <c r="AA44" s="36" t="str">
        <f t="shared" si="36"/>
        <v/>
      </c>
      <c r="AB44" s="37" t="str">
        <f t="shared" si="37"/>
        <v/>
      </c>
      <c r="AC44" s="37" t="str">
        <f t="shared" si="31"/>
        <v/>
      </c>
      <c r="AD44" s="14" t="str">
        <f t="shared" si="38"/>
        <v/>
      </c>
      <c r="AE44" s="14" t="str">
        <f t="shared" si="39"/>
        <v/>
      </c>
      <c r="AF44" s="14" t="str">
        <f t="shared" si="40"/>
        <v/>
      </c>
      <c r="AG44" s="14" t="str">
        <f t="shared" si="41"/>
        <v/>
      </c>
      <c r="AH44" s="38" t="str">
        <f t="shared" si="42"/>
        <v/>
      </c>
      <c r="AI44" s="14" t="str">
        <f t="shared" si="43"/>
        <v/>
      </c>
      <c r="AJ44" s="39" t="str">
        <f t="shared" si="44"/>
        <v/>
      </c>
      <c r="AK44" s="40" t="str">
        <f t="shared" si="45"/>
        <v/>
      </c>
      <c r="AL44" s="20" t="str">
        <f t="shared" si="46"/>
        <v/>
      </c>
      <c r="AM44" s="35" t="str">
        <f t="shared" si="47"/>
        <v/>
      </c>
      <c r="AN44" s="41" t="str">
        <f t="shared" si="48"/>
        <v/>
      </c>
      <c r="AO44" s="20" t="str">
        <f t="shared" si="49"/>
        <v/>
      </c>
      <c r="AP44" s="35" t="str">
        <f t="shared" si="50"/>
        <v/>
      </c>
      <c r="AQ44" s="42" t="str">
        <f t="shared" si="51"/>
        <v/>
      </c>
      <c r="AR44" s="20" t="str">
        <f t="shared" si="52"/>
        <v/>
      </c>
      <c r="AS44" s="43" t="str">
        <f t="shared" si="53"/>
        <v/>
      </c>
      <c r="AT44" s="36" t="str">
        <f t="shared" si="54"/>
        <v/>
      </c>
      <c r="AU44" s="184"/>
      <c r="AV44" s="44" t="str">
        <f t="shared" si="55"/>
        <v/>
      </c>
      <c r="AW44" s="44" t="str">
        <f t="shared" si="56"/>
        <v/>
      </c>
      <c r="AX44" s="44" t="str">
        <f t="shared" si="57"/>
        <v/>
      </c>
      <c r="AY44" s="74" t="str" cm="1">
        <f t="array" ref="AY44">IF($AB44="","",IF((IFERROR(_xlfn.IFS($AT44="Devis 1",(IFERROR(VALUE(TRIM(SUBSTITUTE(AK44,CHAR(160),""))),0)),$AT44="Devis 2",(IFERROR(VALUE(TRIM(SUBSTITUTE(AN44,CHAR(160),""))),0)),$AT44="Devis 3",(IFERROR(VALUE(TRIM(SUBSTITUTE(AQ44,CHAR(160),""))),0))),0))*(IFERROR(VALUE(TRIM(SUBSTITUTE($AB44,CHAR(160),""))),0))=0,"",(IFERROR(_xlfn.IFS($AT44="Devis 1",(IFERROR(VALUE(TRIM(SUBSTITUTE(AK44,CHAR(160),""))),0)),$AT44="Devis 2",(IFERROR(VALUE(TRIM(SUBSTITUTE(AN44,CHAR(160),""))),0)),$AT44="Devis 3",(IFERROR(VALUE(TRIM(SUBSTITUTE(AQ44,CHAR(160),""))),0))),0))*(IFERROR(VALUE(TRIM(SUBSTITUTE($AB44,CHAR(160),""))),0))))</f>
        <v/>
      </c>
      <c r="AZ44" s="74" t="str" cm="1">
        <f t="array" ref="AZ44">IF($AB44="","",IF((IFERROR(_xlfn.IFS(TRIM(SUBSTITUTE($AT44,CHAR(160),""))="Devis 1", IFERROR(VALUE(TRIM(SUBSTITUTE(AL44,CHAR(160),""))),0),TRIM(SUBSTITUTE($AT44,CHAR(160),""))="Devis 2", IFERROR(VALUE(TRIM(SUBSTITUTE(AO44,CHAR(160),""))),0),TRIM(SUBSTITUTE($AT44,CHAR(160),""))="Devis 3", IFERROR(VALUE(TRIM(SUBSTITUTE(AR44,CHAR(160),""))),0)),0) * IFERROR(VALUE(TRIM(SUBSTITUTE($AB44,CHAR(160),""))),0)) = 0,IF(AY44&lt;&gt;"",0,""),(IFERROR(_xlfn.IFS(TRIM(SUBSTITUTE($AT44,CHAR(160),""))="Devis 1", IFERROR(VALUE(TRIM(SUBSTITUTE(AL44,CHAR(160),""))),0),TRIM(SUBSTITUTE($AT44,CHAR(160),""))="Devis 2", IFERROR(VALUE(TRIM(SUBSTITUTE(AO44,CHAR(160),""))),0),TRIM(SUBSTITUTE($AT44,CHAR(160),""))="Devis 3", IFERROR(VALUE(TRIM(SUBSTITUTE(AR44,CHAR(160),""))),0)),0) * IFERROR(VALUE(TRIM(SUBSTITUTE($AB44,CHAR(160),""))),0))))</f>
        <v/>
      </c>
      <c r="BA44" s="74" t="str" cm="1">
        <f t="array" ref="BA44">IF($AB44="","",IF(IFERROR(_xlfn.IFS($AT44="Devis 1",IFERROR(VALUE(TRIM(SUBSTITUTE(AM44,CHAR(160),""))),0),$AT44="Devis 2",IFERROR(VALUE(TRIM(SUBSTITUTE(AP44,CHAR(160),""))),0),$AT44="Devis 3",IFERROR(VALUE(TRIM(SUBSTITUTE(AS44,CHAR(160),""))),0)),0)*IFERROR(VALUE(TRIM(SUBSTITUTE($AB44,CHAR(160),""))),0)=0,"",IFERROR(_xlfn.IFS($AT44="Devis 1",IFERROR(VALUE(TRIM(SUBSTITUTE(AM44,CHAR(160),""))),0),$AT44="Devis 2",IFERROR(VALUE(TRIM(SUBSTITUTE(AP44,CHAR(160),""))),0),$AT44="Devis 3",IFERROR(VALUE(TRIM(SUBSTITUTE(AS44,CHAR(160),""))),0)),0)*IFERROR(VALUE(TRIM(SUBSTITUTE($AB44,CHAR(160),""))),0)))</f>
        <v/>
      </c>
      <c r="BB44" s="45"/>
      <c r="BC44" s="13" t="str" cm="1">
        <f t="array" ref="BC44">IF(OR(BA44="",AX44="",AY44="",AV44="",AZ44="",AW44=""),"",_xlfn.IFS((IFERROR(VALUE(TRIM(SUBSTITUTE(BA44,CHAR(160),""))),0))&gt;(IFERROR(VALUE(TRIM(SUBSTITUTE(AX44,CHAR(160),""))),0)),"KO : Le montant retenu TTC est supérieur au montant raisonnable TTC. Merci de revoir la ligne de dépense ou plafonner son montant.",(IFERROR(VALUE(TRIM(SUBSTITUTE(AY44,CHAR(160),""))),0))&gt;(IFERROR(VALUE(TRIM(SUBSTITUTE(AV44,CHAR(160),""))),0)),"Attention : Le montant retenu HT est supérieur au montant HT raisonnable. Merci de revoir la ligne de dépense, plafonner son montant, ou justifier la reventillation HT / TVA.",(IFERROR(VALUE(TRIM(SUBSTITUTE(AZ44,CHAR(160),""))),0))&gt;(IFERROR(VALUE(TRIM(SUBSTITUTE(AW44,CHAR(160),""))),0)),"Attention : Le montant TVA retenu est supérieur au montant TVA raisonnable. Merci de revoir la ligne de dépense, plafonner son montant, ou justifier la reventillation HT / TVA.",(IFERROR(VALUE(TRIM(SUBSTITUTE(BA44,CHAR(160),""))),0))=0,"",(IFERROR(VALUE(TRIM(SUBSTITUTE(AX44,CHAR(160),""))),0))=(IFERROR(VALUE(TRIM(SUBSTITUTE(BA44,CHAR(160),""))),0)),"OK",(IFERROR(VALUE(TRIM(SUBSTITUTE(AX44,CHAR(160),""))),0))&gt;(IFERROR(VALUE(TRIM(SUBSTITUTE(BA44,CHAR(160),""))),0))," OK : Montant instruit inférieur au montant raisonnable.",TRUE,""))</f>
        <v/>
      </c>
      <c r="BD44" s="187" t="str" cm="1">
        <f t="array" ref="BD44">IF(OR(BA44="",Y44="",AY44="",W44="",AZ44="",X44=""),"",_xlfn.IFS((IFERROR(VALUE(TRIM(SUBSTITUTE(BA44,CHAR(160),""))),0))&gt;(IFERROR(VALUE(TRIM(SUBSTITUTE(Y44,CHAR(160),""))),0)),"KO : Le montant retenu TTC est supérieur au montant présenté TTC. Merci de revoir la ligne de dépense ou plafonner son montant.",(IFERROR(VALUE(TRIM(SUBSTITUTE(AY44,CHAR(160),""))),0))&gt;(IFERROR(VALUE(TRIM(SUBSTITUTE(W44,CHAR(160),""))),0)),"Attention : Le montant retenu HT est supérieur au montant HT présenté. Merci de revoir la ligne de dépense,plafonner son montant,ou justifier la reventillation HT/TVA.",(IFERROR(VALUE(TRIM(SUBSTITUTE(AZ44,CHAR(160),""))),0))&gt;(IFERROR(VALUE(TRIM(SUBSTITUTE(X44,CHAR(160),""))),0)),"Attention : Le montant TVA retenu est supérieur au montant TVA présenté. Merci de revoir la ligne de dépense,plafonner son montant,ou justifier la reventillation HT/TVA.",(IFERROR(VALUE(TRIM(SUBSTITUTE(Y44,CHAR(160),""))),0))=0,"",(IFERROR(VALUE(TRIM(SUBSTITUTE(BA44,CHAR(160),""))),0))=(IFERROR(VALUE(TRIM(SUBSTITUTE(Y44,CHAR(160),""))),0)),"OK",
OR((IFERROR(VALUE(TRIM(SUBSTITUTE(BA44,CHAR(160),""))),0))=0,(IFERROR(VALUE(TRIM(SUBSTITUTE(AY44,CHAR(160),""))),0))=0),"Attention : montant présenté entièrement écarté",(IFERROR(VALUE(TRIM(SUBSTITUTE(BA44,CHAR(160),""))),0))&lt;(IFERROR(VALUE(TRIM(SUBSTITUTE(Y44,CHAR(160),""))),0)),"Attention : montant présenté partiellement écarté",TRUE,""))</f>
        <v/>
      </c>
      <c r="BE44" s="44" t="str">
        <f t="shared" si="58"/>
        <v/>
      </c>
      <c r="BF44" s="44" t="str">
        <f t="shared" si="59"/>
        <v/>
      </c>
      <c r="BG44" s="21" t="str">
        <f t="shared" si="60"/>
        <v/>
      </c>
    </row>
    <row r="45" spans="1:59" ht="15" customHeight="1">
      <c r="A45" s="70">
        <v>36</v>
      </c>
      <c r="B45" s="784"/>
      <c r="C45" s="7"/>
      <c r="D45" s="11"/>
      <c r="E45" s="451"/>
      <c r="F45" s="7"/>
      <c r="G45" s="7"/>
      <c r="H45" s="7"/>
      <c r="I45" s="7"/>
      <c r="J45" s="17"/>
      <c r="K45" s="7"/>
      <c r="L45" s="132"/>
      <c r="M45" s="138"/>
      <c r="N45" s="8"/>
      <c r="O45" s="35" t="str">
        <f t="shared" si="32"/>
        <v/>
      </c>
      <c r="P45" s="9"/>
      <c r="Q45" s="8"/>
      <c r="R45" s="35" t="str">
        <f t="shared" si="33"/>
        <v/>
      </c>
      <c r="S45" s="10"/>
      <c r="T45" s="8"/>
      <c r="U45" s="139" t="str">
        <f t="shared" si="34"/>
        <v/>
      </c>
      <c r="V45" s="147"/>
      <c r="W45" s="770" t="str" cm="1">
        <f t="array" ref="W45">IF((_xlfn.IFS(TRIM(SUBSTITUTE(V45,CHAR(160),""))="Devis 1",IFERROR(VALUE(TRIM(SUBSTITUTE(M45,CHAR(160),""))),0),TRIM(SUBSTITUTE(V45,CHAR(160),""))="Devis 2",IFERROR(VALUE(TRIM(SUBSTITUTE(P45,CHAR(160),""))),0),TRIM(SUBSTITUTE(V45,CHAR(160),""))="Devis 3",IFERROR(VALUE(TRIM(SUBSTITUTE(S45,CHAR(160),""))),0),TRUE,0)*IFERROR(VALUE(TRIM(SUBSTITUTE(D45,CHAR(160),""))),0))=0,"",_xlfn.IFS(TRIM(SUBSTITUTE(V45,CHAR(160),""))="Devis 1",IFERROR(VALUE(TRIM(SUBSTITUTE(M45,CHAR(160),""))),0),TRIM(SUBSTITUTE(V45,CHAR(160),""))="Devis 2",IFERROR(VALUE(TRIM(SUBSTITUTE(P45,CHAR(160),""))),0),TRIM(SUBSTITUTE(V45,CHAR(160),""))="Devis 3",IFERROR(VALUE(TRIM(SUBSTITUTE(S45,CHAR(160),""))),0),TRUE,0)*IFERROR(VALUE(TRIM(SUBSTITUTE(D45,CHAR(160),""))),0))</f>
        <v/>
      </c>
      <c r="X45" s="73" t="str" cm="1">
        <f t="array" ref="X45">IF(_xlfn.IFS(TRIM(SUBSTITUTE(V45,CHAR(160),""))="Devis 1",IFERROR(VALUE(TRIM(SUBSTITUTE(N45,CHAR(160),""))),0),TRIM(SUBSTITUTE(V45,CHAR(160),""))="Devis 2",IFERROR(VALUE(TRIM(SUBSTITUTE(Q45,CHAR(160),""))),0),TRIM(SUBSTITUTE(V45,CHAR(160),""))="Devis 3",IFERROR(VALUE(TRIM(SUBSTITUTE(T45,CHAR(160),""))),0),TRUE,0)*IFERROR(VALUE(TRIM(SUBSTITUTE(D45,CHAR(160),""))),0)=0,IF(W45&lt;&gt;"",0,""),_xlfn.IFS(TRIM(SUBSTITUTE(V45,CHAR(160),""))="Devis 1",IFERROR(VALUE(TRIM(SUBSTITUTE(N45,CHAR(160),""))),0),TRIM(SUBSTITUTE(V45,CHAR(160),""))="Devis 2",IFERROR(VALUE(TRIM(SUBSTITUTE(Q45,CHAR(160),""))),0),TRIM(SUBSTITUTE(V45,CHAR(160),""))="Devis 3",IFERROR(VALUE(TRIM(SUBSTITUTE(T45,CHAR(160),""))),0),TRUE,0)*IFERROR(VALUE(TRIM(SUBSTITUTE(D45,CHAR(160),""))),0))</f>
        <v/>
      </c>
      <c r="Y45" s="149" t="str">
        <f t="shared" si="35"/>
        <v/>
      </c>
      <c r="Z45" s="150"/>
      <c r="AA45" s="36" t="str">
        <f t="shared" si="36"/>
        <v/>
      </c>
      <c r="AB45" s="37" t="str">
        <f t="shared" si="37"/>
        <v/>
      </c>
      <c r="AC45" s="37" t="str">
        <f t="shared" si="31"/>
        <v/>
      </c>
      <c r="AD45" s="14" t="str">
        <f t="shared" si="38"/>
        <v/>
      </c>
      <c r="AE45" s="14" t="str">
        <f t="shared" si="39"/>
        <v/>
      </c>
      <c r="AF45" s="14" t="str">
        <f t="shared" si="40"/>
        <v/>
      </c>
      <c r="AG45" s="14" t="str">
        <f t="shared" si="41"/>
        <v/>
      </c>
      <c r="AH45" s="38" t="str">
        <f t="shared" si="42"/>
        <v/>
      </c>
      <c r="AI45" s="14" t="str">
        <f t="shared" si="43"/>
        <v/>
      </c>
      <c r="AJ45" s="39" t="str">
        <f t="shared" si="44"/>
        <v/>
      </c>
      <c r="AK45" s="40" t="str">
        <f t="shared" si="45"/>
        <v/>
      </c>
      <c r="AL45" s="20" t="str">
        <f t="shared" si="46"/>
        <v/>
      </c>
      <c r="AM45" s="35" t="str">
        <f t="shared" si="47"/>
        <v/>
      </c>
      <c r="AN45" s="41" t="str">
        <f t="shared" si="48"/>
        <v/>
      </c>
      <c r="AO45" s="20" t="str">
        <f t="shared" si="49"/>
        <v/>
      </c>
      <c r="AP45" s="35" t="str">
        <f t="shared" si="50"/>
        <v/>
      </c>
      <c r="AQ45" s="42" t="str">
        <f t="shared" si="51"/>
        <v/>
      </c>
      <c r="AR45" s="20" t="str">
        <f t="shared" si="52"/>
        <v/>
      </c>
      <c r="AS45" s="43" t="str">
        <f t="shared" si="53"/>
        <v/>
      </c>
      <c r="AT45" s="36" t="str">
        <f t="shared" si="54"/>
        <v/>
      </c>
      <c r="AU45" s="184"/>
      <c r="AV45" s="44" t="str">
        <f t="shared" si="55"/>
        <v/>
      </c>
      <c r="AW45" s="44" t="str">
        <f t="shared" si="56"/>
        <v/>
      </c>
      <c r="AX45" s="44" t="str">
        <f t="shared" si="57"/>
        <v/>
      </c>
      <c r="AY45" s="74" t="str" cm="1">
        <f t="array" ref="AY45">IF($AB45="","",IF((IFERROR(_xlfn.IFS($AT45="Devis 1",(IFERROR(VALUE(TRIM(SUBSTITUTE(AK45,CHAR(160),""))),0)),$AT45="Devis 2",(IFERROR(VALUE(TRIM(SUBSTITUTE(AN45,CHAR(160),""))),0)),$AT45="Devis 3",(IFERROR(VALUE(TRIM(SUBSTITUTE(AQ45,CHAR(160),""))),0))),0))*(IFERROR(VALUE(TRIM(SUBSTITUTE($AB45,CHAR(160),""))),0))=0,"",(IFERROR(_xlfn.IFS($AT45="Devis 1",(IFERROR(VALUE(TRIM(SUBSTITUTE(AK45,CHAR(160),""))),0)),$AT45="Devis 2",(IFERROR(VALUE(TRIM(SUBSTITUTE(AN45,CHAR(160),""))),0)),$AT45="Devis 3",(IFERROR(VALUE(TRIM(SUBSTITUTE(AQ45,CHAR(160),""))),0))),0))*(IFERROR(VALUE(TRIM(SUBSTITUTE($AB45,CHAR(160),""))),0))))</f>
        <v/>
      </c>
      <c r="AZ45" s="74" t="str" cm="1">
        <f t="array" ref="AZ45">IF($AB45="","",IF((IFERROR(_xlfn.IFS(TRIM(SUBSTITUTE($AT45,CHAR(160),""))="Devis 1", IFERROR(VALUE(TRIM(SUBSTITUTE(AL45,CHAR(160),""))),0),TRIM(SUBSTITUTE($AT45,CHAR(160),""))="Devis 2", IFERROR(VALUE(TRIM(SUBSTITUTE(AO45,CHAR(160),""))),0),TRIM(SUBSTITUTE($AT45,CHAR(160),""))="Devis 3", IFERROR(VALUE(TRIM(SUBSTITUTE(AR45,CHAR(160),""))),0)),0) * IFERROR(VALUE(TRIM(SUBSTITUTE($AB45,CHAR(160),""))),0)) = 0,IF(AY45&lt;&gt;"",0,""),(IFERROR(_xlfn.IFS(TRIM(SUBSTITUTE($AT45,CHAR(160),""))="Devis 1", IFERROR(VALUE(TRIM(SUBSTITUTE(AL45,CHAR(160),""))),0),TRIM(SUBSTITUTE($AT45,CHAR(160),""))="Devis 2", IFERROR(VALUE(TRIM(SUBSTITUTE(AO45,CHAR(160),""))),0),TRIM(SUBSTITUTE($AT45,CHAR(160),""))="Devis 3", IFERROR(VALUE(TRIM(SUBSTITUTE(AR45,CHAR(160),""))),0)),0) * IFERROR(VALUE(TRIM(SUBSTITUTE($AB45,CHAR(160),""))),0))))</f>
        <v/>
      </c>
      <c r="BA45" s="74" t="str" cm="1">
        <f t="array" ref="BA45">IF($AB45="","",IF(IFERROR(_xlfn.IFS($AT45="Devis 1",IFERROR(VALUE(TRIM(SUBSTITUTE(AM45,CHAR(160),""))),0),$AT45="Devis 2",IFERROR(VALUE(TRIM(SUBSTITUTE(AP45,CHAR(160),""))),0),$AT45="Devis 3",IFERROR(VALUE(TRIM(SUBSTITUTE(AS45,CHAR(160),""))),0)),0)*IFERROR(VALUE(TRIM(SUBSTITUTE($AB45,CHAR(160),""))),0)=0,"",IFERROR(_xlfn.IFS($AT45="Devis 1",IFERROR(VALUE(TRIM(SUBSTITUTE(AM45,CHAR(160),""))),0),$AT45="Devis 2",IFERROR(VALUE(TRIM(SUBSTITUTE(AP45,CHAR(160),""))),0),$AT45="Devis 3",IFERROR(VALUE(TRIM(SUBSTITUTE(AS45,CHAR(160),""))),0)),0)*IFERROR(VALUE(TRIM(SUBSTITUTE($AB45,CHAR(160),""))),0)))</f>
        <v/>
      </c>
      <c r="BB45" s="45"/>
      <c r="BC45" s="13" t="str" cm="1">
        <f t="array" ref="BC45">IF(OR(BA45="",AX45="",AY45="",AV45="",AZ45="",AW45=""),"",_xlfn.IFS((IFERROR(VALUE(TRIM(SUBSTITUTE(BA45,CHAR(160),""))),0))&gt;(IFERROR(VALUE(TRIM(SUBSTITUTE(AX45,CHAR(160),""))),0)),"KO : Le montant retenu TTC est supérieur au montant raisonnable TTC. Merci de revoir la ligne de dépense ou plafonner son montant.",(IFERROR(VALUE(TRIM(SUBSTITUTE(AY45,CHAR(160),""))),0))&gt;(IFERROR(VALUE(TRIM(SUBSTITUTE(AV45,CHAR(160),""))),0)),"Attention : Le montant retenu HT est supérieur au montant HT raisonnable. Merci de revoir la ligne de dépense, plafonner son montant, ou justifier la reventillation HT / TVA.",(IFERROR(VALUE(TRIM(SUBSTITUTE(AZ45,CHAR(160),""))),0))&gt;(IFERROR(VALUE(TRIM(SUBSTITUTE(AW45,CHAR(160),""))),0)),"Attention : Le montant TVA retenu est supérieur au montant TVA raisonnable. Merci de revoir la ligne de dépense, plafonner son montant, ou justifier la reventillation HT / TVA.",(IFERROR(VALUE(TRIM(SUBSTITUTE(BA45,CHAR(160),""))),0))=0,"",(IFERROR(VALUE(TRIM(SUBSTITUTE(AX45,CHAR(160),""))),0))=(IFERROR(VALUE(TRIM(SUBSTITUTE(BA45,CHAR(160),""))),0)),"OK",(IFERROR(VALUE(TRIM(SUBSTITUTE(AX45,CHAR(160),""))),0))&gt;(IFERROR(VALUE(TRIM(SUBSTITUTE(BA45,CHAR(160),""))),0))," OK : Montant instruit inférieur au montant raisonnable.",TRUE,""))</f>
        <v/>
      </c>
      <c r="BD45" s="187" t="str" cm="1">
        <f t="array" ref="BD45">IF(OR(BA45="",Y45="",AY45="",W45="",AZ45="",X45=""),"",_xlfn.IFS((IFERROR(VALUE(TRIM(SUBSTITUTE(BA45,CHAR(160),""))),0))&gt;(IFERROR(VALUE(TRIM(SUBSTITUTE(Y45,CHAR(160),""))),0)),"KO : Le montant retenu TTC est supérieur au montant présenté TTC. Merci de revoir la ligne de dépense ou plafonner son montant.",(IFERROR(VALUE(TRIM(SUBSTITUTE(AY45,CHAR(160),""))),0))&gt;(IFERROR(VALUE(TRIM(SUBSTITUTE(W45,CHAR(160),""))),0)),"Attention : Le montant retenu HT est supérieur au montant HT présenté. Merci de revoir la ligne de dépense,plafonner son montant,ou justifier la reventillation HT/TVA.",(IFERROR(VALUE(TRIM(SUBSTITUTE(AZ45,CHAR(160),""))),0))&gt;(IFERROR(VALUE(TRIM(SUBSTITUTE(X45,CHAR(160),""))),0)),"Attention : Le montant TVA retenu est supérieur au montant TVA présenté. Merci de revoir la ligne de dépense,plafonner son montant,ou justifier la reventillation HT/TVA.",(IFERROR(VALUE(TRIM(SUBSTITUTE(Y45,CHAR(160),""))),0))=0,"",(IFERROR(VALUE(TRIM(SUBSTITUTE(BA45,CHAR(160),""))),0))=(IFERROR(VALUE(TRIM(SUBSTITUTE(Y45,CHAR(160),""))),0)),"OK",
OR((IFERROR(VALUE(TRIM(SUBSTITUTE(BA45,CHAR(160),""))),0))=0,(IFERROR(VALUE(TRIM(SUBSTITUTE(AY45,CHAR(160),""))),0))=0),"Attention : montant présenté entièrement écarté",(IFERROR(VALUE(TRIM(SUBSTITUTE(BA45,CHAR(160),""))),0))&lt;(IFERROR(VALUE(TRIM(SUBSTITUTE(Y45,CHAR(160),""))),0)),"Attention : montant présenté partiellement écarté",TRUE,""))</f>
        <v/>
      </c>
      <c r="BE45" s="44" t="str">
        <f t="shared" si="58"/>
        <v/>
      </c>
      <c r="BF45" s="44" t="str">
        <f t="shared" si="59"/>
        <v/>
      </c>
      <c r="BG45" s="21" t="str">
        <f t="shared" si="60"/>
        <v/>
      </c>
    </row>
    <row r="46" spans="1:59" ht="15" customHeight="1">
      <c r="A46" s="70">
        <v>37</v>
      </c>
      <c r="B46" s="784"/>
      <c r="C46" s="7"/>
      <c r="D46" s="11"/>
      <c r="E46" s="451"/>
      <c r="F46" s="7"/>
      <c r="G46" s="7"/>
      <c r="H46" s="7"/>
      <c r="I46" s="7"/>
      <c r="J46" s="17"/>
      <c r="K46" s="7"/>
      <c r="L46" s="132"/>
      <c r="M46" s="138"/>
      <c r="N46" s="8"/>
      <c r="O46" s="35" t="str">
        <f t="shared" si="32"/>
        <v/>
      </c>
      <c r="P46" s="9"/>
      <c r="Q46" s="8"/>
      <c r="R46" s="35" t="str">
        <f t="shared" si="33"/>
        <v/>
      </c>
      <c r="S46" s="10"/>
      <c r="T46" s="8"/>
      <c r="U46" s="139" t="str">
        <f t="shared" si="34"/>
        <v/>
      </c>
      <c r="V46" s="147"/>
      <c r="W46" s="770" t="str" cm="1">
        <f t="array" ref="W46">IF((_xlfn.IFS(TRIM(SUBSTITUTE(V46,CHAR(160),""))="Devis 1",IFERROR(VALUE(TRIM(SUBSTITUTE(M46,CHAR(160),""))),0),TRIM(SUBSTITUTE(V46,CHAR(160),""))="Devis 2",IFERROR(VALUE(TRIM(SUBSTITUTE(P46,CHAR(160),""))),0),TRIM(SUBSTITUTE(V46,CHAR(160),""))="Devis 3",IFERROR(VALUE(TRIM(SUBSTITUTE(S46,CHAR(160),""))),0),TRUE,0)*IFERROR(VALUE(TRIM(SUBSTITUTE(D46,CHAR(160),""))),0))=0,"",_xlfn.IFS(TRIM(SUBSTITUTE(V46,CHAR(160),""))="Devis 1",IFERROR(VALUE(TRIM(SUBSTITUTE(M46,CHAR(160),""))),0),TRIM(SUBSTITUTE(V46,CHAR(160),""))="Devis 2",IFERROR(VALUE(TRIM(SUBSTITUTE(P46,CHAR(160),""))),0),TRIM(SUBSTITUTE(V46,CHAR(160),""))="Devis 3",IFERROR(VALUE(TRIM(SUBSTITUTE(S46,CHAR(160),""))),0),TRUE,0)*IFERROR(VALUE(TRIM(SUBSTITUTE(D46,CHAR(160),""))),0))</f>
        <v/>
      </c>
      <c r="X46" s="73" t="str" cm="1">
        <f t="array" ref="X46">IF(_xlfn.IFS(TRIM(SUBSTITUTE(V46,CHAR(160),""))="Devis 1",IFERROR(VALUE(TRIM(SUBSTITUTE(N46,CHAR(160),""))),0),TRIM(SUBSTITUTE(V46,CHAR(160),""))="Devis 2",IFERROR(VALUE(TRIM(SUBSTITUTE(Q46,CHAR(160),""))),0),TRIM(SUBSTITUTE(V46,CHAR(160),""))="Devis 3",IFERROR(VALUE(TRIM(SUBSTITUTE(T46,CHAR(160),""))),0),TRUE,0)*IFERROR(VALUE(TRIM(SUBSTITUTE(D46,CHAR(160),""))),0)=0,IF(W46&lt;&gt;"",0,""),_xlfn.IFS(TRIM(SUBSTITUTE(V46,CHAR(160),""))="Devis 1",IFERROR(VALUE(TRIM(SUBSTITUTE(N46,CHAR(160),""))),0),TRIM(SUBSTITUTE(V46,CHAR(160),""))="Devis 2",IFERROR(VALUE(TRIM(SUBSTITUTE(Q46,CHAR(160),""))),0),TRIM(SUBSTITUTE(V46,CHAR(160),""))="Devis 3",IFERROR(VALUE(TRIM(SUBSTITUTE(T46,CHAR(160),""))),0),TRUE,0)*IFERROR(VALUE(TRIM(SUBSTITUTE(D46,CHAR(160),""))),0))</f>
        <v/>
      </c>
      <c r="Y46" s="149" t="str">
        <f t="shared" si="35"/>
        <v/>
      </c>
      <c r="Z46" s="150"/>
      <c r="AA46" s="36" t="str">
        <f t="shared" si="36"/>
        <v/>
      </c>
      <c r="AB46" s="37" t="str">
        <f t="shared" si="37"/>
        <v/>
      </c>
      <c r="AC46" s="37" t="str">
        <f t="shared" si="31"/>
        <v/>
      </c>
      <c r="AD46" s="14" t="str">
        <f t="shared" si="38"/>
        <v/>
      </c>
      <c r="AE46" s="14" t="str">
        <f t="shared" si="39"/>
        <v/>
      </c>
      <c r="AF46" s="14" t="str">
        <f t="shared" si="40"/>
        <v/>
      </c>
      <c r="AG46" s="14" t="str">
        <f t="shared" si="41"/>
        <v/>
      </c>
      <c r="AH46" s="38" t="str">
        <f t="shared" si="42"/>
        <v/>
      </c>
      <c r="AI46" s="14" t="str">
        <f t="shared" si="43"/>
        <v/>
      </c>
      <c r="AJ46" s="39" t="str">
        <f t="shared" si="44"/>
        <v/>
      </c>
      <c r="AK46" s="40" t="str">
        <f t="shared" si="45"/>
        <v/>
      </c>
      <c r="AL46" s="20" t="str">
        <f t="shared" si="46"/>
        <v/>
      </c>
      <c r="AM46" s="35" t="str">
        <f t="shared" si="47"/>
        <v/>
      </c>
      <c r="AN46" s="41" t="str">
        <f t="shared" si="48"/>
        <v/>
      </c>
      <c r="AO46" s="20" t="str">
        <f t="shared" si="49"/>
        <v/>
      </c>
      <c r="AP46" s="35" t="str">
        <f t="shared" si="50"/>
        <v/>
      </c>
      <c r="AQ46" s="42" t="str">
        <f t="shared" si="51"/>
        <v/>
      </c>
      <c r="AR46" s="20" t="str">
        <f t="shared" si="52"/>
        <v/>
      </c>
      <c r="AS46" s="43" t="str">
        <f t="shared" si="53"/>
        <v/>
      </c>
      <c r="AT46" s="36" t="str">
        <f t="shared" si="54"/>
        <v/>
      </c>
      <c r="AU46" s="184"/>
      <c r="AV46" s="44" t="str">
        <f t="shared" si="55"/>
        <v/>
      </c>
      <c r="AW46" s="44" t="str">
        <f t="shared" si="56"/>
        <v/>
      </c>
      <c r="AX46" s="44" t="str">
        <f t="shared" si="57"/>
        <v/>
      </c>
      <c r="AY46" s="74" t="str" cm="1">
        <f t="array" ref="AY46">IF($AB46="","",IF((IFERROR(_xlfn.IFS($AT46="Devis 1",(IFERROR(VALUE(TRIM(SUBSTITUTE(AK46,CHAR(160),""))),0)),$AT46="Devis 2",(IFERROR(VALUE(TRIM(SUBSTITUTE(AN46,CHAR(160),""))),0)),$AT46="Devis 3",(IFERROR(VALUE(TRIM(SUBSTITUTE(AQ46,CHAR(160),""))),0))),0))*(IFERROR(VALUE(TRIM(SUBSTITUTE($AB46,CHAR(160),""))),0))=0,"",(IFERROR(_xlfn.IFS($AT46="Devis 1",(IFERROR(VALUE(TRIM(SUBSTITUTE(AK46,CHAR(160),""))),0)),$AT46="Devis 2",(IFERROR(VALUE(TRIM(SUBSTITUTE(AN46,CHAR(160),""))),0)),$AT46="Devis 3",(IFERROR(VALUE(TRIM(SUBSTITUTE(AQ46,CHAR(160),""))),0))),0))*(IFERROR(VALUE(TRIM(SUBSTITUTE($AB46,CHAR(160),""))),0))))</f>
        <v/>
      </c>
      <c r="AZ46" s="74" t="str" cm="1">
        <f t="array" ref="AZ46">IF($AB46="","",IF((IFERROR(_xlfn.IFS(TRIM(SUBSTITUTE($AT46,CHAR(160),""))="Devis 1", IFERROR(VALUE(TRIM(SUBSTITUTE(AL46,CHAR(160),""))),0),TRIM(SUBSTITUTE($AT46,CHAR(160),""))="Devis 2", IFERROR(VALUE(TRIM(SUBSTITUTE(AO46,CHAR(160),""))),0),TRIM(SUBSTITUTE($AT46,CHAR(160),""))="Devis 3", IFERROR(VALUE(TRIM(SUBSTITUTE(AR46,CHAR(160),""))),0)),0) * IFERROR(VALUE(TRIM(SUBSTITUTE($AB46,CHAR(160),""))),0)) = 0,IF(AY46&lt;&gt;"",0,""),(IFERROR(_xlfn.IFS(TRIM(SUBSTITUTE($AT46,CHAR(160),""))="Devis 1", IFERROR(VALUE(TRIM(SUBSTITUTE(AL46,CHAR(160),""))),0),TRIM(SUBSTITUTE($AT46,CHAR(160),""))="Devis 2", IFERROR(VALUE(TRIM(SUBSTITUTE(AO46,CHAR(160),""))),0),TRIM(SUBSTITUTE($AT46,CHAR(160),""))="Devis 3", IFERROR(VALUE(TRIM(SUBSTITUTE(AR46,CHAR(160),""))),0)),0) * IFERROR(VALUE(TRIM(SUBSTITUTE($AB46,CHAR(160),""))),0))))</f>
        <v/>
      </c>
      <c r="BA46" s="74" t="str" cm="1">
        <f t="array" ref="BA46">IF($AB46="","",IF(IFERROR(_xlfn.IFS($AT46="Devis 1",IFERROR(VALUE(TRIM(SUBSTITUTE(AM46,CHAR(160),""))),0),$AT46="Devis 2",IFERROR(VALUE(TRIM(SUBSTITUTE(AP46,CHAR(160),""))),0),$AT46="Devis 3",IFERROR(VALUE(TRIM(SUBSTITUTE(AS46,CHAR(160),""))),0)),0)*IFERROR(VALUE(TRIM(SUBSTITUTE($AB46,CHAR(160),""))),0)=0,"",IFERROR(_xlfn.IFS($AT46="Devis 1",IFERROR(VALUE(TRIM(SUBSTITUTE(AM46,CHAR(160),""))),0),$AT46="Devis 2",IFERROR(VALUE(TRIM(SUBSTITUTE(AP46,CHAR(160),""))),0),$AT46="Devis 3",IFERROR(VALUE(TRIM(SUBSTITUTE(AS46,CHAR(160),""))),0)),0)*IFERROR(VALUE(TRIM(SUBSTITUTE($AB46,CHAR(160),""))),0)))</f>
        <v/>
      </c>
      <c r="BB46" s="45"/>
      <c r="BC46" s="13" t="str" cm="1">
        <f t="array" ref="BC46">IF(OR(BA46="",AX46="",AY46="",AV46="",AZ46="",AW46=""),"",_xlfn.IFS((IFERROR(VALUE(TRIM(SUBSTITUTE(BA46,CHAR(160),""))),0))&gt;(IFERROR(VALUE(TRIM(SUBSTITUTE(AX46,CHAR(160),""))),0)),"KO : Le montant retenu TTC est supérieur au montant raisonnable TTC. Merci de revoir la ligne de dépense ou plafonner son montant.",(IFERROR(VALUE(TRIM(SUBSTITUTE(AY46,CHAR(160),""))),0))&gt;(IFERROR(VALUE(TRIM(SUBSTITUTE(AV46,CHAR(160),""))),0)),"Attention : Le montant retenu HT est supérieur au montant HT raisonnable. Merci de revoir la ligne de dépense, plafonner son montant, ou justifier la reventillation HT / TVA.",(IFERROR(VALUE(TRIM(SUBSTITUTE(AZ46,CHAR(160),""))),0))&gt;(IFERROR(VALUE(TRIM(SUBSTITUTE(AW46,CHAR(160),""))),0)),"Attention : Le montant TVA retenu est supérieur au montant TVA raisonnable. Merci de revoir la ligne de dépense, plafonner son montant, ou justifier la reventillation HT / TVA.",(IFERROR(VALUE(TRIM(SUBSTITUTE(BA46,CHAR(160),""))),0))=0,"",(IFERROR(VALUE(TRIM(SUBSTITUTE(AX46,CHAR(160),""))),0))=(IFERROR(VALUE(TRIM(SUBSTITUTE(BA46,CHAR(160),""))),0)),"OK",(IFERROR(VALUE(TRIM(SUBSTITUTE(AX46,CHAR(160),""))),0))&gt;(IFERROR(VALUE(TRIM(SUBSTITUTE(BA46,CHAR(160),""))),0))," OK : Montant instruit inférieur au montant raisonnable.",TRUE,""))</f>
        <v/>
      </c>
      <c r="BD46" s="187" t="str" cm="1">
        <f t="array" ref="BD46">IF(OR(BA46="",Y46="",AY46="",W46="",AZ46="",X46=""),"",_xlfn.IFS((IFERROR(VALUE(TRIM(SUBSTITUTE(BA46,CHAR(160),""))),0))&gt;(IFERROR(VALUE(TRIM(SUBSTITUTE(Y46,CHAR(160),""))),0)),"KO : Le montant retenu TTC est supérieur au montant présenté TTC. Merci de revoir la ligne de dépense ou plafonner son montant.",(IFERROR(VALUE(TRIM(SUBSTITUTE(AY46,CHAR(160),""))),0))&gt;(IFERROR(VALUE(TRIM(SUBSTITUTE(W46,CHAR(160),""))),0)),"Attention : Le montant retenu HT est supérieur au montant HT présenté. Merci de revoir la ligne de dépense,plafonner son montant,ou justifier la reventillation HT/TVA.",(IFERROR(VALUE(TRIM(SUBSTITUTE(AZ46,CHAR(160),""))),0))&gt;(IFERROR(VALUE(TRIM(SUBSTITUTE(X46,CHAR(160),""))),0)),"Attention : Le montant TVA retenu est supérieur au montant TVA présenté. Merci de revoir la ligne de dépense,plafonner son montant,ou justifier la reventillation HT/TVA.",(IFERROR(VALUE(TRIM(SUBSTITUTE(Y46,CHAR(160),""))),0))=0,"",(IFERROR(VALUE(TRIM(SUBSTITUTE(BA46,CHAR(160),""))),0))=(IFERROR(VALUE(TRIM(SUBSTITUTE(Y46,CHAR(160),""))),0)),"OK",
OR((IFERROR(VALUE(TRIM(SUBSTITUTE(BA46,CHAR(160),""))),0))=0,(IFERROR(VALUE(TRIM(SUBSTITUTE(AY46,CHAR(160),""))),0))=0),"Attention : montant présenté entièrement écarté",(IFERROR(VALUE(TRIM(SUBSTITUTE(BA46,CHAR(160),""))),0))&lt;(IFERROR(VALUE(TRIM(SUBSTITUTE(Y46,CHAR(160),""))),0)),"Attention : montant présenté partiellement écarté",TRUE,""))</f>
        <v/>
      </c>
      <c r="BE46" s="44" t="str">
        <f t="shared" si="58"/>
        <v/>
      </c>
      <c r="BF46" s="44" t="str">
        <f t="shared" si="59"/>
        <v/>
      </c>
      <c r="BG46" s="21" t="str">
        <f t="shared" si="60"/>
        <v/>
      </c>
    </row>
    <row r="47" spans="1:59" ht="15" customHeight="1">
      <c r="A47" s="70">
        <v>38</v>
      </c>
      <c r="B47" s="784"/>
      <c r="C47" s="7"/>
      <c r="D47" s="11"/>
      <c r="E47" s="451"/>
      <c r="F47" s="7"/>
      <c r="G47" s="7"/>
      <c r="H47" s="7"/>
      <c r="I47" s="7"/>
      <c r="J47" s="17"/>
      <c r="K47" s="7"/>
      <c r="L47" s="132"/>
      <c r="M47" s="138"/>
      <c r="N47" s="8"/>
      <c r="O47" s="35" t="str">
        <f t="shared" si="32"/>
        <v/>
      </c>
      <c r="P47" s="9"/>
      <c r="Q47" s="8"/>
      <c r="R47" s="35" t="str">
        <f t="shared" si="33"/>
        <v/>
      </c>
      <c r="S47" s="10"/>
      <c r="T47" s="8"/>
      <c r="U47" s="139" t="str">
        <f t="shared" si="34"/>
        <v/>
      </c>
      <c r="V47" s="147"/>
      <c r="W47" s="770" t="str" cm="1">
        <f t="array" ref="W47">IF((_xlfn.IFS(TRIM(SUBSTITUTE(V47,CHAR(160),""))="Devis 1",IFERROR(VALUE(TRIM(SUBSTITUTE(M47,CHAR(160),""))),0),TRIM(SUBSTITUTE(V47,CHAR(160),""))="Devis 2",IFERROR(VALUE(TRIM(SUBSTITUTE(P47,CHAR(160),""))),0),TRIM(SUBSTITUTE(V47,CHAR(160),""))="Devis 3",IFERROR(VALUE(TRIM(SUBSTITUTE(S47,CHAR(160),""))),0),TRUE,0)*IFERROR(VALUE(TRIM(SUBSTITUTE(D47,CHAR(160),""))),0))=0,"",_xlfn.IFS(TRIM(SUBSTITUTE(V47,CHAR(160),""))="Devis 1",IFERROR(VALUE(TRIM(SUBSTITUTE(M47,CHAR(160),""))),0),TRIM(SUBSTITUTE(V47,CHAR(160),""))="Devis 2",IFERROR(VALUE(TRIM(SUBSTITUTE(P47,CHAR(160),""))),0),TRIM(SUBSTITUTE(V47,CHAR(160),""))="Devis 3",IFERROR(VALUE(TRIM(SUBSTITUTE(S47,CHAR(160),""))),0),TRUE,0)*IFERROR(VALUE(TRIM(SUBSTITUTE(D47,CHAR(160),""))),0))</f>
        <v/>
      </c>
      <c r="X47" s="73" t="str" cm="1">
        <f t="array" ref="X47">IF(_xlfn.IFS(TRIM(SUBSTITUTE(V47,CHAR(160),""))="Devis 1",IFERROR(VALUE(TRIM(SUBSTITUTE(N47,CHAR(160),""))),0),TRIM(SUBSTITUTE(V47,CHAR(160),""))="Devis 2",IFERROR(VALUE(TRIM(SUBSTITUTE(Q47,CHAR(160),""))),0),TRIM(SUBSTITUTE(V47,CHAR(160),""))="Devis 3",IFERROR(VALUE(TRIM(SUBSTITUTE(T47,CHAR(160),""))),0),TRUE,0)*IFERROR(VALUE(TRIM(SUBSTITUTE(D47,CHAR(160),""))),0)=0,IF(W47&lt;&gt;"",0,""),_xlfn.IFS(TRIM(SUBSTITUTE(V47,CHAR(160),""))="Devis 1",IFERROR(VALUE(TRIM(SUBSTITUTE(N47,CHAR(160),""))),0),TRIM(SUBSTITUTE(V47,CHAR(160),""))="Devis 2",IFERROR(VALUE(TRIM(SUBSTITUTE(Q47,CHAR(160),""))),0),TRIM(SUBSTITUTE(V47,CHAR(160),""))="Devis 3",IFERROR(VALUE(TRIM(SUBSTITUTE(T47,CHAR(160),""))),0),TRUE,0)*IFERROR(VALUE(TRIM(SUBSTITUTE(D47,CHAR(160),""))),0))</f>
        <v/>
      </c>
      <c r="Y47" s="149" t="str">
        <f t="shared" si="35"/>
        <v/>
      </c>
      <c r="Z47" s="150"/>
      <c r="AA47" s="36" t="str">
        <f t="shared" si="36"/>
        <v/>
      </c>
      <c r="AB47" s="37" t="str">
        <f t="shared" si="37"/>
        <v/>
      </c>
      <c r="AC47" s="37" t="str">
        <f t="shared" si="31"/>
        <v/>
      </c>
      <c r="AD47" s="14" t="str">
        <f t="shared" si="38"/>
        <v/>
      </c>
      <c r="AE47" s="14" t="str">
        <f t="shared" si="39"/>
        <v/>
      </c>
      <c r="AF47" s="14" t="str">
        <f t="shared" si="40"/>
        <v/>
      </c>
      <c r="AG47" s="14" t="str">
        <f t="shared" si="41"/>
        <v/>
      </c>
      <c r="AH47" s="38" t="str">
        <f t="shared" si="42"/>
        <v/>
      </c>
      <c r="AI47" s="14" t="str">
        <f t="shared" si="43"/>
        <v/>
      </c>
      <c r="AJ47" s="39" t="str">
        <f t="shared" si="44"/>
        <v/>
      </c>
      <c r="AK47" s="40" t="str">
        <f t="shared" si="45"/>
        <v/>
      </c>
      <c r="AL47" s="20" t="str">
        <f t="shared" si="46"/>
        <v/>
      </c>
      <c r="AM47" s="35" t="str">
        <f t="shared" si="47"/>
        <v/>
      </c>
      <c r="AN47" s="41" t="str">
        <f t="shared" si="48"/>
        <v/>
      </c>
      <c r="AO47" s="20" t="str">
        <f t="shared" si="49"/>
        <v/>
      </c>
      <c r="AP47" s="35" t="str">
        <f t="shared" si="50"/>
        <v/>
      </c>
      <c r="AQ47" s="42" t="str">
        <f t="shared" si="51"/>
        <v/>
      </c>
      <c r="AR47" s="20" t="str">
        <f t="shared" si="52"/>
        <v/>
      </c>
      <c r="AS47" s="43" t="str">
        <f t="shared" si="53"/>
        <v/>
      </c>
      <c r="AT47" s="36" t="str">
        <f t="shared" si="54"/>
        <v/>
      </c>
      <c r="AU47" s="184"/>
      <c r="AV47" s="44" t="str">
        <f t="shared" si="55"/>
        <v/>
      </c>
      <c r="AW47" s="44" t="str">
        <f t="shared" si="56"/>
        <v/>
      </c>
      <c r="AX47" s="44" t="str">
        <f t="shared" si="57"/>
        <v/>
      </c>
      <c r="AY47" s="74" t="str" cm="1">
        <f t="array" ref="AY47">IF($AB47="","",IF((IFERROR(_xlfn.IFS($AT47="Devis 1",(IFERROR(VALUE(TRIM(SUBSTITUTE(AK47,CHAR(160),""))),0)),$AT47="Devis 2",(IFERROR(VALUE(TRIM(SUBSTITUTE(AN47,CHAR(160),""))),0)),$AT47="Devis 3",(IFERROR(VALUE(TRIM(SUBSTITUTE(AQ47,CHAR(160),""))),0))),0))*(IFERROR(VALUE(TRIM(SUBSTITUTE($AB47,CHAR(160),""))),0))=0,"",(IFERROR(_xlfn.IFS($AT47="Devis 1",(IFERROR(VALUE(TRIM(SUBSTITUTE(AK47,CHAR(160),""))),0)),$AT47="Devis 2",(IFERROR(VALUE(TRIM(SUBSTITUTE(AN47,CHAR(160),""))),0)),$AT47="Devis 3",(IFERROR(VALUE(TRIM(SUBSTITUTE(AQ47,CHAR(160),""))),0))),0))*(IFERROR(VALUE(TRIM(SUBSTITUTE($AB47,CHAR(160),""))),0))))</f>
        <v/>
      </c>
      <c r="AZ47" s="74" t="str" cm="1">
        <f t="array" ref="AZ47">IF($AB47="","",IF((IFERROR(_xlfn.IFS(TRIM(SUBSTITUTE($AT47,CHAR(160),""))="Devis 1", IFERROR(VALUE(TRIM(SUBSTITUTE(AL47,CHAR(160),""))),0),TRIM(SUBSTITUTE($AT47,CHAR(160),""))="Devis 2", IFERROR(VALUE(TRIM(SUBSTITUTE(AO47,CHAR(160),""))),0),TRIM(SUBSTITUTE($AT47,CHAR(160),""))="Devis 3", IFERROR(VALUE(TRIM(SUBSTITUTE(AR47,CHAR(160),""))),0)),0) * IFERROR(VALUE(TRIM(SUBSTITUTE($AB47,CHAR(160),""))),0)) = 0,IF(AY47&lt;&gt;"",0,""),(IFERROR(_xlfn.IFS(TRIM(SUBSTITUTE($AT47,CHAR(160),""))="Devis 1", IFERROR(VALUE(TRIM(SUBSTITUTE(AL47,CHAR(160),""))),0),TRIM(SUBSTITUTE($AT47,CHAR(160),""))="Devis 2", IFERROR(VALUE(TRIM(SUBSTITUTE(AO47,CHAR(160),""))),0),TRIM(SUBSTITUTE($AT47,CHAR(160),""))="Devis 3", IFERROR(VALUE(TRIM(SUBSTITUTE(AR47,CHAR(160),""))),0)),0) * IFERROR(VALUE(TRIM(SUBSTITUTE($AB47,CHAR(160),""))),0))))</f>
        <v/>
      </c>
      <c r="BA47" s="74" t="str" cm="1">
        <f t="array" ref="BA47">IF($AB47="","",IF(IFERROR(_xlfn.IFS($AT47="Devis 1",IFERROR(VALUE(TRIM(SUBSTITUTE(AM47,CHAR(160),""))),0),$AT47="Devis 2",IFERROR(VALUE(TRIM(SUBSTITUTE(AP47,CHAR(160),""))),0),$AT47="Devis 3",IFERROR(VALUE(TRIM(SUBSTITUTE(AS47,CHAR(160),""))),0)),0)*IFERROR(VALUE(TRIM(SUBSTITUTE($AB47,CHAR(160),""))),0)=0,"",IFERROR(_xlfn.IFS($AT47="Devis 1",IFERROR(VALUE(TRIM(SUBSTITUTE(AM47,CHAR(160),""))),0),$AT47="Devis 2",IFERROR(VALUE(TRIM(SUBSTITUTE(AP47,CHAR(160),""))),0),$AT47="Devis 3",IFERROR(VALUE(TRIM(SUBSTITUTE(AS47,CHAR(160),""))),0)),0)*IFERROR(VALUE(TRIM(SUBSTITUTE($AB47,CHAR(160),""))),0)))</f>
        <v/>
      </c>
      <c r="BB47" s="45"/>
      <c r="BC47" s="13" t="str" cm="1">
        <f t="array" ref="BC47">IF(OR(BA47="",AX47="",AY47="",AV47="",AZ47="",AW47=""),"",_xlfn.IFS((IFERROR(VALUE(TRIM(SUBSTITUTE(BA47,CHAR(160),""))),0))&gt;(IFERROR(VALUE(TRIM(SUBSTITUTE(AX47,CHAR(160),""))),0)),"KO : Le montant retenu TTC est supérieur au montant raisonnable TTC. Merci de revoir la ligne de dépense ou plafonner son montant.",(IFERROR(VALUE(TRIM(SUBSTITUTE(AY47,CHAR(160),""))),0))&gt;(IFERROR(VALUE(TRIM(SUBSTITUTE(AV47,CHAR(160),""))),0)),"Attention : Le montant retenu HT est supérieur au montant HT raisonnable. Merci de revoir la ligne de dépense, plafonner son montant, ou justifier la reventillation HT / TVA.",(IFERROR(VALUE(TRIM(SUBSTITUTE(AZ47,CHAR(160),""))),0))&gt;(IFERROR(VALUE(TRIM(SUBSTITUTE(AW47,CHAR(160),""))),0)),"Attention : Le montant TVA retenu est supérieur au montant TVA raisonnable. Merci de revoir la ligne de dépense, plafonner son montant, ou justifier la reventillation HT / TVA.",(IFERROR(VALUE(TRIM(SUBSTITUTE(BA47,CHAR(160),""))),0))=0,"",(IFERROR(VALUE(TRIM(SUBSTITUTE(AX47,CHAR(160),""))),0))=(IFERROR(VALUE(TRIM(SUBSTITUTE(BA47,CHAR(160),""))),0)),"OK",(IFERROR(VALUE(TRIM(SUBSTITUTE(AX47,CHAR(160),""))),0))&gt;(IFERROR(VALUE(TRIM(SUBSTITUTE(BA47,CHAR(160),""))),0))," OK : Montant instruit inférieur au montant raisonnable.",TRUE,""))</f>
        <v/>
      </c>
      <c r="BD47" s="187" t="str" cm="1">
        <f t="array" ref="BD47">IF(OR(BA47="",Y47="",AY47="",W47="",AZ47="",X47=""),"",_xlfn.IFS((IFERROR(VALUE(TRIM(SUBSTITUTE(BA47,CHAR(160),""))),0))&gt;(IFERROR(VALUE(TRIM(SUBSTITUTE(Y47,CHAR(160),""))),0)),"KO : Le montant retenu TTC est supérieur au montant présenté TTC. Merci de revoir la ligne de dépense ou plafonner son montant.",(IFERROR(VALUE(TRIM(SUBSTITUTE(AY47,CHAR(160),""))),0))&gt;(IFERROR(VALUE(TRIM(SUBSTITUTE(W47,CHAR(160),""))),0)),"Attention : Le montant retenu HT est supérieur au montant HT présenté. Merci de revoir la ligne de dépense,plafonner son montant,ou justifier la reventillation HT/TVA.",(IFERROR(VALUE(TRIM(SUBSTITUTE(AZ47,CHAR(160),""))),0))&gt;(IFERROR(VALUE(TRIM(SUBSTITUTE(X47,CHAR(160),""))),0)),"Attention : Le montant TVA retenu est supérieur au montant TVA présenté. Merci de revoir la ligne de dépense,plafonner son montant,ou justifier la reventillation HT/TVA.",(IFERROR(VALUE(TRIM(SUBSTITUTE(Y47,CHAR(160),""))),0))=0,"",(IFERROR(VALUE(TRIM(SUBSTITUTE(BA47,CHAR(160),""))),0))=(IFERROR(VALUE(TRIM(SUBSTITUTE(Y47,CHAR(160),""))),0)),"OK",
OR((IFERROR(VALUE(TRIM(SUBSTITUTE(BA47,CHAR(160),""))),0))=0,(IFERROR(VALUE(TRIM(SUBSTITUTE(AY47,CHAR(160),""))),0))=0),"Attention : montant présenté entièrement écarté",(IFERROR(VALUE(TRIM(SUBSTITUTE(BA47,CHAR(160),""))),0))&lt;(IFERROR(VALUE(TRIM(SUBSTITUTE(Y47,CHAR(160),""))),0)),"Attention : montant présenté partiellement écarté",TRUE,""))</f>
        <v/>
      </c>
      <c r="BE47" s="44" t="str">
        <f t="shared" si="58"/>
        <v/>
      </c>
      <c r="BF47" s="44" t="str">
        <f t="shared" si="59"/>
        <v/>
      </c>
      <c r="BG47" s="21" t="str">
        <f t="shared" si="60"/>
        <v/>
      </c>
    </row>
    <row r="48" spans="1:59" ht="15" customHeight="1">
      <c r="A48" s="70">
        <v>39</v>
      </c>
      <c r="B48" s="784"/>
      <c r="C48" s="7"/>
      <c r="D48" s="11"/>
      <c r="E48" s="451"/>
      <c r="F48" s="7"/>
      <c r="G48" s="7"/>
      <c r="H48" s="7"/>
      <c r="I48" s="7"/>
      <c r="J48" s="17"/>
      <c r="K48" s="7"/>
      <c r="L48" s="132"/>
      <c r="M48" s="138"/>
      <c r="N48" s="8"/>
      <c r="O48" s="35" t="str">
        <f t="shared" si="32"/>
        <v/>
      </c>
      <c r="P48" s="9"/>
      <c r="Q48" s="8"/>
      <c r="R48" s="35" t="str">
        <f t="shared" si="33"/>
        <v/>
      </c>
      <c r="S48" s="10"/>
      <c r="T48" s="8"/>
      <c r="U48" s="139" t="str">
        <f t="shared" si="34"/>
        <v/>
      </c>
      <c r="V48" s="147"/>
      <c r="W48" s="770" t="str" cm="1">
        <f t="array" ref="W48">IF((_xlfn.IFS(TRIM(SUBSTITUTE(V48,CHAR(160),""))="Devis 1",IFERROR(VALUE(TRIM(SUBSTITUTE(M48,CHAR(160),""))),0),TRIM(SUBSTITUTE(V48,CHAR(160),""))="Devis 2",IFERROR(VALUE(TRIM(SUBSTITUTE(P48,CHAR(160),""))),0),TRIM(SUBSTITUTE(V48,CHAR(160),""))="Devis 3",IFERROR(VALUE(TRIM(SUBSTITUTE(S48,CHAR(160),""))),0),TRUE,0)*IFERROR(VALUE(TRIM(SUBSTITUTE(D48,CHAR(160),""))),0))=0,"",_xlfn.IFS(TRIM(SUBSTITUTE(V48,CHAR(160),""))="Devis 1",IFERROR(VALUE(TRIM(SUBSTITUTE(M48,CHAR(160),""))),0),TRIM(SUBSTITUTE(V48,CHAR(160),""))="Devis 2",IFERROR(VALUE(TRIM(SUBSTITUTE(P48,CHAR(160),""))),0),TRIM(SUBSTITUTE(V48,CHAR(160),""))="Devis 3",IFERROR(VALUE(TRIM(SUBSTITUTE(S48,CHAR(160),""))),0),TRUE,0)*IFERROR(VALUE(TRIM(SUBSTITUTE(D48,CHAR(160),""))),0))</f>
        <v/>
      </c>
      <c r="X48" s="73" t="str" cm="1">
        <f t="array" ref="X48">IF(_xlfn.IFS(TRIM(SUBSTITUTE(V48,CHAR(160),""))="Devis 1",IFERROR(VALUE(TRIM(SUBSTITUTE(N48,CHAR(160),""))),0),TRIM(SUBSTITUTE(V48,CHAR(160),""))="Devis 2",IFERROR(VALUE(TRIM(SUBSTITUTE(Q48,CHAR(160),""))),0),TRIM(SUBSTITUTE(V48,CHAR(160),""))="Devis 3",IFERROR(VALUE(TRIM(SUBSTITUTE(T48,CHAR(160),""))),0),TRUE,0)*IFERROR(VALUE(TRIM(SUBSTITUTE(D48,CHAR(160),""))),0)=0,IF(W48&lt;&gt;"",0,""),_xlfn.IFS(TRIM(SUBSTITUTE(V48,CHAR(160),""))="Devis 1",IFERROR(VALUE(TRIM(SUBSTITUTE(N48,CHAR(160),""))),0),TRIM(SUBSTITUTE(V48,CHAR(160),""))="Devis 2",IFERROR(VALUE(TRIM(SUBSTITUTE(Q48,CHAR(160),""))),0),TRIM(SUBSTITUTE(V48,CHAR(160),""))="Devis 3",IFERROR(VALUE(TRIM(SUBSTITUTE(T48,CHAR(160),""))),0),TRUE,0)*IFERROR(VALUE(TRIM(SUBSTITUTE(D48,CHAR(160),""))),0))</f>
        <v/>
      </c>
      <c r="Y48" s="149" t="str">
        <f t="shared" si="35"/>
        <v/>
      </c>
      <c r="Z48" s="150"/>
      <c r="AA48" s="36" t="str">
        <f t="shared" si="36"/>
        <v/>
      </c>
      <c r="AB48" s="37" t="str">
        <f t="shared" si="37"/>
        <v/>
      </c>
      <c r="AC48" s="37" t="str">
        <f t="shared" si="31"/>
        <v/>
      </c>
      <c r="AD48" s="14" t="str">
        <f t="shared" si="38"/>
        <v/>
      </c>
      <c r="AE48" s="14" t="str">
        <f t="shared" si="39"/>
        <v/>
      </c>
      <c r="AF48" s="14" t="str">
        <f t="shared" si="40"/>
        <v/>
      </c>
      <c r="AG48" s="14" t="str">
        <f t="shared" si="41"/>
        <v/>
      </c>
      <c r="AH48" s="38" t="str">
        <f t="shared" si="42"/>
        <v/>
      </c>
      <c r="AI48" s="14" t="str">
        <f t="shared" si="43"/>
        <v/>
      </c>
      <c r="AJ48" s="39" t="str">
        <f t="shared" si="44"/>
        <v/>
      </c>
      <c r="AK48" s="40" t="str">
        <f t="shared" si="45"/>
        <v/>
      </c>
      <c r="AL48" s="20" t="str">
        <f t="shared" si="46"/>
        <v/>
      </c>
      <c r="AM48" s="35" t="str">
        <f t="shared" si="47"/>
        <v/>
      </c>
      <c r="AN48" s="41" t="str">
        <f t="shared" si="48"/>
        <v/>
      </c>
      <c r="AO48" s="20" t="str">
        <f t="shared" si="49"/>
        <v/>
      </c>
      <c r="AP48" s="35" t="str">
        <f t="shared" si="50"/>
        <v/>
      </c>
      <c r="AQ48" s="42" t="str">
        <f t="shared" si="51"/>
        <v/>
      </c>
      <c r="AR48" s="20" t="str">
        <f t="shared" si="52"/>
        <v/>
      </c>
      <c r="AS48" s="43" t="str">
        <f t="shared" si="53"/>
        <v/>
      </c>
      <c r="AT48" s="36" t="str">
        <f t="shared" si="54"/>
        <v/>
      </c>
      <c r="AU48" s="184"/>
      <c r="AV48" s="44" t="str">
        <f t="shared" si="55"/>
        <v/>
      </c>
      <c r="AW48" s="44" t="str">
        <f t="shared" si="56"/>
        <v/>
      </c>
      <c r="AX48" s="44" t="str">
        <f t="shared" si="57"/>
        <v/>
      </c>
      <c r="AY48" s="74" t="str" cm="1">
        <f t="array" ref="AY48">IF($AB48="","",IF((IFERROR(_xlfn.IFS($AT48="Devis 1",(IFERROR(VALUE(TRIM(SUBSTITUTE(AK48,CHAR(160),""))),0)),$AT48="Devis 2",(IFERROR(VALUE(TRIM(SUBSTITUTE(AN48,CHAR(160),""))),0)),$AT48="Devis 3",(IFERROR(VALUE(TRIM(SUBSTITUTE(AQ48,CHAR(160),""))),0))),0))*(IFERROR(VALUE(TRIM(SUBSTITUTE($AB48,CHAR(160),""))),0))=0,"",(IFERROR(_xlfn.IFS($AT48="Devis 1",(IFERROR(VALUE(TRIM(SUBSTITUTE(AK48,CHAR(160),""))),0)),$AT48="Devis 2",(IFERROR(VALUE(TRIM(SUBSTITUTE(AN48,CHAR(160),""))),0)),$AT48="Devis 3",(IFERROR(VALUE(TRIM(SUBSTITUTE(AQ48,CHAR(160),""))),0))),0))*(IFERROR(VALUE(TRIM(SUBSTITUTE($AB48,CHAR(160),""))),0))))</f>
        <v/>
      </c>
      <c r="AZ48" s="74" t="str" cm="1">
        <f t="array" ref="AZ48">IF($AB48="","",IF((IFERROR(_xlfn.IFS(TRIM(SUBSTITUTE($AT48,CHAR(160),""))="Devis 1", IFERROR(VALUE(TRIM(SUBSTITUTE(AL48,CHAR(160),""))),0),TRIM(SUBSTITUTE($AT48,CHAR(160),""))="Devis 2", IFERROR(VALUE(TRIM(SUBSTITUTE(AO48,CHAR(160),""))),0),TRIM(SUBSTITUTE($AT48,CHAR(160),""))="Devis 3", IFERROR(VALUE(TRIM(SUBSTITUTE(AR48,CHAR(160),""))),0)),0) * IFERROR(VALUE(TRIM(SUBSTITUTE($AB48,CHAR(160),""))),0)) = 0,IF(AY48&lt;&gt;"",0,""),(IFERROR(_xlfn.IFS(TRIM(SUBSTITUTE($AT48,CHAR(160),""))="Devis 1", IFERROR(VALUE(TRIM(SUBSTITUTE(AL48,CHAR(160),""))),0),TRIM(SUBSTITUTE($AT48,CHAR(160),""))="Devis 2", IFERROR(VALUE(TRIM(SUBSTITUTE(AO48,CHAR(160),""))),0),TRIM(SUBSTITUTE($AT48,CHAR(160),""))="Devis 3", IFERROR(VALUE(TRIM(SUBSTITUTE(AR48,CHAR(160),""))),0)),0) * IFERROR(VALUE(TRIM(SUBSTITUTE($AB48,CHAR(160),""))),0))))</f>
        <v/>
      </c>
      <c r="BA48" s="74" t="str" cm="1">
        <f t="array" ref="BA48">IF($AB48="","",IF(IFERROR(_xlfn.IFS($AT48="Devis 1",IFERROR(VALUE(TRIM(SUBSTITUTE(AM48,CHAR(160),""))),0),$AT48="Devis 2",IFERROR(VALUE(TRIM(SUBSTITUTE(AP48,CHAR(160),""))),0),$AT48="Devis 3",IFERROR(VALUE(TRIM(SUBSTITUTE(AS48,CHAR(160),""))),0)),0)*IFERROR(VALUE(TRIM(SUBSTITUTE($AB48,CHAR(160),""))),0)=0,"",IFERROR(_xlfn.IFS($AT48="Devis 1",IFERROR(VALUE(TRIM(SUBSTITUTE(AM48,CHAR(160),""))),0),$AT48="Devis 2",IFERROR(VALUE(TRIM(SUBSTITUTE(AP48,CHAR(160),""))),0),$AT48="Devis 3",IFERROR(VALUE(TRIM(SUBSTITUTE(AS48,CHAR(160),""))),0)),0)*IFERROR(VALUE(TRIM(SUBSTITUTE($AB48,CHAR(160),""))),0)))</f>
        <v/>
      </c>
      <c r="BB48" s="45"/>
      <c r="BC48" s="13" t="str" cm="1">
        <f t="array" ref="BC48">IF(OR(BA48="",AX48="",AY48="",AV48="",AZ48="",AW48=""),"",_xlfn.IFS((IFERROR(VALUE(TRIM(SUBSTITUTE(BA48,CHAR(160),""))),0))&gt;(IFERROR(VALUE(TRIM(SUBSTITUTE(AX48,CHAR(160),""))),0)),"KO : Le montant retenu TTC est supérieur au montant raisonnable TTC. Merci de revoir la ligne de dépense ou plafonner son montant.",(IFERROR(VALUE(TRIM(SUBSTITUTE(AY48,CHAR(160),""))),0))&gt;(IFERROR(VALUE(TRIM(SUBSTITUTE(AV48,CHAR(160),""))),0)),"Attention : Le montant retenu HT est supérieur au montant HT raisonnable. Merci de revoir la ligne de dépense, plafonner son montant, ou justifier la reventillation HT / TVA.",(IFERROR(VALUE(TRIM(SUBSTITUTE(AZ48,CHAR(160),""))),0))&gt;(IFERROR(VALUE(TRIM(SUBSTITUTE(AW48,CHAR(160),""))),0)),"Attention : Le montant TVA retenu est supérieur au montant TVA raisonnable. Merci de revoir la ligne de dépense, plafonner son montant, ou justifier la reventillation HT / TVA.",(IFERROR(VALUE(TRIM(SUBSTITUTE(BA48,CHAR(160),""))),0))=0,"",(IFERROR(VALUE(TRIM(SUBSTITUTE(AX48,CHAR(160),""))),0))=(IFERROR(VALUE(TRIM(SUBSTITUTE(BA48,CHAR(160),""))),0)),"OK",(IFERROR(VALUE(TRIM(SUBSTITUTE(AX48,CHAR(160),""))),0))&gt;(IFERROR(VALUE(TRIM(SUBSTITUTE(BA48,CHAR(160),""))),0))," OK : Montant instruit inférieur au montant raisonnable.",TRUE,""))</f>
        <v/>
      </c>
      <c r="BD48" s="187" t="str" cm="1">
        <f t="array" ref="BD48">IF(OR(BA48="",Y48="",AY48="",W48="",AZ48="",X48=""),"",_xlfn.IFS((IFERROR(VALUE(TRIM(SUBSTITUTE(BA48,CHAR(160),""))),0))&gt;(IFERROR(VALUE(TRIM(SUBSTITUTE(Y48,CHAR(160),""))),0)),"KO : Le montant retenu TTC est supérieur au montant présenté TTC. Merci de revoir la ligne de dépense ou plafonner son montant.",(IFERROR(VALUE(TRIM(SUBSTITUTE(AY48,CHAR(160),""))),0))&gt;(IFERROR(VALUE(TRIM(SUBSTITUTE(W48,CHAR(160),""))),0)),"Attention : Le montant retenu HT est supérieur au montant HT présenté. Merci de revoir la ligne de dépense,plafonner son montant,ou justifier la reventillation HT/TVA.",(IFERROR(VALUE(TRIM(SUBSTITUTE(AZ48,CHAR(160),""))),0))&gt;(IFERROR(VALUE(TRIM(SUBSTITUTE(X48,CHAR(160),""))),0)),"Attention : Le montant TVA retenu est supérieur au montant TVA présenté. Merci de revoir la ligne de dépense,plafonner son montant,ou justifier la reventillation HT/TVA.",(IFERROR(VALUE(TRIM(SUBSTITUTE(Y48,CHAR(160),""))),0))=0,"",(IFERROR(VALUE(TRIM(SUBSTITUTE(BA48,CHAR(160),""))),0))=(IFERROR(VALUE(TRIM(SUBSTITUTE(Y48,CHAR(160),""))),0)),"OK",
OR((IFERROR(VALUE(TRIM(SUBSTITUTE(BA48,CHAR(160),""))),0))=0,(IFERROR(VALUE(TRIM(SUBSTITUTE(AY48,CHAR(160),""))),0))=0),"Attention : montant présenté entièrement écarté",(IFERROR(VALUE(TRIM(SUBSTITUTE(BA48,CHAR(160),""))),0))&lt;(IFERROR(VALUE(TRIM(SUBSTITUTE(Y48,CHAR(160),""))),0)),"Attention : montant présenté partiellement écarté",TRUE,""))</f>
        <v/>
      </c>
      <c r="BE48" s="44" t="str">
        <f t="shared" si="58"/>
        <v/>
      </c>
      <c r="BF48" s="44" t="str">
        <f t="shared" si="59"/>
        <v/>
      </c>
      <c r="BG48" s="21" t="str">
        <f t="shared" si="60"/>
        <v/>
      </c>
    </row>
    <row r="49" spans="1:59" ht="15" customHeight="1" thickBot="1">
      <c r="A49" s="70">
        <v>40</v>
      </c>
      <c r="B49" s="784"/>
      <c r="C49" s="7"/>
      <c r="D49" s="11"/>
      <c r="E49" s="798"/>
      <c r="F49" s="7"/>
      <c r="G49" s="7"/>
      <c r="H49" s="7"/>
      <c r="I49" s="7"/>
      <c r="J49" s="17"/>
      <c r="K49" s="7"/>
      <c r="L49" s="132"/>
      <c r="M49" s="138"/>
      <c r="N49" s="8"/>
      <c r="O49" s="35" t="str">
        <f t="shared" si="32"/>
        <v/>
      </c>
      <c r="P49" s="9"/>
      <c r="Q49" s="8"/>
      <c r="R49" s="35" t="str">
        <f t="shared" si="33"/>
        <v/>
      </c>
      <c r="S49" s="10"/>
      <c r="T49" s="8"/>
      <c r="U49" s="139" t="str">
        <f t="shared" si="34"/>
        <v/>
      </c>
      <c r="V49" s="147"/>
      <c r="W49" s="770" t="str" cm="1">
        <f t="array" ref="W49">IF((_xlfn.IFS(TRIM(SUBSTITUTE(V49,CHAR(160),""))="Devis 1",IFERROR(VALUE(TRIM(SUBSTITUTE(M49,CHAR(160),""))),0),TRIM(SUBSTITUTE(V49,CHAR(160),""))="Devis 2",IFERROR(VALUE(TRIM(SUBSTITUTE(P49,CHAR(160),""))),0),TRIM(SUBSTITUTE(V49,CHAR(160),""))="Devis 3",IFERROR(VALUE(TRIM(SUBSTITUTE(S49,CHAR(160),""))),0),TRUE,0)*IFERROR(VALUE(TRIM(SUBSTITUTE(D49,CHAR(160),""))),0))=0,"",_xlfn.IFS(TRIM(SUBSTITUTE(V49,CHAR(160),""))="Devis 1",IFERROR(VALUE(TRIM(SUBSTITUTE(M49,CHAR(160),""))),0),TRIM(SUBSTITUTE(V49,CHAR(160),""))="Devis 2",IFERROR(VALUE(TRIM(SUBSTITUTE(P49,CHAR(160),""))),0),TRIM(SUBSTITUTE(V49,CHAR(160),""))="Devis 3",IFERROR(VALUE(TRIM(SUBSTITUTE(S49,CHAR(160),""))),0),TRUE,0)*IFERROR(VALUE(TRIM(SUBSTITUTE(D49,CHAR(160),""))),0))</f>
        <v/>
      </c>
      <c r="X49" s="73" t="str" cm="1">
        <f t="array" ref="X49">IF(_xlfn.IFS(TRIM(SUBSTITUTE(V49,CHAR(160),""))="Devis 1",IFERROR(VALUE(TRIM(SUBSTITUTE(N49,CHAR(160),""))),0),TRIM(SUBSTITUTE(V49,CHAR(160),""))="Devis 2",IFERROR(VALUE(TRIM(SUBSTITUTE(Q49,CHAR(160),""))),0),TRIM(SUBSTITUTE(V49,CHAR(160),""))="Devis 3",IFERROR(VALUE(TRIM(SUBSTITUTE(T49,CHAR(160),""))),0),TRUE,0)*IFERROR(VALUE(TRIM(SUBSTITUTE(D49,CHAR(160),""))),0)=0,IF(W49&lt;&gt;"",0,""),_xlfn.IFS(TRIM(SUBSTITUTE(V49,CHAR(160),""))="Devis 1",IFERROR(VALUE(TRIM(SUBSTITUTE(N49,CHAR(160),""))),0),TRIM(SUBSTITUTE(V49,CHAR(160),""))="Devis 2",IFERROR(VALUE(TRIM(SUBSTITUTE(Q49,CHAR(160),""))),0),TRIM(SUBSTITUTE(V49,CHAR(160),""))="Devis 3",IFERROR(VALUE(TRIM(SUBSTITUTE(T49,CHAR(160),""))),0),TRUE,0)*IFERROR(VALUE(TRIM(SUBSTITUTE(D49,CHAR(160),""))),0))</f>
        <v/>
      </c>
      <c r="Y49" s="149" t="str">
        <f t="shared" si="35"/>
        <v/>
      </c>
      <c r="Z49" s="150"/>
      <c r="AA49" s="36" t="str">
        <f t="shared" si="36"/>
        <v/>
      </c>
      <c r="AB49" s="37" t="str">
        <f t="shared" si="37"/>
        <v/>
      </c>
      <c r="AC49" s="37" t="str">
        <f t="shared" si="31"/>
        <v/>
      </c>
      <c r="AD49" s="14" t="str">
        <f t="shared" si="38"/>
        <v/>
      </c>
      <c r="AE49" s="14" t="str">
        <f t="shared" si="39"/>
        <v/>
      </c>
      <c r="AF49" s="14" t="str">
        <f t="shared" si="40"/>
        <v/>
      </c>
      <c r="AG49" s="14" t="str">
        <f t="shared" si="41"/>
        <v/>
      </c>
      <c r="AH49" s="38" t="str">
        <f t="shared" si="42"/>
        <v/>
      </c>
      <c r="AI49" s="14" t="str">
        <f t="shared" si="43"/>
        <v/>
      </c>
      <c r="AJ49" s="39" t="str">
        <f t="shared" si="44"/>
        <v/>
      </c>
      <c r="AK49" s="40" t="str">
        <f t="shared" si="45"/>
        <v/>
      </c>
      <c r="AL49" s="20" t="str">
        <f t="shared" si="46"/>
        <v/>
      </c>
      <c r="AM49" s="35" t="str">
        <f t="shared" si="47"/>
        <v/>
      </c>
      <c r="AN49" s="41" t="str">
        <f t="shared" si="48"/>
        <v/>
      </c>
      <c r="AO49" s="20" t="str">
        <f t="shared" si="49"/>
        <v/>
      </c>
      <c r="AP49" s="35" t="str">
        <f t="shared" si="50"/>
        <v/>
      </c>
      <c r="AQ49" s="42" t="str">
        <f t="shared" si="51"/>
        <v/>
      </c>
      <c r="AR49" s="20" t="str">
        <f t="shared" si="52"/>
        <v/>
      </c>
      <c r="AS49" s="43" t="str">
        <f t="shared" si="53"/>
        <v/>
      </c>
      <c r="AT49" s="36" t="str">
        <f t="shared" si="54"/>
        <v/>
      </c>
      <c r="AU49" s="184"/>
      <c r="AV49" s="44" t="str">
        <f t="shared" si="55"/>
        <v/>
      </c>
      <c r="AW49" s="44" t="str">
        <f t="shared" si="56"/>
        <v/>
      </c>
      <c r="AX49" s="44" t="str">
        <f t="shared" si="57"/>
        <v/>
      </c>
      <c r="AY49" s="74" t="str" cm="1">
        <f t="array" ref="AY49">IF($AB49="","",IF((IFERROR(_xlfn.IFS($AT49="Devis 1",(IFERROR(VALUE(TRIM(SUBSTITUTE(AK49,CHAR(160),""))),0)),$AT49="Devis 2",(IFERROR(VALUE(TRIM(SUBSTITUTE(AN49,CHAR(160),""))),0)),$AT49="Devis 3",(IFERROR(VALUE(TRIM(SUBSTITUTE(AQ49,CHAR(160),""))),0))),0))*(IFERROR(VALUE(TRIM(SUBSTITUTE($AB49,CHAR(160),""))),0))=0,"",(IFERROR(_xlfn.IFS($AT49="Devis 1",(IFERROR(VALUE(TRIM(SUBSTITUTE(AK49,CHAR(160),""))),0)),$AT49="Devis 2",(IFERROR(VALUE(TRIM(SUBSTITUTE(AN49,CHAR(160),""))),0)),$AT49="Devis 3",(IFERROR(VALUE(TRIM(SUBSTITUTE(AQ49,CHAR(160),""))),0))),0))*(IFERROR(VALUE(TRIM(SUBSTITUTE($AB49,CHAR(160),""))),0))))</f>
        <v/>
      </c>
      <c r="AZ49" s="74" t="str" cm="1">
        <f t="array" ref="AZ49">IF($AB49="","",IF((IFERROR(_xlfn.IFS(TRIM(SUBSTITUTE($AT49,CHAR(160),""))="Devis 1", IFERROR(VALUE(TRIM(SUBSTITUTE(AL49,CHAR(160),""))),0),TRIM(SUBSTITUTE($AT49,CHAR(160),""))="Devis 2", IFERROR(VALUE(TRIM(SUBSTITUTE(AO49,CHAR(160),""))),0),TRIM(SUBSTITUTE($AT49,CHAR(160),""))="Devis 3", IFERROR(VALUE(TRIM(SUBSTITUTE(AR49,CHAR(160),""))),0)),0) * IFERROR(VALUE(TRIM(SUBSTITUTE($AB49,CHAR(160),""))),0)) = 0,IF(AY49&lt;&gt;"",0,""),(IFERROR(_xlfn.IFS(TRIM(SUBSTITUTE($AT49,CHAR(160),""))="Devis 1", IFERROR(VALUE(TRIM(SUBSTITUTE(AL49,CHAR(160),""))),0),TRIM(SUBSTITUTE($AT49,CHAR(160),""))="Devis 2", IFERROR(VALUE(TRIM(SUBSTITUTE(AO49,CHAR(160),""))),0),TRIM(SUBSTITUTE($AT49,CHAR(160),""))="Devis 3", IFERROR(VALUE(TRIM(SUBSTITUTE(AR49,CHAR(160),""))),0)),0) * IFERROR(VALUE(TRIM(SUBSTITUTE($AB49,CHAR(160),""))),0))))</f>
        <v/>
      </c>
      <c r="BA49" s="74" t="str" cm="1">
        <f t="array" ref="BA49">IF($AB49="","",IF(IFERROR(_xlfn.IFS($AT49="Devis 1",IFERROR(VALUE(TRIM(SUBSTITUTE(AM49,CHAR(160),""))),0),$AT49="Devis 2",IFERROR(VALUE(TRIM(SUBSTITUTE(AP49,CHAR(160),""))),0),$AT49="Devis 3",IFERROR(VALUE(TRIM(SUBSTITUTE(AS49,CHAR(160),""))),0)),0)*IFERROR(VALUE(TRIM(SUBSTITUTE($AB49,CHAR(160),""))),0)=0,"",IFERROR(_xlfn.IFS($AT49="Devis 1",IFERROR(VALUE(TRIM(SUBSTITUTE(AM49,CHAR(160),""))),0),$AT49="Devis 2",IFERROR(VALUE(TRIM(SUBSTITUTE(AP49,CHAR(160),""))),0),$AT49="Devis 3",IFERROR(VALUE(TRIM(SUBSTITUTE(AS49,CHAR(160),""))),0)),0)*IFERROR(VALUE(TRIM(SUBSTITUTE($AB49,CHAR(160),""))),0)))</f>
        <v/>
      </c>
      <c r="BB49" s="45"/>
      <c r="BC49" s="13" t="str" cm="1">
        <f t="array" ref="BC49">IF(OR(BA49="",AX49="",AY49="",AV49="",AZ49="",AW49=""),"",_xlfn.IFS((IFERROR(VALUE(TRIM(SUBSTITUTE(BA49,CHAR(160),""))),0))&gt;(IFERROR(VALUE(TRIM(SUBSTITUTE(AX49,CHAR(160),""))),0)),"KO : Le montant retenu TTC est supérieur au montant raisonnable TTC. Merci de revoir la ligne de dépense ou plafonner son montant.",(IFERROR(VALUE(TRIM(SUBSTITUTE(AY49,CHAR(160),""))),0))&gt;(IFERROR(VALUE(TRIM(SUBSTITUTE(AV49,CHAR(160),""))),0)),"Attention : Le montant retenu HT est supérieur au montant HT raisonnable. Merci de revoir la ligne de dépense, plafonner son montant, ou justifier la reventillation HT / TVA.",(IFERROR(VALUE(TRIM(SUBSTITUTE(AZ49,CHAR(160),""))),0))&gt;(IFERROR(VALUE(TRIM(SUBSTITUTE(AW49,CHAR(160),""))),0)),"Attention : Le montant TVA retenu est supérieur au montant TVA raisonnable. Merci de revoir la ligne de dépense, plafonner son montant, ou justifier la reventillation HT / TVA.",(IFERROR(VALUE(TRIM(SUBSTITUTE(BA49,CHAR(160),""))),0))=0,"",(IFERROR(VALUE(TRIM(SUBSTITUTE(AX49,CHAR(160),""))),0))=(IFERROR(VALUE(TRIM(SUBSTITUTE(BA49,CHAR(160),""))),0)),"OK",(IFERROR(VALUE(TRIM(SUBSTITUTE(AX49,CHAR(160),""))),0))&gt;(IFERROR(VALUE(TRIM(SUBSTITUTE(BA49,CHAR(160),""))),0))," OK : Montant instruit inférieur au montant raisonnable.",TRUE,""))</f>
        <v/>
      </c>
      <c r="BD49" s="187" t="str" cm="1">
        <f t="array" ref="BD49">IF(OR(BA49="",Y49="",AY49="",W49="",AZ49="",X49=""),"",_xlfn.IFS((IFERROR(VALUE(TRIM(SUBSTITUTE(BA49,CHAR(160),""))),0))&gt;(IFERROR(VALUE(TRIM(SUBSTITUTE(Y49,CHAR(160),""))),0)),"KO : Le montant retenu TTC est supérieur au montant présenté TTC. Merci de revoir la ligne de dépense ou plafonner son montant.",(IFERROR(VALUE(TRIM(SUBSTITUTE(AY49,CHAR(160),""))),0))&gt;(IFERROR(VALUE(TRIM(SUBSTITUTE(W49,CHAR(160),""))),0)),"Attention : Le montant retenu HT est supérieur au montant HT présenté. Merci de revoir la ligne de dépense,plafonner son montant,ou justifier la reventillation HT/TVA.",(IFERROR(VALUE(TRIM(SUBSTITUTE(AZ49,CHAR(160),""))),0))&gt;(IFERROR(VALUE(TRIM(SUBSTITUTE(X49,CHAR(160),""))),0)),"Attention : Le montant TVA retenu est supérieur au montant TVA présenté. Merci de revoir la ligne de dépense,plafonner son montant,ou justifier la reventillation HT/TVA.",(IFERROR(VALUE(TRIM(SUBSTITUTE(Y49,CHAR(160),""))),0))=0,"",(IFERROR(VALUE(TRIM(SUBSTITUTE(BA49,CHAR(160),""))),0))=(IFERROR(VALUE(TRIM(SUBSTITUTE(Y49,CHAR(160),""))),0)),"OK",
OR((IFERROR(VALUE(TRIM(SUBSTITUTE(BA49,CHAR(160),""))),0))=0,(IFERROR(VALUE(TRIM(SUBSTITUTE(AY49,CHAR(160),""))),0))=0),"Attention : montant présenté entièrement écarté",(IFERROR(VALUE(TRIM(SUBSTITUTE(BA49,CHAR(160),""))),0))&lt;(IFERROR(VALUE(TRIM(SUBSTITUTE(Y49,CHAR(160),""))),0)),"Attention : montant présenté partiellement écarté",TRUE,""))</f>
        <v/>
      </c>
      <c r="BE49" s="44" t="str">
        <f t="shared" si="58"/>
        <v/>
      </c>
      <c r="BF49" s="44" t="str">
        <f t="shared" si="59"/>
        <v/>
      </c>
      <c r="BG49" s="21" t="str">
        <f t="shared" si="60"/>
        <v/>
      </c>
    </row>
    <row r="50" spans="1:59" ht="15" customHeight="1">
      <c r="A50" s="70">
        <v>41</v>
      </c>
      <c r="B50" s="784"/>
      <c r="C50" s="7"/>
      <c r="D50" s="11"/>
      <c r="E50" s="11"/>
      <c r="F50" s="7"/>
      <c r="G50" s="7"/>
      <c r="H50" s="7"/>
      <c r="I50" s="7"/>
      <c r="J50" s="17"/>
      <c r="K50" s="7"/>
      <c r="L50" s="132"/>
      <c r="M50" s="138"/>
      <c r="N50" s="8"/>
      <c r="O50" s="35" t="str">
        <f t="shared" si="32"/>
        <v/>
      </c>
      <c r="P50" s="9"/>
      <c r="Q50" s="8"/>
      <c r="R50" s="35" t="str">
        <f t="shared" si="33"/>
        <v/>
      </c>
      <c r="S50" s="10"/>
      <c r="T50" s="8"/>
      <c r="U50" s="139" t="str">
        <f t="shared" si="34"/>
        <v/>
      </c>
      <c r="V50" s="147"/>
      <c r="W50" s="770" t="str" cm="1">
        <f t="array" ref="W50">IF((_xlfn.IFS(TRIM(SUBSTITUTE(V50,CHAR(160),""))="Devis 1",IFERROR(VALUE(TRIM(SUBSTITUTE(M50,CHAR(160),""))),0),TRIM(SUBSTITUTE(V50,CHAR(160),""))="Devis 2",IFERROR(VALUE(TRIM(SUBSTITUTE(P50,CHAR(160),""))),0),TRIM(SUBSTITUTE(V50,CHAR(160),""))="Devis 3",IFERROR(VALUE(TRIM(SUBSTITUTE(S50,CHAR(160),""))),0),TRUE,0)*IFERROR(VALUE(TRIM(SUBSTITUTE(D50,CHAR(160),""))),0))=0,"",_xlfn.IFS(TRIM(SUBSTITUTE(V50,CHAR(160),""))="Devis 1",IFERROR(VALUE(TRIM(SUBSTITUTE(M50,CHAR(160),""))),0),TRIM(SUBSTITUTE(V50,CHAR(160),""))="Devis 2",IFERROR(VALUE(TRIM(SUBSTITUTE(P50,CHAR(160),""))),0),TRIM(SUBSTITUTE(V50,CHAR(160),""))="Devis 3",IFERROR(VALUE(TRIM(SUBSTITUTE(S50,CHAR(160),""))),0),TRUE,0)*IFERROR(VALUE(TRIM(SUBSTITUTE(D50,CHAR(160),""))),0))</f>
        <v/>
      </c>
      <c r="X50" s="73" t="str" cm="1">
        <f t="array" ref="X50">IF(_xlfn.IFS(TRIM(SUBSTITUTE(V50,CHAR(160),""))="Devis 1",IFERROR(VALUE(TRIM(SUBSTITUTE(N50,CHAR(160),""))),0),TRIM(SUBSTITUTE(V50,CHAR(160),""))="Devis 2",IFERROR(VALUE(TRIM(SUBSTITUTE(Q50,CHAR(160),""))),0),TRIM(SUBSTITUTE(V50,CHAR(160),""))="Devis 3",IFERROR(VALUE(TRIM(SUBSTITUTE(T50,CHAR(160),""))),0),TRUE,0)*IFERROR(VALUE(TRIM(SUBSTITUTE(D50,CHAR(160),""))),0)=0,IF(W50&lt;&gt;"",0,""),_xlfn.IFS(TRIM(SUBSTITUTE(V50,CHAR(160),""))="Devis 1",IFERROR(VALUE(TRIM(SUBSTITUTE(N50,CHAR(160),""))),0),TRIM(SUBSTITUTE(V50,CHAR(160),""))="Devis 2",IFERROR(VALUE(TRIM(SUBSTITUTE(Q50,CHAR(160),""))),0),TRIM(SUBSTITUTE(V50,CHAR(160),""))="Devis 3",IFERROR(VALUE(TRIM(SUBSTITUTE(T50,CHAR(160),""))),0),TRUE,0)*IFERROR(VALUE(TRIM(SUBSTITUTE(D50,CHAR(160),""))),0))</f>
        <v/>
      </c>
      <c r="Y50" s="149" t="str">
        <f t="shared" si="35"/>
        <v/>
      </c>
      <c r="Z50" s="150"/>
      <c r="AA50" s="36" t="str">
        <f t="shared" si="36"/>
        <v/>
      </c>
      <c r="AB50" s="37" t="str">
        <f t="shared" si="37"/>
        <v/>
      </c>
      <c r="AC50" s="37" t="str">
        <f t="shared" si="31"/>
        <v/>
      </c>
      <c r="AD50" s="14" t="str">
        <f t="shared" si="38"/>
        <v/>
      </c>
      <c r="AE50" s="14" t="str">
        <f t="shared" si="39"/>
        <v/>
      </c>
      <c r="AF50" s="14" t="str">
        <f t="shared" si="40"/>
        <v/>
      </c>
      <c r="AG50" s="14" t="str">
        <f t="shared" si="41"/>
        <v/>
      </c>
      <c r="AH50" s="38" t="str">
        <f t="shared" si="42"/>
        <v/>
      </c>
      <c r="AI50" s="14" t="str">
        <f t="shared" si="43"/>
        <v/>
      </c>
      <c r="AJ50" s="39" t="str">
        <f t="shared" si="44"/>
        <v/>
      </c>
      <c r="AK50" s="40" t="str">
        <f t="shared" si="45"/>
        <v/>
      </c>
      <c r="AL50" s="20" t="str">
        <f t="shared" si="46"/>
        <v/>
      </c>
      <c r="AM50" s="35" t="str">
        <f t="shared" si="47"/>
        <v/>
      </c>
      <c r="AN50" s="41" t="str">
        <f t="shared" si="48"/>
        <v/>
      </c>
      <c r="AO50" s="20" t="str">
        <f t="shared" si="49"/>
        <v/>
      </c>
      <c r="AP50" s="35" t="str">
        <f t="shared" si="50"/>
        <v/>
      </c>
      <c r="AQ50" s="42" t="str">
        <f t="shared" si="51"/>
        <v/>
      </c>
      <c r="AR50" s="20" t="str">
        <f t="shared" si="52"/>
        <v/>
      </c>
      <c r="AS50" s="43" t="str">
        <f t="shared" si="53"/>
        <v/>
      </c>
      <c r="AT50" s="36" t="str">
        <f t="shared" si="54"/>
        <v/>
      </c>
      <c r="AU50" s="184"/>
      <c r="AV50" s="44" t="str">
        <f t="shared" si="55"/>
        <v/>
      </c>
      <c r="AW50" s="44" t="str">
        <f t="shared" si="56"/>
        <v/>
      </c>
      <c r="AX50" s="44" t="str">
        <f t="shared" si="57"/>
        <v/>
      </c>
      <c r="AY50" s="74" t="str" cm="1">
        <f t="array" ref="AY50">IF($AB50="","",IF((IFERROR(_xlfn.IFS($AT50="Devis 1",(IFERROR(VALUE(TRIM(SUBSTITUTE(AK50,CHAR(160),""))),0)),$AT50="Devis 2",(IFERROR(VALUE(TRIM(SUBSTITUTE(AN50,CHAR(160),""))),0)),$AT50="Devis 3",(IFERROR(VALUE(TRIM(SUBSTITUTE(AQ50,CHAR(160),""))),0))),0))*(IFERROR(VALUE(TRIM(SUBSTITUTE($AB50,CHAR(160),""))),0))=0,"",(IFERROR(_xlfn.IFS($AT50="Devis 1",(IFERROR(VALUE(TRIM(SUBSTITUTE(AK50,CHAR(160),""))),0)),$AT50="Devis 2",(IFERROR(VALUE(TRIM(SUBSTITUTE(AN50,CHAR(160),""))),0)),$AT50="Devis 3",(IFERROR(VALUE(TRIM(SUBSTITUTE(AQ50,CHAR(160),""))),0))),0))*(IFERROR(VALUE(TRIM(SUBSTITUTE($AB50,CHAR(160),""))),0))))</f>
        <v/>
      </c>
      <c r="AZ50" s="74" t="str" cm="1">
        <f t="array" ref="AZ50">IF($AB50="","",IF((IFERROR(_xlfn.IFS(TRIM(SUBSTITUTE($AT50,CHAR(160),""))="Devis 1", IFERROR(VALUE(TRIM(SUBSTITUTE(AL50,CHAR(160),""))),0),TRIM(SUBSTITUTE($AT50,CHAR(160),""))="Devis 2", IFERROR(VALUE(TRIM(SUBSTITUTE(AO50,CHAR(160),""))),0),TRIM(SUBSTITUTE($AT50,CHAR(160),""))="Devis 3", IFERROR(VALUE(TRIM(SUBSTITUTE(AR50,CHAR(160),""))),0)),0) * IFERROR(VALUE(TRIM(SUBSTITUTE($AB50,CHAR(160),""))),0)) = 0,IF(AY50&lt;&gt;"",0,""),(IFERROR(_xlfn.IFS(TRIM(SUBSTITUTE($AT50,CHAR(160),""))="Devis 1", IFERROR(VALUE(TRIM(SUBSTITUTE(AL50,CHAR(160),""))),0),TRIM(SUBSTITUTE($AT50,CHAR(160),""))="Devis 2", IFERROR(VALUE(TRIM(SUBSTITUTE(AO50,CHAR(160),""))),0),TRIM(SUBSTITUTE($AT50,CHAR(160),""))="Devis 3", IFERROR(VALUE(TRIM(SUBSTITUTE(AR50,CHAR(160),""))),0)),0) * IFERROR(VALUE(TRIM(SUBSTITUTE($AB50,CHAR(160),""))),0))))</f>
        <v/>
      </c>
      <c r="BA50" s="74" t="str" cm="1">
        <f t="array" ref="BA50">IF($AB50="","",IF(IFERROR(_xlfn.IFS($AT50="Devis 1",IFERROR(VALUE(TRIM(SUBSTITUTE(AM50,CHAR(160),""))),0),$AT50="Devis 2",IFERROR(VALUE(TRIM(SUBSTITUTE(AP50,CHAR(160),""))),0),$AT50="Devis 3",IFERROR(VALUE(TRIM(SUBSTITUTE(AS50,CHAR(160),""))),0)),0)*IFERROR(VALUE(TRIM(SUBSTITUTE($AB50,CHAR(160),""))),0)=0,"",IFERROR(_xlfn.IFS($AT50="Devis 1",IFERROR(VALUE(TRIM(SUBSTITUTE(AM50,CHAR(160),""))),0),$AT50="Devis 2",IFERROR(VALUE(TRIM(SUBSTITUTE(AP50,CHAR(160),""))),0),$AT50="Devis 3",IFERROR(VALUE(TRIM(SUBSTITUTE(AS50,CHAR(160),""))),0)),0)*IFERROR(VALUE(TRIM(SUBSTITUTE($AB50,CHAR(160),""))),0)))</f>
        <v/>
      </c>
      <c r="BB50" s="45"/>
      <c r="BC50" s="13" t="str" cm="1">
        <f t="array" ref="BC50">IF(OR(BA50="",AX50="",AY50="",AV50="",AZ50="",AW50=""),"",_xlfn.IFS((IFERROR(VALUE(TRIM(SUBSTITUTE(BA50,CHAR(160),""))),0))&gt;(IFERROR(VALUE(TRIM(SUBSTITUTE(AX50,CHAR(160),""))),0)),"KO : Le montant retenu TTC est supérieur au montant raisonnable TTC. Merci de revoir la ligne de dépense ou plafonner son montant.",(IFERROR(VALUE(TRIM(SUBSTITUTE(AY50,CHAR(160),""))),0))&gt;(IFERROR(VALUE(TRIM(SUBSTITUTE(AV50,CHAR(160),""))),0)),"Attention : Le montant retenu HT est supérieur au montant HT raisonnable. Merci de revoir la ligne de dépense, plafonner son montant, ou justifier la reventillation HT / TVA.",(IFERROR(VALUE(TRIM(SUBSTITUTE(AZ50,CHAR(160),""))),0))&gt;(IFERROR(VALUE(TRIM(SUBSTITUTE(AW50,CHAR(160),""))),0)),"Attention : Le montant TVA retenu est supérieur au montant TVA raisonnable. Merci de revoir la ligne de dépense, plafonner son montant, ou justifier la reventillation HT / TVA.",(IFERROR(VALUE(TRIM(SUBSTITUTE(BA50,CHAR(160),""))),0))=0,"",(IFERROR(VALUE(TRIM(SUBSTITUTE(AX50,CHAR(160),""))),0))=(IFERROR(VALUE(TRIM(SUBSTITUTE(BA50,CHAR(160),""))),0)),"OK",(IFERROR(VALUE(TRIM(SUBSTITUTE(AX50,CHAR(160),""))),0))&gt;(IFERROR(VALUE(TRIM(SUBSTITUTE(BA50,CHAR(160),""))),0))," OK : Montant instruit inférieur au montant raisonnable.",TRUE,""))</f>
        <v/>
      </c>
      <c r="BD50" s="187" t="str" cm="1">
        <f t="array" ref="BD50">IF(OR(BA50="",Y50="",AY50="",W50="",AZ50="",X50=""),"",_xlfn.IFS((IFERROR(VALUE(TRIM(SUBSTITUTE(BA50,CHAR(160),""))),0))&gt;(IFERROR(VALUE(TRIM(SUBSTITUTE(Y50,CHAR(160),""))),0)),"KO : Le montant retenu TTC est supérieur au montant présenté TTC. Merci de revoir la ligne de dépense ou plafonner son montant.",(IFERROR(VALUE(TRIM(SUBSTITUTE(AY50,CHAR(160),""))),0))&gt;(IFERROR(VALUE(TRIM(SUBSTITUTE(W50,CHAR(160),""))),0)),"Attention : Le montant retenu HT est supérieur au montant HT présenté. Merci de revoir la ligne de dépense,plafonner son montant,ou justifier la reventillation HT/TVA.",(IFERROR(VALUE(TRIM(SUBSTITUTE(AZ50,CHAR(160),""))),0))&gt;(IFERROR(VALUE(TRIM(SUBSTITUTE(X50,CHAR(160),""))),0)),"Attention : Le montant TVA retenu est supérieur au montant TVA présenté. Merci de revoir la ligne de dépense,plafonner son montant,ou justifier la reventillation HT/TVA.",(IFERROR(VALUE(TRIM(SUBSTITUTE(Y50,CHAR(160),""))),0))=0,"",(IFERROR(VALUE(TRIM(SUBSTITUTE(BA50,CHAR(160),""))),0))=(IFERROR(VALUE(TRIM(SUBSTITUTE(Y50,CHAR(160),""))),0)),"OK",
OR((IFERROR(VALUE(TRIM(SUBSTITUTE(BA50,CHAR(160),""))),0))=0,(IFERROR(VALUE(TRIM(SUBSTITUTE(AY50,CHAR(160),""))),0))=0),"Attention : montant présenté entièrement écarté",(IFERROR(VALUE(TRIM(SUBSTITUTE(BA50,CHAR(160),""))),0))&lt;(IFERROR(VALUE(TRIM(SUBSTITUTE(Y50,CHAR(160),""))),0)),"Attention : montant présenté partiellement écarté",TRUE,""))</f>
        <v/>
      </c>
      <c r="BE50" s="44" t="str">
        <f t="shared" si="58"/>
        <v/>
      </c>
      <c r="BF50" s="44" t="str">
        <f t="shared" si="59"/>
        <v/>
      </c>
      <c r="BG50" s="21" t="str">
        <f t="shared" si="60"/>
        <v/>
      </c>
    </row>
    <row r="51" spans="1:59" ht="15" customHeight="1">
      <c r="A51" s="70">
        <v>42</v>
      </c>
      <c r="B51" s="784"/>
      <c r="C51" s="7"/>
      <c r="D51" s="11"/>
      <c r="E51" s="11"/>
      <c r="F51" s="7"/>
      <c r="G51" s="7"/>
      <c r="H51" s="7"/>
      <c r="I51" s="7"/>
      <c r="J51" s="17"/>
      <c r="K51" s="7"/>
      <c r="L51" s="132"/>
      <c r="M51" s="138"/>
      <c r="N51" s="8"/>
      <c r="O51" s="35" t="str">
        <f t="shared" si="32"/>
        <v/>
      </c>
      <c r="P51" s="9"/>
      <c r="Q51" s="8"/>
      <c r="R51" s="35" t="str">
        <f t="shared" si="33"/>
        <v/>
      </c>
      <c r="S51" s="10"/>
      <c r="T51" s="8"/>
      <c r="U51" s="139" t="str">
        <f t="shared" si="34"/>
        <v/>
      </c>
      <c r="V51" s="147"/>
      <c r="W51" s="770" t="str" cm="1">
        <f t="array" ref="W51">IF((_xlfn.IFS(TRIM(SUBSTITUTE(V51,CHAR(160),""))="Devis 1",IFERROR(VALUE(TRIM(SUBSTITUTE(M51,CHAR(160),""))),0),TRIM(SUBSTITUTE(V51,CHAR(160),""))="Devis 2",IFERROR(VALUE(TRIM(SUBSTITUTE(P51,CHAR(160),""))),0),TRIM(SUBSTITUTE(V51,CHAR(160),""))="Devis 3",IFERROR(VALUE(TRIM(SUBSTITUTE(S51,CHAR(160),""))),0),TRUE,0)*IFERROR(VALUE(TRIM(SUBSTITUTE(D51,CHAR(160),""))),0))=0,"",_xlfn.IFS(TRIM(SUBSTITUTE(V51,CHAR(160),""))="Devis 1",IFERROR(VALUE(TRIM(SUBSTITUTE(M51,CHAR(160),""))),0),TRIM(SUBSTITUTE(V51,CHAR(160),""))="Devis 2",IFERROR(VALUE(TRIM(SUBSTITUTE(P51,CHAR(160),""))),0),TRIM(SUBSTITUTE(V51,CHAR(160),""))="Devis 3",IFERROR(VALUE(TRIM(SUBSTITUTE(S51,CHAR(160),""))),0),TRUE,0)*IFERROR(VALUE(TRIM(SUBSTITUTE(D51,CHAR(160),""))),0))</f>
        <v/>
      </c>
      <c r="X51" s="73" t="str" cm="1">
        <f t="array" ref="X51">IF(_xlfn.IFS(TRIM(SUBSTITUTE(V51,CHAR(160),""))="Devis 1",IFERROR(VALUE(TRIM(SUBSTITUTE(N51,CHAR(160),""))),0),TRIM(SUBSTITUTE(V51,CHAR(160),""))="Devis 2",IFERROR(VALUE(TRIM(SUBSTITUTE(Q51,CHAR(160),""))),0),TRIM(SUBSTITUTE(V51,CHAR(160),""))="Devis 3",IFERROR(VALUE(TRIM(SUBSTITUTE(T51,CHAR(160),""))),0),TRUE,0)*IFERROR(VALUE(TRIM(SUBSTITUTE(D51,CHAR(160),""))),0)=0,IF(W51&lt;&gt;"",0,""),_xlfn.IFS(TRIM(SUBSTITUTE(V51,CHAR(160),""))="Devis 1",IFERROR(VALUE(TRIM(SUBSTITUTE(N51,CHAR(160),""))),0),TRIM(SUBSTITUTE(V51,CHAR(160),""))="Devis 2",IFERROR(VALUE(TRIM(SUBSTITUTE(Q51,CHAR(160),""))),0),TRIM(SUBSTITUTE(V51,CHAR(160),""))="Devis 3",IFERROR(VALUE(TRIM(SUBSTITUTE(T51,CHAR(160),""))),0),TRUE,0)*IFERROR(VALUE(TRIM(SUBSTITUTE(D51,CHAR(160),""))),0))</f>
        <v/>
      </c>
      <c r="Y51" s="149" t="str">
        <f t="shared" si="35"/>
        <v/>
      </c>
      <c r="Z51" s="150"/>
      <c r="AA51" s="36" t="str">
        <f t="shared" si="36"/>
        <v/>
      </c>
      <c r="AB51" s="37" t="str">
        <f t="shared" si="37"/>
        <v/>
      </c>
      <c r="AC51" s="37" t="str">
        <f t="shared" si="31"/>
        <v/>
      </c>
      <c r="AD51" s="14" t="str">
        <f t="shared" si="38"/>
        <v/>
      </c>
      <c r="AE51" s="14" t="str">
        <f t="shared" si="39"/>
        <v/>
      </c>
      <c r="AF51" s="14" t="str">
        <f t="shared" si="40"/>
        <v/>
      </c>
      <c r="AG51" s="14" t="str">
        <f t="shared" si="41"/>
        <v/>
      </c>
      <c r="AH51" s="38" t="str">
        <f t="shared" si="42"/>
        <v/>
      </c>
      <c r="AI51" s="14" t="str">
        <f t="shared" si="43"/>
        <v/>
      </c>
      <c r="AJ51" s="39" t="str">
        <f t="shared" si="44"/>
        <v/>
      </c>
      <c r="AK51" s="40" t="str">
        <f t="shared" si="45"/>
        <v/>
      </c>
      <c r="AL51" s="20" t="str">
        <f t="shared" si="46"/>
        <v/>
      </c>
      <c r="AM51" s="35" t="str">
        <f t="shared" si="47"/>
        <v/>
      </c>
      <c r="AN51" s="41" t="str">
        <f t="shared" si="48"/>
        <v/>
      </c>
      <c r="AO51" s="20" t="str">
        <f t="shared" si="49"/>
        <v/>
      </c>
      <c r="AP51" s="35" t="str">
        <f t="shared" si="50"/>
        <v/>
      </c>
      <c r="AQ51" s="42" t="str">
        <f t="shared" si="51"/>
        <v/>
      </c>
      <c r="AR51" s="20" t="str">
        <f t="shared" si="52"/>
        <v/>
      </c>
      <c r="AS51" s="43" t="str">
        <f t="shared" si="53"/>
        <v/>
      </c>
      <c r="AT51" s="36" t="str">
        <f t="shared" si="54"/>
        <v/>
      </c>
      <c r="AU51" s="184"/>
      <c r="AV51" s="44" t="str">
        <f t="shared" si="55"/>
        <v/>
      </c>
      <c r="AW51" s="44" t="str">
        <f t="shared" si="56"/>
        <v/>
      </c>
      <c r="AX51" s="44" t="str">
        <f t="shared" si="57"/>
        <v/>
      </c>
      <c r="AY51" s="74" t="str" cm="1">
        <f t="array" ref="AY51">IF($AB51="","",IF((IFERROR(_xlfn.IFS($AT51="Devis 1",(IFERROR(VALUE(TRIM(SUBSTITUTE(AK51,CHAR(160),""))),0)),$AT51="Devis 2",(IFERROR(VALUE(TRIM(SUBSTITUTE(AN51,CHAR(160),""))),0)),$AT51="Devis 3",(IFERROR(VALUE(TRIM(SUBSTITUTE(AQ51,CHAR(160),""))),0))),0))*(IFERROR(VALUE(TRIM(SUBSTITUTE($AB51,CHAR(160),""))),0))=0,"",(IFERROR(_xlfn.IFS($AT51="Devis 1",(IFERROR(VALUE(TRIM(SUBSTITUTE(AK51,CHAR(160),""))),0)),$AT51="Devis 2",(IFERROR(VALUE(TRIM(SUBSTITUTE(AN51,CHAR(160),""))),0)),$AT51="Devis 3",(IFERROR(VALUE(TRIM(SUBSTITUTE(AQ51,CHAR(160),""))),0))),0))*(IFERROR(VALUE(TRIM(SUBSTITUTE($AB51,CHAR(160),""))),0))))</f>
        <v/>
      </c>
      <c r="AZ51" s="74" t="str" cm="1">
        <f t="array" ref="AZ51">IF($AB51="","",IF((IFERROR(_xlfn.IFS(TRIM(SUBSTITUTE($AT51,CHAR(160),""))="Devis 1", IFERROR(VALUE(TRIM(SUBSTITUTE(AL51,CHAR(160),""))),0),TRIM(SUBSTITUTE($AT51,CHAR(160),""))="Devis 2", IFERROR(VALUE(TRIM(SUBSTITUTE(AO51,CHAR(160),""))),0),TRIM(SUBSTITUTE($AT51,CHAR(160),""))="Devis 3", IFERROR(VALUE(TRIM(SUBSTITUTE(AR51,CHAR(160),""))),0)),0) * IFERROR(VALUE(TRIM(SUBSTITUTE($AB51,CHAR(160),""))),0)) = 0,IF(AY51&lt;&gt;"",0,""),(IFERROR(_xlfn.IFS(TRIM(SUBSTITUTE($AT51,CHAR(160),""))="Devis 1", IFERROR(VALUE(TRIM(SUBSTITUTE(AL51,CHAR(160),""))),0),TRIM(SUBSTITUTE($AT51,CHAR(160),""))="Devis 2", IFERROR(VALUE(TRIM(SUBSTITUTE(AO51,CHAR(160),""))),0),TRIM(SUBSTITUTE($AT51,CHAR(160),""))="Devis 3", IFERROR(VALUE(TRIM(SUBSTITUTE(AR51,CHAR(160),""))),0)),0) * IFERROR(VALUE(TRIM(SUBSTITUTE($AB51,CHAR(160),""))),0))))</f>
        <v/>
      </c>
      <c r="BA51" s="74" t="str" cm="1">
        <f t="array" ref="BA51">IF($AB51="","",IF(IFERROR(_xlfn.IFS($AT51="Devis 1",IFERROR(VALUE(TRIM(SUBSTITUTE(AM51,CHAR(160),""))),0),$AT51="Devis 2",IFERROR(VALUE(TRIM(SUBSTITUTE(AP51,CHAR(160),""))),0),$AT51="Devis 3",IFERROR(VALUE(TRIM(SUBSTITUTE(AS51,CHAR(160),""))),0)),0)*IFERROR(VALUE(TRIM(SUBSTITUTE($AB51,CHAR(160),""))),0)=0,"",IFERROR(_xlfn.IFS($AT51="Devis 1",IFERROR(VALUE(TRIM(SUBSTITUTE(AM51,CHAR(160),""))),0),$AT51="Devis 2",IFERROR(VALUE(TRIM(SUBSTITUTE(AP51,CHAR(160),""))),0),$AT51="Devis 3",IFERROR(VALUE(TRIM(SUBSTITUTE(AS51,CHAR(160),""))),0)),0)*IFERROR(VALUE(TRIM(SUBSTITUTE($AB51,CHAR(160),""))),0)))</f>
        <v/>
      </c>
      <c r="BB51" s="45"/>
      <c r="BC51" s="13" t="str" cm="1">
        <f t="array" ref="BC51">IF(OR(BA51="",AX51="",AY51="",AV51="",AZ51="",AW51=""),"",_xlfn.IFS((IFERROR(VALUE(TRIM(SUBSTITUTE(BA51,CHAR(160),""))),0))&gt;(IFERROR(VALUE(TRIM(SUBSTITUTE(AX51,CHAR(160),""))),0)),"KO : Le montant retenu TTC est supérieur au montant raisonnable TTC. Merci de revoir la ligne de dépense ou plafonner son montant.",(IFERROR(VALUE(TRIM(SUBSTITUTE(AY51,CHAR(160),""))),0))&gt;(IFERROR(VALUE(TRIM(SUBSTITUTE(AV51,CHAR(160),""))),0)),"Attention : Le montant retenu HT est supérieur au montant HT raisonnable. Merci de revoir la ligne de dépense, plafonner son montant, ou justifier la reventillation HT / TVA.",(IFERROR(VALUE(TRIM(SUBSTITUTE(AZ51,CHAR(160),""))),0))&gt;(IFERROR(VALUE(TRIM(SUBSTITUTE(AW51,CHAR(160),""))),0)),"Attention : Le montant TVA retenu est supérieur au montant TVA raisonnable. Merci de revoir la ligne de dépense, plafonner son montant, ou justifier la reventillation HT / TVA.",(IFERROR(VALUE(TRIM(SUBSTITUTE(BA51,CHAR(160),""))),0))=0,"",(IFERROR(VALUE(TRIM(SUBSTITUTE(AX51,CHAR(160),""))),0))=(IFERROR(VALUE(TRIM(SUBSTITUTE(BA51,CHAR(160),""))),0)),"OK",(IFERROR(VALUE(TRIM(SUBSTITUTE(AX51,CHAR(160),""))),0))&gt;(IFERROR(VALUE(TRIM(SUBSTITUTE(BA51,CHAR(160),""))),0))," OK : Montant instruit inférieur au montant raisonnable.",TRUE,""))</f>
        <v/>
      </c>
      <c r="BD51" s="187" t="str" cm="1">
        <f t="array" ref="BD51">IF(OR(BA51="",Y51="",AY51="",W51="",AZ51="",X51=""),"",_xlfn.IFS((IFERROR(VALUE(TRIM(SUBSTITUTE(BA51,CHAR(160),""))),0))&gt;(IFERROR(VALUE(TRIM(SUBSTITUTE(Y51,CHAR(160),""))),0)),"KO : Le montant retenu TTC est supérieur au montant présenté TTC. Merci de revoir la ligne de dépense ou plafonner son montant.",(IFERROR(VALUE(TRIM(SUBSTITUTE(AY51,CHAR(160),""))),0))&gt;(IFERROR(VALUE(TRIM(SUBSTITUTE(W51,CHAR(160),""))),0)),"Attention : Le montant retenu HT est supérieur au montant HT présenté. Merci de revoir la ligne de dépense,plafonner son montant,ou justifier la reventillation HT/TVA.",(IFERROR(VALUE(TRIM(SUBSTITUTE(AZ51,CHAR(160),""))),0))&gt;(IFERROR(VALUE(TRIM(SUBSTITUTE(X51,CHAR(160),""))),0)),"Attention : Le montant TVA retenu est supérieur au montant TVA présenté. Merci de revoir la ligne de dépense,plafonner son montant,ou justifier la reventillation HT/TVA.",(IFERROR(VALUE(TRIM(SUBSTITUTE(Y51,CHAR(160),""))),0))=0,"",(IFERROR(VALUE(TRIM(SUBSTITUTE(BA51,CHAR(160),""))),0))=(IFERROR(VALUE(TRIM(SUBSTITUTE(Y51,CHAR(160),""))),0)),"OK",
OR((IFERROR(VALUE(TRIM(SUBSTITUTE(BA51,CHAR(160),""))),0))=0,(IFERROR(VALUE(TRIM(SUBSTITUTE(AY51,CHAR(160),""))),0))=0),"Attention : montant présenté entièrement écarté",(IFERROR(VALUE(TRIM(SUBSTITUTE(BA51,CHAR(160),""))),0))&lt;(IFERROR(VALUE(TRIM(SUBSTITUTE(Y51,CHAR(160),""))),0)),"Attention : montant présenté partiellement écarté",TRUE,""))</f>
        <v/>
      </c>
      <c r="BE51" s="44" t="str">
        <f t="shared" si="58"/>
        <v/>
      </c>
      <c r="BF51" s="44" t="str">
        <f t="shared" si="59"/>
        <v/>
      </c>
      <c r="BG51" s="21" t="str">
        <f t="shared" si="60"/>
        <v/>
      </c>
    </row>
    <row r="52" spans="1:59" ht="15" customHeight="1">
      <c r="A52" s="70">
        <v>43</v>
      </c>
      <c r="B52" s="784"/>
      <c r="C52" s="7"/>
      <c r="D52" s="11"/>
      <c r="E52" s="11"/>
      <c r="F52" s="7"/>
      <c r="G52" s="7"/>
      <c r="H52" s="7"/>
      <c r="I52" s="7"/>
      <c r="J52" s="17"/>
      <c r="K52" s="7"/>
      <c r="L52" s="132"/>
      <c r="M52" s="138"/>
      <c r="N52" s="8"/>
      <c r="O52" s="35" t="str">
        <f t="shared" si="32"/>
        <v/>
      </c>
      <c r="P52" s="9"/>
      <c r="Q52" s="8"/>
      <c r="R52" s="35" t="str">
        <f t="shared" si="33"/>
        <v/>
      </c>
      <c r="S52" s="10"/>
      <c r="T52" s="8"/>
      <c r="U52" s="139" t="str">
        <f t="shared" si="34"/>
        <v/>
      </c>
      <c r="V52" s="147"/>
      <c r="W52" s="770" t="str" cm="1">
        <f t="array" ref="W52">IF((_xlfn.IFS(TRIM(SUBSTITUTE(V52,CHAR(160),""))="Devis 1",IFERROR(VALUE(TRIM(SUBSTITUTE(M52,CHAR(160),""))),0),TRIM(SUBSTITUTE(V52,CHAR(160),""))="Devis 2",IFERROR(VALUE(TRIM(SUBSTITUTE(P52,CHAR(160),""))),0),TRIM(SUBSTITUTE(V52,CHAR(160),""))="Devis 3",IFERROR(VALUE(TRIM(SUBSTITUTE(S52,CHAR(160),""))),0),TRUE,0)*IFERROR(VALUE(TRIM(SUBSTITUTE(D52,CHAR(160),""))),0))=0,"",_xlfn.IFS(TRIM(SUBSTITUTE(V52,CHAR(160),""))="Devis 1",IFERROR(VALUE(TRIM(SUBSTITUTE(M52,CHAR(160),""))),0),TRIM(SUBSTITUTE(V52,CHAR(160),""))="Devis 2",IFERROR(VALUE(TRIM(SUBSTITUTE(P52,CHAR(160),""))),0),TRIM(SUBSTITUTE(V52,CHAR(160),""))="Devis 3",IFERROR(VALUE(TRIM(SUBSTITUTE(S52,CHAR(160),""))),0),TRUE,0)*IFERROR(VALUE(TRIM(SUBSTITUTE(D52,CHAR(160),""))),0))</f>
        <v/>
      </c>
      <c r="X52" s="73" t="str" cm="1">
        <f t="array" ref="X52">IF(_xlfn.IFS(TRIM(SUBSTITUTE(V52,CHAR(160),""))="Devis 1",IFERROR(VALUE(TRIM(SUBSTITUTE(N52,CHAR(160),""))),0),TRIM(SUBSTITUTE(V52,CHAR(160),""))="Devis 2",IFERROR(VALUE(TRIM(SUBSTITUTE(Q52,CHAR(160),""))),0),TRIM(SUBSTITUTE(V52,CHAR(160),""))="Devis 3",IFERROR(VALUE(TRIM(SUBSTITUTE(T52,CHAR(160),""))),0),TRUE,0)*IFERROR(VALUE(TRIM(SUBSTITUTE(D52,CHAR(160),""))),0)=0,IF(W52&lt;&gt;"",0,""),_xlfn.IFS(TRIM(SUBSTITUTE(V52,CHAR(160),""))="Devis 1",IFERROR(VALUE(TRIM(SUBSTITUTE(N52,CHAR(160),""))),0),TRIM(SUBSTITUTE(V52,CHAR(160),""))="Devis 2",IFERROR(VALUE(TRIM(SUBSTITUTE(Q52,CHAR(160),""))),0),TRIM(SUBSTITUTE(V52,CHAR(160),""))="Devis 3",IFERROR(VALUE(TRIM(SUBSTITUTE(T52,CHAR(160),""))),0),TRUE,0)*IFERROR(VALUE(TRIM(SUBSTITUTE(D52,CHAR(160),""))),0))</f>
        <v/>
      </c>
      <c r="Y52" s="149" t="str">
        <f t="shared" si="35"/>
        <v/>
      </c>
      <c r="Z52" s="150"/>
      <c r="AA52" s="36" t="str">
        <f t="shared" si="36"/>
        <v/>
      </c>
      <c r="AB52" s="37" t="str">
        <f t="shared" si="37"/>
        <v/>
      </c>
      <c r="AC52" s="37" t="str">
        <f t="shared" si="31"/>
        <v/>
      </c>
      <c r="AD52" s="14" t="str">
        <f t="shared" si="38"/>
        <v/>
      </c>
      <c r="AE52" s="14" t="str">
        <f t="shared" si="39"/>
        <v/>
      </c>
      <c r="AF52" s="14" t="str">
        <f t="shared" si="40"/>
        <v/>
      </c>
      <c r="AG52" s="14" t="str">
        <f t="shared" si="41"/>
        <v/>
      </c>
      <c r="AH52" s="38" t="str">
        <f t="shared" si="42"/>
        <v/>
      </c>
      <c r="AI52" s="14" t="str">
        <f t="shared" si="43"/>
        <v/>
      </c>
      <c r="AJ52" s="39" t="str">
        <f t="shared" si="44"/>
        <v/>
      </c>
      <c r="AK52" s="40" t="str">
        <f t="shared" si="45"/>
        <v/>
      </c>
      <c r="AL52" s="20" t="str">
        <f t="shared" si="46"/>
        <v/>
      </c>
      <c r="AM52" s="35" t="str">
        <f t="shared" si="47"/>
        <v/>
      </c>
      <c r="AN52" s="41" t="str">
        <f t="shared" si="48"/>
        <v/>
      </c>
      <c r="AO52" s="20" t="str">
        <f t="shared" si="49"/>
        <v/>
      </c>
      <c r="AP52" s="35" t="str">
        <f t="shared" si="50"/>
        <v/>
      </c>
      <c r="AQ52" s="42" t="str">
        <f t="shared" si="51"/>
        <v/>
      </c>
      <c r="AR52" s="20" t="str">
        <f t="shared" si="52"/>
        <v/>
      </c>
      <c r="AS52" s="43" t="str">
        <f t="shared" si="53"/>
        <v/>
      </c>
      <c r="AT52" s="36" t="str">
        <f t="shared" si="54"/>
        <v/>
      </c>
      <c r="AU52" s="184"/>
      <c r="AV52" s="44" t="str">
        <f t="shared" si="55"/>
        <v/>
      </c>
      <c r="AW52" s="44" t="str">
        <f t="shared" si="56"/>
        <v/>
      </c>
      <c r="AX52" s="44" t="str">
        <f t="shared" si="57"/>
        <v/>
      </c>
      <c r="AY52" s="74" t="str" cm="1">
        <f t="array" ref="AY52">IF($AB52="","",IF((IFERROR(_xlfn.IFS($AT52="Devis 1",(IFERROR(VALUE(TRIM(SUBSTITUTE(AK52,CHAR(160),""))),0)),$AT52="Devis 2",(IFERROR(VALUE(TRIM(SUBSTITUTE(AN52,CHAR(160),""))),0)),$AT52="Devis 3",(IFERROR(VALUE(TRIM(SUBSTITUTE(AQ52,CHAR(160),""))),0))),0))*(IFERROR(VALUE(TRIM(SUBSTITUTE($AB52,CHAR(160),""))),0))=0,"",(IFERROR(_xlfn.IFS($AT52="Devis 1",(IFERROR(VALUE(TRIM(SUBSTITUTE(AK52,CHAR(160),""))),0)),$AT52="Devis 2",(IFERROR(VALUE(TRIM(SUBSTITUTE(AN52,CHAR(160),""))),0)),$AT52="Devis 3",(IFERROR(VALUE(TRIM(SUBSTITUTE(AQ52,CHAR(160),""))),0))),0))*(IFERROR(VALUE(TRIM(SUBSTITUTE($AB52,CHAR(160),""))),0))))</f>
        <v/>
      </c>
      <c r="AZ52" s="74" t="str" cm="1">
        <f t="array" ref="AZ52">IF($AB52="","",IF((IFERROR(_xlfn.IFS(TRIM(SUBSTITUTE($AT52,CHAR(160),""))="Devis 1", IFERROR(VALUE(TRIM(SUBSTITUTE(AL52,CHAR(160),""))),0),TRIM(SUBSTITUTE($AT52,CHAR(160),""))="Devis 2", IFERROR(VALUE(TRIM(SUBSTITUTE(AO52,CHAR(160),""))),0),TRIM(SUBSTITUTE($AT52,CHAR(160),""))="Devis 3", IFERROR(VALUE(TRIM(SUBSTITUTE(AR52,CHAR(160),""))),0)),0) * IFERROR(VALUE(TRIM(SUBSTITUTE($AB52,CHAR(160),""))),0)) = 0,IF(AY52&lt;&gt;"",0,""),(IFERROR(_xlfn.IFS(TRIM(SUBSTITUTE($AT52,CHAR(160),""))="Devis 1", IFERROR(VALUE(TRIM(SUBSTITUTE(AL52,CHAR(160),""))),0),TRIM(SUBSTITUTE($AT52,CHAR(160),""))="Devis 2", IFERROR(VALUE(TRIM(SUBSTITUTE(AO52,CHAR(160),""))),0),TRIM(SUBSTITUTE($AT52,CHAR(160),""))="Devis 3", IFERROR(VALUE(TRIM(SUBSTITUTE(AR52,CHAR(160),""))),0)),0) * IFERROR(VALUE(TRIM(SUBSTITUTE($AB52,CHAR(160),""))),0))))</f>
        <v/>
      </c>
      <c r="BA52" s="74" t="str" cm="1">
        <f t="array" ref="BA52">IF($AB52="","",IF(IFERROR(_xlfn.IFS($AT52="Devis 1",IFERROR(VALUE(TRIM(SUBSTITUTE(AM52,CHAR(160),""))),0),$AT52="Devis 2",IFERROR(VALUE(TRIM(SUBSTITUTE(AP52,CHAR(160),""))),0),$AT52="Devis 3",IFERROR(VALUE(TRIM(SUBSTITUTE(AS52,CHAR(160),""))),0)),0)*IFERROR(VALUE(TRIM(SUBSTITUTE($AB52,CHAR(160),""))),0)=0,"",IFERROR(_xlfn.IFS($AT52="Devis 1",IFERROR(VALUE(TRIM(SUBSTITUTE(AM52,CHAR(160),""))),0),$AT52="Devis 2",IFERROR(VALUE(TRIM(SUBSTITUTE(AP52,CHAR(160),""))),0),$AT52="Devis 3",IFERROR(VALUE(TRIM(SUBSTITUTE(AS52,CHAR(160),""))),0)),0)*IFERROR(VALUE(TRIM(SUBSTITUTE($AB52,CHAR(160),""))),0)))</f>
        <v/>
      </c>
      <c r="BB52" s="45"/>
      <c r="BC52" s="13" t="str" cm="1">
        <f t="array" ref="BC52">IF(OR(BA52="",AX52="",AY52="",AV52="",AZ52="",AW52=""),"",_xlfn.IFS((IFERROR(VALUE(TRIM(SUBSTITUTE(BA52,CHAR(160),""))),0))&gt;(IFERROR(VALUE(TRIM(SUBSTITUTE(AX52,CHAR(160),""))),0)),"KO : Le montant retenu TTC est supérieur au montant raisonnable TTC. Merci de revoir la ligne de dépense ou plafonner son montant.",(IFERROR(VALUE(TRIM(SUBSTITUTE(AY52,CHAR(160),""))),0))&gt;(IFERROR(VALUE(TRIM(SUBSTITUTE(AV52,CHAR(160),""))),0)),"Attention : Le montant retenu HT est supérieur au montant HT raisonnable. Merci de revoir la ligne de dépense, plafonner son montant, ou justifier la reventillation HT / TVA.",(IFERROR(VALUE(TRIM(SUBSTITUTE(AZ52,CHAR(160),""))),0))&gt;(IFERROR(VALUE(TRIM(SUBSTITUTE(AW52,CHAR(160),""))),0)),"Attention : Le montant TVA retenu est supérieur au montant TVA raisonnable. Merci de revoir la ligne de dépense, plafonner son montant, ou justifier la reventillation HT / TVA.",(IFERROR(VALUE(TRIM(SUBSTITUTE(BA52,CHAR(160),""))),0))=0,"",(IFERROR(VALUE(TRIM(SUBSTITUTE(AX52,CHAR(160),""))),0))=(IFERROR(VALUE(TRIM(SUBSTITUTE(BA52,CHAR(160),""))),0)),"OK",(IFERROR(VALUE(TRIM(SUBSTITUTE(AX52,CHAR(160),""))),0))&gt;(IFERROR(VALUE(TRIM(SUBSTITUTE(BA52,CHAR(160),""))),0))," OK : Montant instruit inférieur au montant raisonnable.",TRUE,""))</f>
        <v/>
      </c>
      <c r="BD52" s="187" t="str" cm="1">
        <f t="array" ref="BD52">IF(OR(BA52="",Y52="",AY52="",W52="",AZ52="",X52=""),"",_xlfn.IFS((IFERROR(VALUE(TRIM(SUBSTITUTE(BA52,CHAR(160),""))),0))&gt;(IFERROR(VALUE(TRIM(SUBSTITUTE(Y52,CHAR(160),""))),0)),"KO : Le montant retenu TTC est supérieur au montant présenté TTC. Merci de revoir la ligne de dépense ou plafonner son montant.",(IFERROR(VALUE(TRIM(SUBSTITUTE(AY52,CHAR(160),""))),0))&gt;(IFERROR(VALUE(TRIM(SUBSTITUTE(W52,CHAR(160),""))),0)),"Attention : Le montant retenu HT est supérieur au montant HT présenté. Merci de revoir la ligne de dépense,plafonner son montant,ou justifier la reventillation HT/TVA.",(IFERROR(VALUE(TRIM(SUBSTITUTE(AZ52,CHAR(160),""))),0))&gt;(IFERROR(VALUE(TRIM(SUBSTITUTE(X52,CHAR(160),""))),0)),"Attention : Le montant TVA retenu est supérieur au montant TVA présenté. Merci de revoir la ligne de dépense,plafonner son montant,ou justifier la reventillation HT/TVA.",(IFERROR(VALUE(TRIM(SUBSTITUTE(Y52,CHAR(160),""))),0))=0,"",(IFERROR(VALUE(TRIM(SUBSTITUTE(BA52,CHAR(160),""))),0))=(IFERROR(VALUE(TRIM(SUBSTITUTE(Y52,CHAR(160),""))),0)),"OK",
OR((IFERROR(VALUE(TRIM(SUBSTITUTE(BA52,CHAR(160),""))),0))=0,(IFERROR(VALUE(TRIM(SUBSTITUTE(AY52,CHAR(160),""))),0))=0),"Attention : montant présenté entièrement écarté",(IFERROR(VALUE(TRIM(SUBSTITUTE(BA52,CHAR(160),""))),0))&lt;(IFERROR(VALUE(TRIM(SUBSTITUTE(Y52,CHAR(160),""))),0)),"Attention : montant présenté partiellement écarté",TRUE,""))</f>
        <v/>
      </c>
      <c r="BE52" s="44" t="str">
        <f t="shared" si="58"/>
        <v/>
      </c>
      <c r="BF52" s="44" t="str">
        <f t="shared" si="59"/>
        <v/>
      </c>
      <c r="BG52" s="21" t="str">
        <f t="shared" si="60"/>
        <v/>
      </c>
    </row>
    <row r="53" spans="1:59" ht="15" customHeight="1">
      <c r="A53" s="70">
        <v>44</v>
      </c>
      <c r="B53" s="784"/>
      <c r="C53" s="7"/>
      <c r="D53" s="11"/>
      <c r="E53" s="11"/>
      <c r="F53" s="7"/>
      <c r="G53" s="7"/>
      <c r="H53" s="7"/>
      <c r="I53" s="7"/>
      <c r="J53" s="17"/>
      <c r="K53" s="7"/>
      <c r="L53" s="132"/>
      <c r="M53" s="138"/>
      <c r="N53" s="8"/>
      <c r="O53" s="35" t="str">
        <f t="shared" si="32"/>
        <v/>
      </c>
      <c r="P53" s="9"/>
      <c r="Q53" s="8"/>
      <c r="R53" s="35" t="str">
        <f t="shared" si="33"/>
        <v/>
      </c>
      <c r="S53" s="10"/>
      <c r="T53" s="8"/>
      <c r="U53" s="139" t="str">
        <f t="shared" si="34"/>
        <v/>
      </c>
      <c r="V53" s="147"/>
      <c r="W53" s="770" t="str" cm="1">
        <f t="array" ref="W53">IF((_xlfn.IFS(TRIM(SUBSTITUTE(V53,CHAR(160),""))="Devis 1",IFERROR(VALUE(TRIM(SUBSTITUTE(M53,CHAR(160),""))),0),TRIM(SUBSTITUTE(V53,CHAR(160),""))="Devis 2",IFERROR(VALUE(TRIM(SUBSTITUTE(P53,CHAR(160),""))),0),TRIM(SUBSTITUTE(V53,CHAR(160),""))="Devis 3",IFERROR(VALUE(TRIM(SUBSTITUTE(S53,CHAR(160),""))),0),TRUE,0)*IFERROR(VALUE(TRIM(SUBSTITUTE(D53,CHAR(160),""))),0))=0,"",_xlfn.IFS(TRIM(SUBSTITUTE(V53,CHAR(160),""))="Devis 1",IFERROR(VALUE(TRIM(SUBSTITUTE(M53,CHAR(160),""))),0),TRIM(SUBSTITUTE(V53,CHAR(160),""))="Devis 2",IFERROR(VALUE(TRIM(SUBSTITUTE(P53,CHAR(160),""))),0),TRIM(SUBSTITUTE(V53,CHAR(160),""))="Devis 3",IFERROR(VALUE(TRIM(SUBSTITUTE(S53,CHAR(160),""))),0),TRUE,0)*IFERROR(VALUE(TRIM(SUBSTITUTE(D53,CHAR(160),""))),0))</f>
        <v/>
      </c>
      <c r="X53" s="73" t="str" cm="1">
        <f t="array" ref="X53">IF(_xlfn.IFS(TRIM(SUBSTITUTE(V53,CHAR(160),""))="Devis 1",IFERROR(VALUE(TRIM(SUBSTITUTE(N53,CHAR(160),""))),0),TRIM(SUBSTITUTE(V53,CHAR(160),""))="Devis 2",IFERROR(VALUE(TRIM(SUBSTITUTE(Q53,CHAR(160),""))),0),TRIM(SUBSTITUTE(V53,CHAR(160),""))="Devis 3",IFERROR(VALUE(TRIM(SUBSTITUTE(T53,CHAR(160),""))),0),TRUE,0)*IFERROR(VALUE(TRIM(SUBSTITUTE(D53,CHAR(160),""))),0)=0,IF(W53&lt;&gt;"",0,""),_xlfn.IFS(TRIM(SUBSTITUTE(V53,CHAR(160),""))="Devis 1",IFERROR(VALUE(TRIM(SUBSTITUTE(N53,CHAR(160),""))),0),TRIM(SUBSTITUTE(V53,CHAR(160),""))="Devis 2",IFERROR(VALUE(TRIM(SUBSTITUTE(Q53,CHAR(160),""))),0),TRIM(SUBSTITUTE(V53,CHAR(160),""))="Devis 3",IFERROR(VALUE(TRIM(SUBSTITUTE(T53,CHAR(160),""))),0),TRUE,0)*IFERROR(VALUE(TRIM(SUBSTITUTE(D53,CHAR(160),""))),0))</f>
        <v/>
      </c>
      <c r="Y53" s="149" t="str">
        <f t="shared" si="35"/>
        <v/>
      </c>
      <c r="Z53" s="150"/>
      <c r="AA53" s="36" t="str">
        <f t="shared" si="36"/>
        <v/>
      </c>
      <c r="AB53" s="37" t="str">
        <f t="shared" si="37"/>
        <v/>
      </c>
      <c r="AC53" s="37" t="str">
        <f t="shared" si="31"/>
        <v/>
      </c>
      <c r="AD53" s="14" t="str">
        <f t="shared" si="38"/>
        <v/>
      </c>
      <c r="AE53" s="14" t="str">
        <f t="shared" si="39"/>
        <v/>
      </c>
      <c r="AF53" s="14" t="str">
        <f t="shared" si="40"/>
        <v/>
      </c>
      <c r="AG53" s="14" t="str">
        <f t="shared" si="41"/>
        <v/>
      </c>
      <c r="AH53" s="38" t="str">
        <f t="shared" si="42"/>
        <v/>
      </c>
      <c r="AI53" s="14" t="str">
        <f t="shared" si="43"/>
        <v/>
      </c>
      <c r="AJ53" s="39" t="str">
        <f t="shared" si="44"/>
        <v/>
      </c>
      <c r="AK53" s="40" t="str">
        <f t="shared" si="45"/>
        <v/>
      </c>
      <c r="AL53" s="20" t="str">
        <f t="shared" si="46"/>
        <v/>
      </c>
      <c r="AM53" s="35" t="str">
        <f t="shared" si="47"/>
        <v/>
      </c>
      <c r="AN53" s="41" t="str">
        <f t="shared" si="48"/>
        <v/>
      </c>
      <c r="AO53" s="20" t="str">
        <f t="shared" si="49"/>
        <v/>
      </c>
      <c r="AP53" s="35" t="str">
        <f t="shared" si="50"/>
        <v/>
      </c>
      <c r="AQ53" s="42" t="str">
        <f t="shared" si="51"/>
        <v/>
      </c>
      <c r="AR53" s="20" t="str">
        <f t="shared" si="52"/>
        <v/>
      </c>
      <c r="AS53" s="43" t="str">
        <f t="shared" si="53"/>
        <v/>
      </c>
      <c r="AT53" s="36" t="str">
        <f t="shared" si="54"/>
        <v/>
      </c>
      <c r="AU53" s="184"/>
      <c r="AV53" s="44" t="str">
        <f t="shared" si="55"/>
        <v/>
      </c>
      <c r="AW53" s="44" t="str">
        <f t="shared" si="56"/>
        <v/>
      </c>
      <c r="AX53" s="44" t="str">
        <f t="shared" si="57"/>
        <v/>
      </c>
      <c r="AY53" s="74" t="str" cm="1">
        <f t="array" ref="AY53">IF($AB53="","",IF((IFERROR(_xlfn.IFS($AT53="Devis 1",(IFERROR(VALUE(TRIM(SUBSTITUTE(AK53,CHAR(160),""))),0)),$AT53="Devis 2",(IFERROR(VALUE(TRIM(SUBSTITUTE(AN53,CHAR(160),""))),0)),$AT53="Devis 3",(IFERROR(VALUE(TRIM(SUBSTITUTE(AQ53,CHAR(160),""))),0))),0))*(IFERROR(VALUE(TRIM(SUBSTITUTE($AB53,CHAR(160),""))),0))=0,"",(IFERROR(_xlfn.IFS($AT53="Devis 1",(IFERROR(VALUE(TRIM(SUBSTITUTE(AK53,CHAR(160),""))),0)),$AT53="Devis 2",(IFERROR(VALUE(TRIM(SUBSTITUTE(AN53,CHAR(160),""))),0)),$AT53="Devis 3",(IFERROR(VALUE(TRIM(SUBSTITUTE(AQ53,CHAR(160),""))),0))),0))*(IFERROR(VALUE(TRIM(SUBSTITUTE($AB53,CHAR(160),""))),0))))</f>
        <v/>
      </c>
      <c r="AZ53" s="74" t="str" cm="1">
        <f t="array" ref="AZ53">IF($AB53="","",IF((IFERROR(_xlfn.IFS(TRIM(SUBSTITUTE($AT53,CHAR(160),""))="Devis 1", IFERROR(VALUE(TRIM(SUBSTITUTE(AL53,CHAR(160),""))),0),TRIM(SUBSTITUTE($AT53,CHAR(160),""))="Devis 2", IFERROR(VALUE(TRIM(SUBSTITUTE(AO53,CHAR(160),""))),0),TRIM(SUBSTITUTE($AT53,CHAR(160),""))="Devis 3", IFERROR(VALUE(TRIM(SUBSTITUTE(AR53,CHAR(160),""))),0)),0) * IFERROR(VALUE(TRIM(SUBSTITUTE($AB53,CHAR(160),""))),0)) = 0,IF(AY53&lt;&gt;"",0,""),(IFERROR(_xlfn.IFS(TRIM(SUBSTITUTE($AT53,CHAR(160),""))="Devis 1", IFERROR(VALUE(TRIM(SUBSTITUTE(AL53,CHAR(160),""))),0),TRIM(SUBSTITUTE($AT53,CHAR(160),""))="Devis 2", IFERROR(VALUE(TRIM(SUBSTITUTE(AO53,CHAR(160),""))),0),TRIM(SUBSTITUTE($AT53,CHAR(160),""))="Devis 3", IFERROR(VALUE(TRIM(SUBSTITUTE(AR53,CHAR(160),""))),0)),0) * IFERROR(VALUE(TRIM(SUBSTITUTE($AB53,CHAR(160),""))),0))))</f>
        <v/>
      </c>
      <c r="BA53" s="74" t="str" cm="1">
        <f t="array" ref="BA53">IF($AB53="","",IF(IFERROR(_xlfn.IFS($AT53="Devis 1",IFERROR(VALUE(TRIM(SUBSTITUTE(AM53,CHAR(160),""))),0),$AT53="Devis 2",IFERROR(VALUE(TRIM(SUBSTITUTE(AP53,CHAR(160),""))),0),$AT53="Devis 3",IFERROR(VALUE(TRIM(SUBSTITUTE(AS53,CHAR(160),""))),0)),0)*IFERROR(VALUE(TRIM(SUBSTITUTE($AB53,CHAR(160),""))),0)=0,"",IFERROR(_xlfn.IFS($AT53="Devis 1",IFERROR(VALUE(TRIM(SUBSTITUTE(AM53,CHAR(160),""))),0),$AT53="Devis 2",IFERROR(VALUE(TRIM(SUBSTITUTE(AP53,CHAR(160),""))),0),$AT53="Devis 3",IFERROR(VALUE(TRIM(SUBSTITUTE(AS53,CHAR(160),""))),0)),0)*IFERROR(VALUE(TRIM(SUBSTITUTE($AB53,CHAR(160),""))),0)))</f>
        <v/>
      </c>
      <c r="BB53" s="45"/>
      <c r="BC53" s="13" t="str" cm="1">
        <f t="array" ref="BC53">IF(OR(BA53="",AX53="",AY53="",AV53="",AZ53="",AW53=""),"",_xlfn.IFS((IFERROR(VALUE(TRIM(SUBSTITUTE(BA53,CHAR(160),""))),0))&gt;(IFERROR(VALUE(TRIM(SUBSTITUTE(AX53,CHAR(160),""))),0)),"KO : Le montant retenu TTC est supérieur au montant raisonnable TTC. Merci de revoir la ligne de dépense ou plafonner son montant.",(IFERROR(VALUE(TRIM(SUBSTITUTE(AY53,CHAR(160),""))),0))&gt;(IFERROR(VALUE(TRIM(SUBSTITUTE(AV53,CHAR(160),""))),0)),"Attention : Le montant retenu HT est supérieur au montant HT raisonnable. Merci de revoir la ligne de dépense, plafonner son montant, ou justifier la reventillation HT / TVA.",(IFERROR(VALUE(TRIM(SUBSTITUTE(AZ53,CHAR(160),""))),0))&gt;(IFERROR(VALUE(TRIM(SUBSTITUTE(AW53,CHAR(160),""))),0)),"Attention : Le montant TVA retenu est supérieur au montant TVA raisonnable. Merci de revoir la ligne de dépense, plafonner son montant, ou justifier la reventillation HT / TVA.",(IFERROR(VALUE(TRIM(SUBSTITUTE(BA53,CHAR(160),""))),0))=0,"",(IFERROR(VALUE(TRIM(SUBSTITUTE(AX53,CHAR(160),""))),0))=(IFERROR(VALUE(TRIM(SUBSTITUTE(BA53,CHAR(160),""))),0)),"OK",(IFERROR(VALUE(TRIM(SUBSTITUTE(AX53,CHAR(160),""))),0))&gt;(IFERROR(VALUE(TRIM(SUBSTITUTE(BA53,CHAR(160),""))),0))," OK : Montant instruit inférieur au montant raisonnable.",TRUE,""))</f>
        <v/>
      </c>
      <c r="BD53" s="187" t="str" cm="1">
        <f t="array" ref="BD53">IF(OR(BA53="",Y53="",AY53="",W53="",AZ53="",X53=""),"",_xlfn.IFS((IFERROR(VALUE(TRIM(SUBSTITUTE(BA53,CHAR(160),""))),0))&gt;(IFERROR(VALUE(TRIM(SUBSTITUTE(Y53,CHAR(160),""))),0)),"KO : Le montant retenu TTC est supérieur au montant présenté TTC. Merci de revoir la ligne de dépense ou plafonner son montant.",(IFERROR(VALUE(TRIM(SUBSTITUTE(AY53,CHAR(160),""))),0))&gt;(IFERROR(VALUE(TRIM(SUBSTITUTE(W53,CHAR(160),""))),0)),"Attention : Le montant retenu HT est supérieur au montant HT présenté. Merci de revoir la ligne de dépense,plafonner son montant,ou justifier la reventillation HT/TVA.",(IFERROR(VALUE(TRIM(SUBSTITUTE(AZ53,CHAR(160),""))),0))&gt;(IFERROR(VALUE(TRIM(SUBSTITUTE(X53,CHAR(160),""))),0)),"Attention : Le montant TVA retenu est supérieur au montant TVA présenté. Merci de revoir la ligne de dépense,plafonner son montant,ou justifier la reventillation HT/TVA.",(IFERROR(VALUE(TRIM(SUBSTITUTE(Y53,CHAR(160),""))),0))=0,"",(IFERROR(VALUE(TRIM(SUBSTITUTE(BA53,CHAR(160),""))),0))=(IFERROR(VALUE(TRIM(SUBSTITUTE(Y53,CHAR(160),""))),0)),"OK",
OR((IFERROR(VALUE(TRIM(SUBSTITUTE(BA53,CHAR(160),""))),0))=0,(IFERROR(VALUE(TRIM(SUBSTITUTE(AY53,CHAR(160),""))),0))=0),"Attention : montant présenté entièrement écarté",(IFERROR(VALUE(TRIM(SUBSTITUTE(BA53,CHAR(160),""))),0))&lt;(IFERROR(VALUE(TRIM(SUBSTITUTE(Y53,CHAR(160),""))),0)),"Attention : montant présenté partiellement écarté",TRUE,""))</f>
        <v/>
      </c>
      <c r="BE53" s="44" t="str">
        <f t="shared" si="58"/>
        <v/>
      </c>
      <c r="BF53" s="44" t="str">
        <f t="shared" si="59"/>
        <v/>
      </c>
      <c r="BG53" s="21" t="str">
        <f t="shared" si="60"/>
        <v/>
      </c>
    </row>
    <row r="54" spans="1:59" ht="15" customHeight="1">
      <c r="A54" s="70">
        <v>45</v>
      </c>
      <c r="B54" s="784"/>
      <c r="C54" s="7"/>
      <c r="D54" s="11"/>
      <c r="E54" s="11"/>
      <c r="F54" s="7"/>
      <c r="G54" s="7"/>
      <c r="H54" s="7"/>
      <c r="I54" s="7"/>
      <c r="J54" s="17"/>
      <c r="K54" s="7"/>
      <c r="L54" s="132"/>
      <c r="M54" s="138"/>
      <c r="N54" s="8"/>
      <c r="O54" s="35" t="str">
        <f t="shared" si="32"/>
        <v/>
      </c>
      <c r="P54" s="9"/>
      <c r="Q54" s="8"/>
      <c r="R54" s="35" t="str">
        <f t="shared" si="33"/>
        <v/>
      </c>
      <c r="S54" s="10"/>
      <c r="T54" s="8"/>
      <c r="U54" s="139" t="str">
        <f t="shared" si="34"/>
        <v/>
      </c>
      <c r="V54" s="147"/>
      <c r="W54" s="770" t="str" cm="1">
        <f t="array" ref="W54">IF((_xlfn.IFS(TRIM(SUBSTITUTE(V54,CHAR(160),""))="Devis 1",IFERROR(VALUE(TRIM(SUBSTITUTE(M54,CHAR(160),""))),0),TRIM(SUBSTITUTE(V54,CHAR(160),""))="Devis 2",IFERROR(VALUE(TRIM(SUBSTITUTE(P54,CHAR(160),""))),0),TRIM(SUBSTITUTE(V54,CHAR(160),""))="Devis 3",IFERROR(VALUE(TRIM(SUBSTITUTE(S54,CHAR(160),""))),0),TRUE,0)*IFERROR(VALUE(TRIM(SUBSTITUTE(D54,CHAR(160),""))),0))=0,"",_xlfn.IFS(TRIM(SUBSTITUTE(V54,CHAR(160),""))="Devis 1",IFERROR(VALUE(TRIM(SUBSTITUTE(M54,CHAR(160),""))),0),TRIM(SUBSTITUTE(V54,CHAR(160),""))="Devis 2",IFERROR(VALUE(TRIM(SUBSTITUTE(P54,CHAR(160),""))),0),TRIM(SUBSTITUTE(V54,CHAR(160),""))="Devis 3",IFERROR(VALUE(TRIM(SUBSTITUTE(S54,CHAR(160),""))),0),TRUE,0)*IFERROR(VALUE(TRIM(SUBSTITUTE(D54,CHAR(160),""))),0))</f>
        <v/>
      </c>
      <c r="X54" s="73" t="str" cm="1">
        <f t="array" ref="X54">IF(_xlfn.IFS(TRIM(SUBSTITUTE(V54,CHAR(160),""))="Devis 1",IFERROR(VALUE(TRIM(SUBSTITUTE(N54,CHAR(160),""))),0),TRIM(SUBSTITUTE(V54,CHAR(160),""))="Devis 2",IFERROR(VALUE(TRIM(SUBSTITUTE(Q54,CHAR(160),""))),0),TRIM(SUBSTITUTE(V54,CHAR(160),""))="Devis 3",IFERROR(VALUE(TRIM(SUBSTITUTE(T54,CHAR(160),""))),0),TRUE,0)*IFERROR(VALUE(TRIM(SUBSTITUTE(D54,CHAR(160),""))),0)=0,IF(W54&lt;&gt;"",0,""),_xlfn.IFS(TRIM(SUBSTITUTE(V54,CHAR(160),""))="Devis 1",IFERROR(VALUE(TRIM(SUBSTITUTE(N54,CHAR(160),""))),0),TRIM(SUBSTITUTE(V54,CHAR(160),""))="Devis 2",IFERROR(VALUE(TRIM(SUBSTITUTE(Q54,CHAR(160),""))),0),TRIM(SUBSTITUTE(V54,CHAR(160),""))="Devis 3",IFERROR(VALUE(TRIM(SUBSTITUTE(T54,CHAR(160),""))),0),TRUE,0)*IFERROR(VALUE(TRIM(SUBSTITUTE(D54,CHAR(160),""))),0))</f>
        <v/>
      </c>
      <c r="Y54" s="149" t="str">
        <f t="shared" si="35"/>
        <v/>
      </c>
      <c r="Z54" s="150"/>
      <c r="AA54" s="36" t="str">
        <f t="shared" si="36"/>
        <v/>
      </c>
      <c r="AB54" s="37" t="str">
        <f t="shared" si="37"/>
        <v/>
      </c>
      <c r="AC54" s="37" t="str">
        <f t="shared" si="31"/>
        <v/>
      </c>
      <c r="AD54" s="14" t="str">
        <f t="shared" si="38"/>
        <v/>
      </c>
      <c r="AE54" s="14" t="str">
        <f t="shared" si="39"/>
        <v/>
      </c>
      <c r="AF54" s="14" t="str">
        <f t="shared" si="40"/>
        <v/>
      </c>
      <c r="AG54" s="14" t="str">
        <f t="shared" si="41"/>
        <v/>
      </c>
      <c r="AH54" s="38" t="str">
        <f t="shared" si="42"/>
        <v/>
      </c>
      <c r="AI54" s="14" t="str">
        <f t="shared" si="43"/>
        <v/>
      </c>
      <c r="AJ54" s="39" t="str">
        <f t="shared" si="44"/>
        <v/>
      </c>
      <c r="AK54" s="40" t="str">
        <f t="shared" si="45"/>
        <v/>
      </c>
      <c r="AL54" s="20" t="str">
        <f t="shared" si="46"/>
        <v/>
      </c>
      <c r="AM54" s="35" t="str">
        <f t="shared" si="47"/>
        <v/>
      </c>
      <c r="AN54" s="41" t="str">
        <f t="shared" si="48"/>
        <v/>
      </c>
      <c r="AO54" s="20" t="str">
        <f t="shared" si="49"/>
        <v/>
      </c>
      <c r="AP54" s="35" t="str">
        <f t="shared" si="50"/>
        <v/>
      </c>
      <c r="AQ54" s="42" t="str">
        <f t="shared" si="51"/>
        <v/>
      </c>
      <c r="AR54" s="20" t="str">
        <f t="shared" si="52"/>
        <v/>
      </c>
      <c r="AS54" s="43" t="str">
        <f t="shared" si="53"/>
        <v/>
      </c>
      <c r="AT54" s="36" t="str">
        <f t="shared" si="54"/>
        <v/>
      </c>
      <c r="AU54" s="184"/>
      <c r="AV54" s="44" t="str">
        <f t="shared" si="55"/>
        <v/>
      </c>
      <c r="AW54" s="44" t="str">
        <f t="shared" si="56"/>
        <v/>
      </c>
      <c r="AX54" s="44" t="str">
        <f t="shared" si="57"/>
        <v/>
      </c>
      <c r="AY54" s="74" t="str" cm="1">
        <f t="array" ref="AY54">IF($AB54="","",IF((IFERROR(_xlfn.IFS($AT54="Devis 1",(IFERROR(VALUE(TRIM(SUBSTITUTE(AK54,CHAR(160),""))),0)),$AT54="Devis 2",(IFERROR(VALUE(TRIM(SUBSTITUTE(AN54,CHAR(160),""))),0)),$AT54="Devis 3",(IFERROR(VALUE(TRIM(SUBSTITUTE(AQ54,CHAR(160),""))),0))),0))*(IFERROR(VALUE(TRIM(SUBSTITUTE($AB54,CHAR(160),""))),0))=0,"",(IFERROR(_xlfn.IFS($AT54="Devis 1",(IFERROR(VALUE(TRIM(SUBSTITUTE(AK54,CHAR(160),""))),0)),$AT54="Devis 2",(IFERROR(VALUE(TRIM(SUBSTITUTE(AN54,CHAR(160),""))),0)),$AT54="Devis 3",(IFERROR(VALUE(TRIM(SUBSTITUTE(AQ54,CHAR(160),""))),0))),0))*(IFERROR(VALUE(TRIM(SUBSTITUTE($AB54,CHAR(160),""))),0))))</f>
        <v/>
      </c>
      <c r="AZ54" s="74" t="str" cm="1">
        <f t="array" ref="AZ54">IF($AB54="","",IF((IFERROR(_xlfn.IFS(TRIM(SUBSTITUTE($AT54,CHAR(160),""))="Devis 1", IFERROR(VALUE(TRIM(SUBSTITUTE(AL54,CHAR(160),""))),0),TRIM(SUBSTITUTE($AT54,CHAR(160),""))="Devis 2", IFERROR(VALUE(TRIM(SUBSTITUTE(AO54,CHAR(160),""))),0),TRIM(SUBSTITUTE($AT54,CHAR(160),""))="Devis 3", IFERROR(VALUE(TRIM(SUBSTITUTE(AR54,CHAR(160),""))),0)),0) * IFERROR(VALUE(TRIM(SUBSTITUTE($AB54,CHAR(160),""))),0)) = 0,IF(AY54&lt;&gt;"",0,""),(IFERROR(_xlfn.IFS(TRIM(SUBSTITUTE($AT54,CHAR(160),""))="Devis 1", IFERROR(VALUE(TRIM(SUBSTITUTE(AL54,CHAR(160),""))),0),TRIM(SUBSTITUTE($AT54,CHAR(160),""))="Devis 2", IFERROR(VALUE(TRIM(SUBSTITUTE(AO54,CHAR(160),""))),0),TRIM(SUBSTITUTE($AT54,CHAR(160),""))="Devis 3", IFERROR(VALUE(TRIM(SUBSTITUTE(AR54,CHAR(160),""))),0)),0) * IFERROR(VALUE(TRIM(SUBSTITUTE($AB54,CHAR(160),""))),0))))</f>
        <v/>
      </c>
      <c r="BA54" s="74" t="str" cm="1">
        <f t="array" ref="BA54">IF($AB54="","",IF(IFERROR(_xlfn.IFS($AT54="Devis 1",IFERROR(VALUE(TRIM(SUBSTITUTE(AM54,CHAR(160),""))),0),$AT54="Devis 2",IFERROR(VALUE(TRIM(SUBSTITUTE(AP54,CHAR(160),""))),0),$AT54="Devis 3",IFERROR(VALUE(TRIM(SUBSTITUTE(AS54,CHAR(160),""))),0)),0)*IFERROR(VALUE(TRIM(SUBSTITUTE($AB54,CHAR(160),""))),0)=0,"",IFERROR(_xlfn.IFS($AT54="Devis 1",IFERROR(VALUE(TRIM(SUBSTITUTE(AM54,CHAR(160),""))),0),$AT54="Devis 2",IFERROR(VALUE(TRIM(SUBSTITUTE(AP54,CHAR(160),""))),0),$AT54="Devis 3",IFERROR(VALUE(TRIM(SUBSTITUTE(AS54,CHAR(160),""))),0)),0)*IFERROR(VALUE(TRIM(SUBSTITUTE($AB54,CHAR(160),""))),0)))</f>
        <v/>
      </c>
      <c r="BB54" s="45"/>
      <c r="BC54" s="13" t="str" cm="1">
        <f t="array" ref="BC54">IF(OR(BA54="",AX54="",AY54="",AV54="",AZ54="",AW54=""),"",_xlfn.IFS((IFERROR(VALUE(TRIM(SUBSTITUTE(BA54,CHAR(160),""))),0))&gt;(IFERROR(VALUE(TRIM(SUBSTITUTE(AX54,CHAR(160),""))),0)),"KO : Le montant retenu TTC est supérieur au montant raisonnable TTC. Merci de revoir la ligne de dépense ou plafonner son montant.",(IFERROR(VALUE(TRIM(SUBSTITUTE(AY54,CHAR(160),""))),0))&gt;(IFERROR(VALUE(TRIM(SUBSTITUTE(AV54,CHAR(160),""))),0)),"Attention : Le montant retenu HT est supérieur au montant HT raisonnable. Merci de revoir la ligne de dépense, plafonner son montant, ou justifier la reventillation HT / TVA.",(IFERROR(VALUE(TRIM(SUBSTITUTE(AZ54,CHAR(160),""))),0))&gt;(IFERROR(VALUE(TRIM(SUBSTITUTE(AW54,CHAR(160),""))),0)),"Attention : Le montant TVA retenu est supérieur au montant TVA raisonnable. Merci de revoir la ligne de dépense, plafonner son montant, ou justifier la reventillation HT / TVA.",(IFERROR(VALUE(TRIM(SUBSTITUTE(BA54,CHAR(160),""))),0))=0,"",(IFERROR(VALUE(TRIM(SUBSTITUTE(AX54,CHAR(160),""))),0))=(IFERROR(VALUE(TRIM(SUBSTITUTE(BA54,CHAR(160),""))),0)),"OK",(IFERROR(VALUE(TRIM(SUBSTITUTE(AX54,CHAR(160),""))),0))&gt;(IFERROR(VALUE(TRIM(SUBSTITUTE(BA54,CHAR(160),""))),0))," OK : Montant instruit inférieur au montant raisonnable.",TRUE,""))</f>
        <v/>
      </c>
      <c r="BD54" s="187" t="str" cm="1">
        <f t="array" ref="BD54">IF(OR(BA54="",Y54="",AY54="",W54="",AZ54="",X54=""),"",_xlfn.IFS((IFERROR(VALUE(TRIM(SUBSTITUTE(BA54,CHAR(160),""))),0))&gt;(IFERROR(VALUE(TRIM(SUBSTITUTE(Y54,CHAR(160),""))),0)),"KO : Le montant retenu TTC est supérieur au montant présenté TTC. Merci de revoir la ligne de dépense ou plafonner son montant.",(IFERROR(VALUE(TRIM(SUBSTITUTE(AY54,CHAR(160),""))),0))&gt;(IFERROR(VALUE(TRIM(SUBSTITUTE(W54,CHAR(160),""))),0)),"Attention : Le montant retenu HT est supérieur au montant HT présenté. Merci de revoir la ligne de dépense,plafonner son montant,ou justifier la reventillation HT/TVA.",(IFERROR(VALUE(TRIM(SUBSTITUTE(AZ54,CHAR(160),""))),0))&gt;(IFERROR(VALUE(TRIM(SUBSTITUTE(X54,CHAR(160),""))),0)),"Attention : Le montant TVA retenu est supérieur au montant TVA présenté. Merci de revoir la ligne de dépense,plafonner son montant,ou justifier la reventillation HT/TVA.",(IFERROR(VALUE(TRIM(SUBSTITUTE(Y54,CHAR(160),""))),0))=0,"",(IFERROR(VALUE(TRIM(SUBSTITUTE(BA54,CHAR(160),""))),0))=(IFERROR(VALUE(TRIM(SUBSTITUTE(Y54,CHAR(160),""))),0)),"OK",
OR((IFERROR(VALUE(TRIM(SUBSTITUTE(BA54,CHAR(160),""))),0))=0,(IFERROR(VALUE(TRIM(SUBSTITUTE(AY54,CHAR(160),""))),0))=0),"Attention : montant présenté entièrement écarté",(IFERROR(VALUE(TRIM(SUBSTITUTE(BA54,CHAR(160),""))),0))&lt;(IFERROR(VALUE(TRIM(SUBSTITUTE(Y54,CHAR(160),""))),0)),"Attention : montant présenté partiellement écarté",TRUE,""))</f>
        <v/>
      </c>
      <c r="BE54" s="44" t="str">
        <f t="shared" si="58"/>
        <v/>
      </c>
      <c r="BF54" s="44" t="str">
        <f t="shared" si="59"/>
        <v/>
      </c>
      <c r="BG54" s="21" t="str">
        <f t="shared" si="60"/>
        <v/>
      </c>
    </row>
    <row r="55" spans="1:59" ht="15" customHeight="1">
      <c r="A55" s="70">
        <v>46</v>
      </c>
      <c r="B55" s="784"/>
      <c r="C55" s="7"/>
      <c r="D55" s="11"/>
      <c r="E55" s="11"/>
      <c r="F55" s="7"/>
      <c r="G55" s="7"/>
      <c r="H55" s="7"/>
      <c r="I55" s="7"/>
      <c r="J55" s="17"/>
      <c r="K55" s="7"/>
      <c r="L55" s="132"/>
      <c r="M55" s="138"/>
      <c r="N55" s="8"/>
      <c r="O55" s="35" t="str">
        <f t="shared" si="32"/>
        <v/>
      </c>
      <c r="P55" s="9"/>
      <c r="Q55" s="8"/>
      <c r="R55" s="35" t="str">
        <f t="shared" si="33"/>
        <v/>
      </c>
      <c r="S55" s="10"/>
      <c r="T55" s="8"/>
      <c r="U55" s="139" t="str">
        <f t="shared" si="34"/>
        <v/>
      </c>
      <c r="V55" s="147"/>
      <c r="W55" s="770" t="str" cm="1">
        <f t="array" ref="W55">IF((_xlfn.IFS(TRIM(SUBSTITUTE(V55,CHAR(160),""))="Devis 1",IFERROR(VALUE(TRIM(SUBSTITUTE(M55,CHAR(160),""))),0),TRIM(SUBSTITUTE(V55,CHAR(160),""))="Devis 2",IFERROR(VALUE(TRIM(SUBSTITUTE(P55,CHAR(160),""))),0),TRIM(SUBSTITUTE(V55,CHAR(160),""))="Devis 3",IFERROR(VALUE(TRIM(SUBSTITUTE(S55,CHAR(160),""))),0),TRUE,0)*IFERROR(VALUE(TRIM(SUBSTITUTE(D55,CHAR(160),""))),0))=0,"",_xlfn.IFS(TRIM(SUBSTITUTE(V55,CHAR(160),""))="Devis 1",IFERROR(VALUE(TRIM(SUBSTITUTE(M55,CHAR(160),""))),0),TRIM(SUBSTITUTE(V55,CHAR(160),""))="Devis 2",IFERROR(VALUE(TRIM(SUBSTITUTE(P55,CHAR(160),""))),0),TRIM(SUBSTITUTE(V55,CHAR(160),""))="Devis 3",IFERROR(VALUE(TRIM(SUBSTITUTE(S55,CHAR(160),""))),0),TRUE,0)*IFERROR(VALUE(TRIM(SUBSTITUTE(D55,CHAR(160),""))),0))</f>
        <v/>
      </c>
      <c r="X55" s="73" t="str" cm="1">
        <f t="array" ref="X55">IF(_xlfn.IFS(TRIM(SUBSTITUTE(V55,CHAR(160),""))="Devis 1",IFERROR(VALUE(TRIM(SUBSTITUTE(N55,CHAR(160),""))),0),TRIM(SUBSTITUTE(V55,CHAR(160),""))="Devis 2",IFERROR(VALUE(TRIM(SUBSTITUTE(Q55,CHAR(160),""))),0),TRIM(SUBSTITUTE(V55,CHAR(160),""))="Devis 3",IFERROR(VALUE(TRIM(SUBSTITUTE(T55,CHAR(160),""))),0),TRUE,0)*IFERROR(VALUE(TRIM(SUBSTITUTE(D55,CHAR(160),""))),0)=0,IF(W55&lt;&gt;"",0,""),_xlfn.IFS(TRIM(SUBSTITUTE(V55,CHAR(160),""))="Devis 1",IFERROR(VALUE(TRIM(SUBSTITUTE(N55,CHAR(160),""))),0),TRIM(SUBSTITUTE(V55,CHAR(160),""))="Devis 2",IFERROR(VALUE(TRIM(SUBSTITUTE(Q55,CHAR(160),""))),0),TRIM(SUBSTITUTE(V55,CHAR(160),""))="Devis 3",IFERROR(VALUE(TRIM(SUBSTITUTE(T55,CHAR(160),""))),0),TRUE,0)*IFERROR(VALUE(TRIM(SUBSTITUTE(D55,CHAR(160),""))),0))</f>
        <v/>
      </c>
      <c r="Y55" s="149" t="str">
        <f t="shared" si="35"/>
        <v/>
      </c>
      <c r="Z55" s="150"/>
      <c r="AA55" s="36" t="str">
        <f t="shared" si="36"/>
        <v/>
      </c>
      <c r="AB55" s="37" t="str">
        <f t="shared" si="37"/>
        <v/>
      </c>
      <c r="AC55" s="37" t="str">
        <f t="shared" si="31"/>
        <v/>
      </c>
      <c r="AD55" s="14" t="str">
        <f t="shared" si="38"/>
        <v/>
      </c>
      <c r="AE55" s="14" t="str">
        <f t="shared" si="39"/>
        <v/>
      </c>
      <c r="AF55" s="14" t="str">
        <f t="shared" si="40"/>
        <v/>
      </c>
      <c r="AG55" s="14" t="str">
        <f t="shared" si="41"/>
        <v/>
      </c>
      <c r="AH55" s="38" t="str">
        <f t="shared" si="42"/>
        <v/>
      </c>
      <c r="AI55" s="14" t="str">
        <f t="shared" si="43"/>
        <v/>
      </c>
      <c r="AJ55" s="39" t="str">
        <f t="shared" si="44"/>
        <v/>
      </c>
      <c r="AK55" s="40" t="str">
        <f t="shared" si="45"/>
        <v/>
      </c>
      <c r="AL55" s="20" t="str">
        <f t="shared" si="46"/>
        <v/>
      </c>
      <c r="AM55" s="35" t="str">
        <f t="shared" si="47"/>
        <v/>
      </c>
      <c r="AN55" s="41" t="str">
        <f t="shared" si="48"/>
        <v/>
      </c>
      <c r="AO55" s="20" t="str">
        <f t="shared" si="49"/>
        <v/>
      </c>
      <c r="AP55" s="35" t="str">
        <f t="shared" si="50"/>
        <v/>
      </c>
      <c r="AQ55" s="42" t="str">
        <f t="shared" si="51"/>
        <v/>
      </c>
      <c r="AR55" s="20" t="str">
        <f t="shared" si="52"/>
        <v/>
      </c>
      <c r="AS55" s="43" t="str">
        <f t="shared" si="53"/>
        <v/>
      </c>
      <c r="AT55" s="36" t="str">
        <f t="shared" si="54"/>
        <v/>
      </c>
      <c r="AU55" s="184"/>
      <c r="AV55" s="44" t="str">
        <f t="shared" si="55"/>
        <v/>
      </c>
      <c r="AW55" s="44" t="str">
        <f t="shared" si="56"/>
        <v/>
      </c>
      <c r="AX55" s="44" t="str">
        <f t="shared" si="57"/>
        <v/>
      </c>
      <c r="AY55" s="74" t="str" cm="1">
        <f t="array" ref="AY55">IF($AB55="","",IF((IFERROR(_xlfn.IFS($AT55="Devis 1",(IFERROR(VALUE(TRIM(SUBSTITUTE(AK55,CHAR(160),""))),0)),$AT55="Devis 2",(IFERROR(VALUE(TRIM(SUBSTITUTE(AN55,CHAR(160),""))),0)),$AT55="Devis 3",(IFERROR(VALUE(TRIM(SUBSTITUTE(AQ55,CHAR(160),""))),0))),0))*(IFERROR(VALUE(TRIM(SUBSTITUTE($AB55,CHAR(160),""))),0))=0,"",(IFERROR(_xlfn.IFS($AT55="Devis 1",(IFERROR(VALUE(TRIM(SUBSTITUTE(AK55,CHAR(160),""))),0)),$AT55="Devis 2",(IFERROR(VALUE(TRIM(SUBSTITUTE(AN55,CHAR(160),""))),0)),$AT55="Devis 3",(IFERROR(VALUE(TRIM(SUBSTITUTE(AQ55,CHAR(160),""))),0))),0))*(IFERROR(VALUE(TRIM(SUBSTITUTE($AB55,CHAR(160),""))),0))))</f>
        <v/>
      </c>
      <c r="AZ55" s="74" t="str" cm="1">
        <f t="array" ref="AZ55">IF($AB55="","",IF((IFERROR(_xlfn.IFS(TRIM(SUBSTITUTE($AT55,CHAR(160),""))="Devis 1", IFERROR(VALUE(TRIM(SUBSTITUTE(AL55,CHAR(160),""))),0),TRIM(SUBSTITUTE($AT55,CHAR(160),""))="Devis 2", IFERROR(VALUE(TRIM(SUBSTITUTE(AO55,CHAR(160),""))),0),TRIM(SUBSTITUTE($AT55,CHAR(160),""))="Devis 3", IFERROR(VALUE(TRIM(SUBSTITUTE(AR55,CHAR(160),""))),0)),0) * IFERROR(VALUE(TRIM(SUBSTITUTE($AB55,CHAR(160),""))),0)) = 0,IF(AY55&lt;&gt;"",0,""),(IFERROR(_xlfn.IFS(TRIM(SUBSTITUTE($AT55,CHAR(160),""))="Devis 1", IFERROR(VALUE(TRIM(SUBSTITUTE(AL55,CHAR(160),""))),0),TRIM(SUBSTITUTE($AT55,CHAR(160),""))="Devis 2", IFERROR(VALUE(TRIM(SUBSTITUTE(AO55,CHAR(160),""))),0),TRIM(SUBSTITUTE($AT55,CHAR(160),""))="Devis 3", IFERROR(VALUE(TRIM(SUBSTITUTE(AR55,CHAR(160),""))),0)),0) * IFERROR(VALUE(TRIM(SUBSTITUTE($AB55,CHAR(160),""))),0))))</f>
        <v/>
      </c>
      <c r="BA55" s="74" t="str" cm="1">
        <f t="array" ref="BA55">IF($AB55="","",IF(IFERROR(_xlfn.IFS($AT55="Devis 1",IFERROR(VALUE(TRIM(SUBSTITUTE(AM55,CHAR(160),""))),0),$AT55="Devis 2",IFERROR(VALUE(TRIM(SUBSTITUTE(AP55,CHAR(160),""))),0),$AT55="Devis 3",IFERROR(VALUE(TRIM(SUBSTITUTE(AS55,CHAR(160),""))),0)),0)*IFERROR(VALUE(TRIM(SUBSTITUTE($AB55,CHAR(160),""))),0)=0,"",IFERROR(_xlfn.IFS($AT55="Devis 1",IFERROR(VALUE(TRIM(SUBSTITUTE(AM55,CHAR(160),""))),0),$AT55="Devis 2",IFERROR(VALUE(TRIM(SUBSTITUTE(AP55,CHAR(160),""))),0),$AT55="Devis 3",IFERROR(VALUE(TRIM(SUBSTITUTE(AS55,CHAR(160),""))),0)),0)*IFERROR(VALUE(TRIM(SUBSTITUTE($AB55,CHAR(160),""))),0)))</f>
        <v/>
      </c>
      <c r="BB55" s="45"/>
      <c r="BC55" s="13" t="str" cm="1">
        <f t="array" ref="BC55">IF(OR(BA55="",AX55="",AY55="",AV55="",AZ55="",AW55=""),"",_xlfn.IFS((IFERROR(VALUE(TRIM(SUBSTITUTE(BA55,CHAR(160),""))),0))&gt;(IFERROR(VALUE(TRIM(SUBSTITUTE(AX55,CHAR(160),""))),0)),"KO : Le montant retenu TTC est supérieur au montant raisonnable TTC. Merci de revoir la ligne de dépense ou plafonner son montant.",(IFERROR(VALUE(TRIM(SUBSTITUTE(AY55,CHAR(160),""))),0))&gt;(IFERROR(VALUE(TRIM(SUBSTITUTE(AV55,CHAR(160),""))),0)),"Attention : Le montant retenu HT est supérieur au montant HT raisonnable. Merci de revoir la ligne de dépense, plafonner son montant, ou justifier la reventillation HT / TVA.",(IFERROR(VALUE(TRIM(SUBSTITUTE(AZ55,CHAR(160),""))),0))&gt;(IFERROR(VALUE(TRIM(SUBSTITUTE(AW55,CHAR(160),""))),0)),"Attention : Le montant TVA retenu est supérieur au montant TVA raisonnable. Merci de revoir la ligne de dépense, plafonner son montant, ou justifier la reventillation HT / TVA.",(IFERROR(VALUE(TRIM(SUBSTITUTE(BA55,CHAR(160),""))),0))=0,"",(IFERROR(VALUE(TRIM(SUBSTITUTE(AX55,CHAR(160),""))),0))=(IFERROR(VALUE(TRIM(SUBSTITUTE(BA55,CHAR(160),""))),0)),"OK",(IFERROR(VALUE(TRIM(SUBSTITUTE(AX55,CHAR(160),""))),0))&gt;(IFERROR(VALUE(TRIM(SUBSTITUTE(BA55,CHAR(160),""))),0))," OK : Montant instruit inférieur au montant raisonnable.",TRUE,""))</f>
        <v/>
      </c>
      <c r="BD55" s="187" t="str" cm="1">
        <f t="array" ref="BD55">IF(OR(BA55="",Y55="",AY55="",W55="",AZ55="",X55=""),"",_xlfn.IFS((IFERROR(VALUE(TRIM(SUBSTITUTE(BA55,CHAR(160),""))),0))&gt;(IFERROR(VALUE(TRIM(SUBSTITUTE(Y55,CHAR(160),""))),0)),"KO : Le montant retenu TTC est supérieur au montant présenté TTC. Merci de revoir la ligne de dépense ou plafonner son montant.",(IFERROR(VALUE(TRIM(SUBSTITUTE(AY55,CHAR(160),""))),0))&gt;(IFERROR(VALUE(TRIM(SUBSTITUTE(W55,CHAR(160),""))),0)),"Attention : Le montant retenu HT est supérieur au montant HT présenté. Merci de revoir la ligne de dépense,plafonner son montant,ou justifier la reventillation HT/TVA.",(IFERROR(VALUE(TRIM(SUBSTITUTE(AZ55,CHAR(160),""))),0))&gt;(IFERROR(VALUE(TRIM(SUBSTITUTE(X55,CHAR(160),""))),0)),"Attention : Le montant TVA retenu est supérieur au montant TVA présenté. Merci de revoir la ligne de dépense,plafonner son montant,ou justifier la reventillation HT/TVA.",(IFERROR(VALUE(TRIM(SUBSTITUTE(Y55,CHAR(160),""))),0))=0,"",(IFERROR(VALUE(TRIM(SUBSTITUTE(BA55,CHAR(160),""))),0))=(IFERROR(VALUE(TRIM(SUBSTITUTE(Y55,CHAR(160),""))),0)),"OK",
OR((IFERROR(VALUE(TRIM(SUBSTITUTE(BA55,CHAR(160),""))),0))=0,(IFERROR(VALUE(TRIM(SUBSTITUTE(AY55,CHAR(160),""))),0))=0),"Attention : montant présenté entièrement écarté",(IFERROR(VALUE(TRIM(SUBSTITUTE(BA55,CHAR(160),""))),0))&lt;(IFERROR(VALUE(TRIM(SUBSTITUTE(Y55,CHAR(160),""))),0)),"Attention : montant présenté partiellement écarté",TRUE,""))</f>
        <v/>
      </c>
      <c r="BE55" s="44" t="str">
        <f t="shared" si="58"/>
        <v/>
      </c>
      <c r="BF55" s="44" t="str">
        <f t="shared" si="59"/>
        <v/>
      </c>
      <c r="BG55" s="21" t="str">
        <f t="shared" si="60"/>
        <v/>
      </c>
    </row>
    <row r="56" spans="1:59" ht="15" customHeight="1">
      <c r="A56" s="70">
        <v>47</v>
      </c>
      <c r="B56" s="784"/>
      <c r="C56" s="7"/>
      <c r="D56" s="11"/>
      <c r="E56" s="11"/>
      <c r="F56" s="7"/>
      <c r="G56" s="7"/>
      <c r="H56" s="7"/>
      <c r="I56" s="7"/>
      <c r="J56" s="17"/>
      <c r="K56" s="7"/>
      <c r="L56" s="132"/>
      <c r="M56" s="138"/>
      <c r="N56" s="8"/>
      <c r="O56" s="35" t="str">
        <f t="shared" si="32"/>
        <v/>
      </c>
      <c r="P56" s="9"/>
      <c r="Q56" s="8"/>
      <c r="R56" s="35" t="str">
        <f t="shared" si="33"/>
        <v/>
      </c>
      <c r="S56" s="10"/>
      <c r="T56" s="8"/>
      <c r="U56" s="139" t="str">
        <f t="shared" si="34"/>
        <v/>
      </c>
      <c r="V56" s="147"/>
      <c r="W56" s="770" t="str" cm="1">
        <f t="array" ref="W56">IF((_xlfn.IFS(TRIM(SUBSTITUTE(V56,CHAR(160),""))="Devis 1",IFERROR(VALUE(TRIM(SUBSTITUTE(M56,CHAR(160),""))),0),TRIM(SUBSTITUTE(V56,CHAR(160),""))="Devis 2",IFERROR(VALUE(TRIM(SUBSTITUTE(P56,CHAR(160),""))),0),TRIM(SUBSTITUTE(V56,CHAR(160),""))="Devis 3",IFERROR(VALUE(TRIM(SUBSTITUTE(S56,CHAR(160),""))),0),TRUE,0)*IFERROR(VALUE(TRIM(SUBSTITUTE(D56,CHAR(160),""))),0))=0,"",_xlfn.IFS(TRIM(SUBSTITUTE(V56,CHAR(160),""))="Devis 1",IFERROR(VALUE(TRIM(SUBSTITUTE(M56,CHAR(160),""))),0),TRIM(SUBSTITUTE(V56,CHAR(160),""))="Devis 2",IFERROR(VALUE(TRIM(SUBSTITUTE(P56,CHAR(160),""))),0),TRIM(SUBSTITUTE(V56,CHAR(160),""))="Devis 3",IFERROR(VALUE(TRIM(SUBSTITUTE(S56,CHAR(160),""))),0),TRUE,0)*IFERROR(VALUE(TRIM(SUBSTITUTE(D56,CHAR(160),""))),0))</f>
        <v/>
      </c>
      <c r="X56" s="73" t="str" cm="1">
        <f t="array" ref="X56">IF(_xlfn.IFS(TRIM(SUBSTITUTE(V56,CHAR(160),""))="Devis 1",IFERROR(VALUE(TRIM(SUBSTITUTE(N56,CHAR(160),""))),0),TRIM(SUBSTITUTE(V56,CHAR(160),""))="Devis 2",IFERROR(VALUE(TRIM(SUBSTITUTE(Q56,CHAR(160),""))),0),TRIM(SUBSTITUTE(V56,CHAR(160),""))="Devis 3",IFERROR(VALUE(TRIM(SUBSTITUTE(T56,CHAR(160),""))),0),TRUE,0)*IFERROR(VALUE(TRIM(SUBSTITUTE(D56,CHAR(160),""))),0)=0,IF(W56&lt;&gt;"",0,""),_xlfn.IFS(TRIM(SUBSTITUTE(V56,CHAR(160),""))="Devis 1",IFERROR(VALUE(TRIM(SUBSTITUTE(N56,CHAR(160),""))),0),TRIM(SUBSTITUTE(V56,CHAR(160),""))="Devis 2",IFERROR(VALUE(TRIM(SUBSTITUTE(Q56,CHAR(160),""))),0),TRIM(SUBSTITUTE(V56,CHAR(160),""))="Devis 3",IFERROR(VALUE(TRIM(SUBSTITUTE(T56,CHAR(160),""))),0),TRUE,0)*IFERROR(VALUE(TRIM(SUBSTITUTE(D56,CHAR(160),""))),0))</f>
        <v/>
      </c>
      <c r="Y56" s="149" t="str">
        <f t="shared" si="35"/>
        <v/>
      </c>
      <c r="Z56" s="150"/>
      <c r="AA56" s="36" t="str">
        <f t="shared" si="36"/>
        <v/>
      </c>
      <c r="AB56" s="37" t="str">
        <f t="shared" si="37"/>
        <v/>
      </c>
      <c r="AC56" s="37" t="str">
        <f t="shared" si="31"/>
        <v/>
      </c>
      <c r="AD56" s="14" t="str">
        <f t="shared" si="38"/>
        <v/>
      </c>
      <c r="AE56" s="14" t="str">
        <f t="shared" si="39"/>
        <v/>
      </c>
      <c r="AF56" s="14" t="str">
        <f t="shared" si="40"/>
        <v/>
      </c>
      <c r="AG56" s="14" t="str">
        <f t="shared" si="41"/>
        <v/>
      </c>
      <c r="AH56" s="38" t="str">
        <f t="shared" si="42"/>
        <v/>
      </c>
      <c r="AI56" s="14" t="str">
        <f t="shared" si="43"/>
        <v/>
      </c>
      <c r="AJ56" s="39" t="str">
        <f t="shared" si="44"/>
        <v/>
      </c>
      <c r="AK56" s="40" t="str">
        <f t="shared" si="45"/>
        <v/>
      </c>
      <c r="AL56" s="20" t="str">
        <f t="shared" si="46"/>
        <v/>
      </c>
      <c r="AM56" s="35" t="str">
        <f t="shared" si="47"/>
        <v/>
      </c>
      <c r="AN56" s="41" t="str">
        <f t="shared" si="48"/>
        <v/>
      </c>
      <c r="AO56" s="20" t="str">
        <f t="shared" si="49"/>
        <v/>
      </c>
      <c r="AP56" s="35" t="str">
        <f t="shared" si="50"/>
        <v/>
      </c>
      <c r="AQ56" s="42" t="str">
        <f t="shared" si="51"/>
        <v/>
      </c>
      <c r="AR56" s="20" t="str">
        <f t="shared" si="52"/>
        <v/>
      </c>
      <c r="AS56" s="43" t="str">
        <f t="shared" si="53"/>
        <v/>
      </c>
      <c r="AT56" s="36" t="str">
        <f t="shared" si="54"/>
        <v/>
      </c>
      <c r="AU56" s="184"/>
      <c r="AV56" s="44" t="str">
        <f t="shared" si="55"/>
        <v/>
      </c>
      <c r="AW56" s="44" t="str">
        <f t="shared" si="56"/>
        <v/>
      </c>
      <c r="AX56" s="44" t="str">
        <f t="shared" si="57"/>
        <v/>
      </c>
      <c r="AY56" s="74" t="str" cm="1">
        <f t="array" ref="AY56">IF($AB56="","",IF((IFERROR(_xlfn.IFS($AT56="Devis 1",(IFERROR(VALUE(TRIM(SUBSTITUTE(AK56,CHAR(160),""))),0)),$AT56="Devis 2",(IFERROR(VALUE(TRIM(SUBSTITUTE(AN56,CHAR(160),""))),0)),$AT56="Devis 3",(IFERROR(VALUE(TRIM(SUBSTITUTE(AQ56,CHAR(160),""))),0))),0))*(IFERROR(VALUE(TRIM(SUBSTITUTE($AB56,CHAR(160),""))),0))=0,"",(IFERROR(_xlfn.IFS($AT56="Devis 1",(IFERROR(VALUE(TRIM(SUBSTITUTE(AK56,CHAR(160),""))),0)),$AT56="Devis 2",(IFERROR(VALUE(TRIM(SUBSTITUTE(AN56,CHAR(160),""))),0)),$AT56="Devis 3",(IFERROR(VALUE(TRIM(SUBSTITUTE(AQ56,CHAR(160),""))),0))),0))*(IFERROR(VALUE(TRIM(SUBSTITUTE($AB56,CHAR(160),""))),0))))</f>
        <v/>
      </c>
      <c r="AZ56" s="74" t="str" cm="1">
        <f t="array" ref="AZ56">IF($AB56="","",IF((IFERROR(_xlfn.IFS(TRIM(SUBSTITUTE($AT56,CHAR(160),""))="Devis 1", IFERROR(VALUE(TRIM(SUBSTITUTE(AL56,CHAR(160),""))),0),TRIM(SUBSTITUTE($AT56,CHAR(160),""))="Devis 2", IFERROR(VALUE(TRIM(SUBSTITUTE(AO56,CHAR(160),""))),0),TRIM(SUBSTITUTE($AT56,CHAR(160),""))="Devis 3", IFERROR(VALUE(TRIM(SUBSTITUTE(AR56,CHAR(160),""))),0)),0) * IFERROR(VALUE(TRIM(SUBSTITUTE($AB56,CHAR(160),""))),0)) = 0,IF(AY56&lt;&gt;"",0,""),(IFERROR(_xlfn.IFS(TRIM(SUBSTITUTE($AT56,CHAR(160),""))="Devis 1", IFERROR(VALUE(TRIM(SUBSTITUTE(AL56,CHAR(160),""))),0),TRIM(SUBSTITUTE($AT56,CHAR(160),""))="Devis 2", IFERROR(VALUE(TRIM(SUBSTITUTE(AO56,CHAR(160),""))),0),TRIM(SUBSTITUTE($AT56,CHAR(160),""))="Devis 3", IFERROR(VALUE(TRIM(SUBSTITUTE(AR56,CHAR(160),""))),0)),0) * IFERROR(VALUE(TRIM(SUBSTITUTE($AB56,CHAR(160),""))),0))))</f>
        <v/>
      </c>
      <c r="BA56" s="74" t="str" cm="1">
        <f t="array" ref="BA56">IF($AB56="","",IF(IFERROR(_xlfn.IFS($AT56="Devis 1",IFERROR(VALUE(TRIM(SUBSTITUTE(AM56,CHAR(160),""))),0),$AT56="Devis 2",IFERROR(VALUE(TRIM(SUBSTITUTE(AP56,CHAR(160),""))),0),$AT56="Devis 3",IFERROR(VALUE(TRIM(SUBSTITUTE(AS56,CHAR(160),""))),0)),0)*IFERROR(VALUE(TRIM(SUBSTITUTE($AB56,CHAR(160),""))),0)=0,"",IFERROR(_xlfn.IFS($AT56="Devis 1",IFERROR(VALUE(TRIM(SUBSTITUTE(AM56,CHAR(160),""))),0),$AT56="Devis 2",IFERROR(VALUE(TRIM(SUBSTITUTE(AP56,CHAR(160),""))),0),$AT56="Devis 3",IFERROR(VALUE(TRIM(SUBSTITUTE(AS56,CHAR(160),""))),0)),0)*IFERROR(VALUE(TRIM(SUBSTITUTE($AB56,CHAR(160),""))),0)))</f>
        <v/>
      </c>
      <c r="BB56" s="45"/>
      <c r="BC56" s="13" t="str" cm="1">
        <f t="array" ref="BC56">IF(OR(BA56="",AX56="",AY56="",AV56="",AZ56="",AW56=""),"",_xlfn.IFS((IFERROR(VALUE(TRIM(SUBSTITUTE(BA56,CHAR(160),""))),0))&gt;(IFERROR(VALUE(TRIM(SUBSTITUTE(AX56,CHAR(160),""))),0)),"KO : Le montant retenu TTC est supérieur au montant raisonnable TTC. Merci de revoir la ligne de dépense ou plafonner son montant.",(IFERROR(VALUE(TRIM(SUBSTITUTE(AY56,CHAR(160),""))),0))&gt;(IFERROR(VALUE(TRIM(SUBSTITUTE(AV56,CHAR(160),""))),0)),"Attention : Le montant retenu HT est supérieur au montant HT raisonnable. Merci de revoir la ligne de dépense, plafonner son montant, ou justifier la reventillation HT / TVA.",(IFERROR(VALUE(TRIM(SUBSTITUTE(AZ56,CHAR(160),""))),0))&gt;(IFERROR(VALUE(TRIM(SUBSTITUTE(AW56,CHAR(160),""))),0)),"Attention : Le montant TVA retenu est supérieur au montant TVA raisonnable. Merci de revoir la ligne de dépense, plafonner son montant, ou justifier la reventillation HT / TVA.",(IFERROR(VALUE(TRIM(SUBSTITUTE(BA56,CHAR(160),""))),0))=0,"",(IFERROR(VALUE(TRIM(SUBSTITUTE(AX56,CHAR(160),""))),0))=(IFERROR(VALUE(TRIM(SUBSTITUTE(BA56,CHAR(160),""))),0)),"OK",(IFERROR(VALUE(TRIM(SUBSTITUTE(AX56,CHAR(160),""))),0))&gt;(IFERROR(VALUE(TRIM(SUBSTITUTE(BA56,CHAR(160),""))),0))," OK : Montant instruit inférieur au montant raisonnable.",TRUE,""))</f>
        <v/>
      </c>
      <c r="BD56" s="187" t="str" cm="1">
        <f t="array" ref="BD56">IF(OR(BA56="",Y56="",AY56="",W56="",AZ56="",X56=""),"",_xlfn.IFS((IFERROR(VALUE(TRIM(SUBSTITUTE(BA56,CHAR(160),""))),0))&gt;(IFERROR(VALUE(TRIM(SUBSTITUTE(Y56,CHAR(160),""))),0)),"KO : Le montant retenu TTC est supérieur au montant présenté TTC. Merci de revoir la ligne de dépense ou plafonner son montant.",(IFERROR(VALUE(TRIM(SUBSTITUTE(AY56,CHAR(160),""))),0))&gt;(IFERROR(VALUE(TRIM(SUBSTITUTE(W56,CHAR(160),""))),0)),"Attention : Le montant retenu HT est supérieur au montant HT présenté. Merci de revoir la ligne de dépense,plafonner son montant,ou justifier la reventillation HT/TVA.",(IFERROR(VALUE(TRIM(SUBSTITUTE(AZ56,CHAR(160),""))),0))&gt;(IFERROR(VALUE(TRIM(SUBSTITUTE(X56,CHAR(160),""))),0)),"Attention : Le montant TVA retenu est supérieur au montant TVA présenté. Merci de revoir la ligne de dépense,plafonner son montant,ou justifier la reventillation HT/TVA.",(IFERROR(VALUE(TRIM(SUBSTITUTE(Y56,CHAR(160),""))),0))=0,"",(IFERROR(VALUE(TRIM(SUBSTITUTE(BA56,CHAR(160),""))),0))=(IFERROR(VALUE(TRIM(SUBSTITUTE(Y56,CHAR(160),""))),0)),"OK",
OR((IFERROR(VALUE(TRIM(SUBSTITUTE(BA56,CHAR(160),""))),0))=0,(IFERROR(VALUE(TRIM(SUBSTITUTE(AY56,CHAR(160),""))),0))=0),"Attention : montant présenté entièrement écarté",(IFERROR(VALUE(TRIM(SUBSTITUTE(BA56,CHAR(160),""))),0))&lt;(IFERROR(VALUE(TRIM(SUBSTITUTE(Y56,CHAR(160),""))),0)),"Attention : montant présenté partiellement écarté",TRUE,""))</f>
        <v/>
      </c>
      <c r="BE56" s="44" t="str">
        <f t="shared" si="58"/>
        <v/>
      </c>
      <c r="BF56" s="44" t="str">
        <f t="shared" si="59"/>
        <v/>
      </c>
      <c r="BG56" s="21" t="str">
        <f t="shared" si="60"/>
        <v/>
      </c>
    </row>
    <row r="57" spans="1:59" ht="15" customHeight="1">
      <c r="A57" s="70">
        <v>48</v>
      </c>
      <c r="B57" s="784"/>
      <c r="C57" s="7"/>
      <c r="D57" s="11"/>
      <c r="E57" s="11"/>
      <c r="F57" s="7"/>
      <c r="G57" s="7"/>
      <c r="H57" s="7"/>
      <c r="I57" s="7"/>
      <c r="J57" s="17"/>
      <c r="K57" s="7"/>
      <c r="L57" s="132"/>
      <c r="M57" s="138"/>
      <c r="N57" s="8"/>
      <c r="O57" s="35" t="str">
        <f t="shared" si="32"/>
        <v/>
      </c>
      <c r="P57" s="9"/>
      <c r="Q57" s="8"/>
      <c r="R57" s="35" t="str">
        <f t="shared" si="33"/>
        <v/>
      </c>
      <c r="S57" s="10"/>
      <c r="T57" s="8"/>
      <c r="U57" s="139" t="str">
        <f t="shared" si="34"/>
        <v/>
      </c>
      <c r="V57" s="147"/>
      <c r="W57" s="770" t="str" cm="1">
        <f t="array" ref="W57">IF((_xlfn.IFS(TRIM(SUBSTITUTE(V57,CHAR(160),""))="Devis 1",IFERROR(VALUE(TRIM(SUBSTITUTE(M57,CHAR(160),""))),0),TRIM(SUBSTITUTE(V57,CHAR(160),""))="Devis 2",IFERROR(VALUE(TRIM(SUBSTITUTE(P57,CHAR(160),""))),0),TRIM(SUBSTITUTE(V57,CHAR(160),""))="Devis 3",IFERROR(VALUE(TRIM(SUBSTITUTE(S57,CHAR(160),""))),0),TRUE,0)*IFERROR(VALUE(TRIM(SUBSTITUTE(D57,CHAR(160),""))),0))=0,"",_xlfn.IFS(TRIM(SUBSTITUTE(V57,CHAR(160),""))="Devis 1",IFERROR(VALUE(TRIM(SUBSTITUTE(M57,CHAR(160),""))),0),TRIM(SUBSTITUTE(V57,CHAR(160),""))="Devis 2",IFERROR(VALUE(TRIM(SUBSTITUTE(P57,CHAR(160),""))),0),TRIM(SUBSTITUTE(V57,CHAR(160),""))="Devis 3",IFERROR(VALUE(TRIM(SUBSTITUTE(S57,CHAR(160),""))),0),TRUE,0)*IFERROR(VALUE(TRIM(SUBSTITUTE(D57,CHAR(160),""))),0))</f>
        <v/>
      </c>
      <c r="X57" s="73" t="str" cm="1">
        <f t="array" ref="X57">IF(_xlfn.IFS(TRIM(SUBSTITUTE(V57,CHAR(160),""))="Devis 1",IFERROR(VALUE(TRIM(SUBSTITUTE(N57,CHAR(160),""))),0),TRIM(SUBSTITUTE(V57,CHAR(160),""))="Devis 2",IFERROR(VALUE(TRIM(SUBSTITUTE(Q57,CHAR(160),""))),0),TRIM(SUBSTITUTE(V57,CHAR(160),""))="Devis 3",IFERROR(VALUE(TRIM(SUBSTITUTE(T57,CHAR(160),""))),0),TRUE,0)*IFERROR(VALUE(TRIM(SUBSTITUTE(D57,CHAR(160),""))),0)=0,IF(W57&lt;&gt;"",0,""),_xlfn.IFS(TRIM(SUBSTITUTE(V57,CHAR(160),""))="Devis 1",IFERROR(VALUE(TRIM(SUBSTITUTE(N57,CHAR(160),""))),0),TRIM(SUBSTITUTE(V57,CHAR(160),""))="Devis 2",IFERROR(VALUE(TRIM(SUBSTITUTE(Q57,CHAR(160),""))),0),TRIM(SUBSTITUTE(V57,CHAR(160),""))="Devis 3",IFERROR(VALUE(TRIM(SUBSTITUTE(T57,CHAR(160),""))),0),TRUE,0)*IFERROR(VALUE(TRIM(SUBSTITUTE(D57,CHAR(160),""))),0))</f>
        <v/>
      </c>
      <c r="Y57" s="149" t="str">
        <f t="shared" si="35"/>
        <v/>
      </c>
      <c r="Z57" s="150"/>
      <c r="AA57" s="36" t="str">
        <f t="shared" si="36"/>
        <v/>
      </c>
      <c r="AB57" s="37" t="str">
        <f t="shared" si="37"/>
        <v/>
      </c>
      <c r="AC57" s="37" t="str">
        <f t="shared" si="31"/>
        <v/>
      </c>
      <c r="AD57" s="14" t="str">
        <f t="shared" si="38"/>
        <v/>
      </c>
      <c r="AE57" s="14" t="str">
        <f t="shared" si="39"/>
        <v/>
      </c>
      <c r="AF57" s="14" t="str">
        <f t="shared" si="40"/>
        <v/>
      </c>
      <c r="AG57" s="14" t="str">
        <f t="shared" si="41"/>
        <v/>
      </c>
      <c r="AH57" s="38" t="str">
        <f t="shared" si="42"/>
        <v/>
      </c>
      <c r="AI57" s="14" t="str">
        <f t="shared" si="43"/>
        <v/>
      </c>
      <c r="AJ57" s="39" t="str">
        <f t="shared" si="44"/>
        <v/>
      </c>
      <c r="AK57" s="40" t="str">
        <f t="shared" si="45"/>
        <v/>
      </c>
      <c r="AL57" s="20" t="str">
        <f t="shared" si="46"/>
        <v/>
      </c>
      <c r="AM57" s="35" t="str">
        <f t="shared" si="47"/>
        <v/>
      </c>
      <c r="AN57" s="41" t="str">
        <f t="shared" si="48"/>
        <v/>
      </c>
      <c r="AO57" s="20" t="str">
        <f t="shared" si="49"/>
        <v/>
      </c>
      <c r="AP57" s="35" t="str">
        <f t="shared" si="50"/>
        <v/>
      </c>
      <c r="AQ57" s="42" t="str">
        <f t="shared" si="51"/>
        <v/>
      </c>
      <c r="AR57" s="20" t="str">
        <f t="shared" si="52"/>
        <v/>
      </c>
      <c r="AS57" s="43" t="str">
        <f t="shared" si="53"/>
        <v/>
      </c>
      <c r="AT57" s="36" t="str">
        <f t="shared" si="54"/>
        <v/>
      </c>
      <c r="AU57" s="184"/>
      <c r="AV57" s="44" t="str">
        <f t="shared" si="55"/>
        <v/>
      </c>
      <c r="AW57" s="44" t="str">
        <f t="shared" si="56"/>
        <v/>
      </c>
      <c r="AX57" s="44" t="str">
        <f t="shared" si="57"/>
        <v/>
      </c>
      <c r="AY57" s="74" t="str" cm="1">
        <f t="array" ref="AY57">IF($AB57="","",IF((IFERROR(_xlfn.IFS($AT57="Devis 1",(IFERROR(VALUE(TRIM(SUBSTITUTE(AK57,CHAR(160),""))),0)),$AT57="Devis 2",(IFERROR(VALUE(TRIM(SUBSTITUTE(AN57,CHAR(160),""))),0)),$AT57="Devis 3",(IFERROR(VALUE(TRIM(SUBSTITUTE(AQ57,CHAR(160),""))),0))),0))*(IFERROR(VALUE(TRIM(SUBSTITUTE($AB57,CHAR(160),""))),0))=0,"",(IFERROR(_xlfn.IFS($AT57="Devis 1",(IFERROR(VALUE(TRIM(SUBSTITUTE(AK57,CHAR(160),""))),0)),$AT57="Devis 2",(IFERROR(VALUE(TRIM(SUBSTITUTE(AN57,CHAR(160),""))),0)),$AT57="Devis 3",(IFERROR(VALUE(TRIM(SUBSTITUTE(AQ57,CHAR(160),""))),0))),0))*(IFERROR(VALUE(TRIM(SUBSTITUTE($AB57,CHAR(160),""))),0))))</f>
        <v/>
      </c>
      <c r="AZ57" s="74" t="str" cm="1">
        <f t="array" ref="AZ57">IF($AB57="","",IF((IFERROR(_xlfn.IFS(TRIM(SUBSTITUTE($AT57,CHAR(160),""))="Devis 1", IFERROR(VALUE(TRIM(SUBSTITUTE(AL57,CHAR(160),""))),0),TRIM(SUBSTITUTE($AT57,CHAR(160),""))="Devis 2", IFERROR(VALUE(TRIM(SUBSTITUTE(AO57,CHAR(160),""))),0),TRIM(SUBSTITUTE($AT57,CHAR(160),""))="Devis 3", IFERROR(VALUE(TRIM(SUBSTITUTE(AR57,CHAR(160),""))),0)),0) * IFERROR(VALUE(TRIM(SUBSTITUTE($AB57,CHAR(160),""))),0)) = 0,IF(AY57&lt;&gt;"",0,""),(IFERROR(_xlfn.IFS(TRIM(SUBSTITUTE($AT57,CHAR(160),""))="Devis 1", IFERROR(VALUE(TRIM(SUBSTITUTE(AL57,CHAR(160),""))),0),TRIM(SUBSTITUTE($AT57,CHAR(160),""))="Devis 2", IFERROR(VALUE(TRIM(SUBSTITUTE(AO57,CHAR(160),""))),0),TRIM(SUBSTITUTE($AT57,CHAR(160),""))="Devis 3", IFERROR(VALUE(TRIM(SUBSTITUTE(AR57,CHAR(160),""))),0)),0) * IFERROR(VALUE(TRIM(SUBSTITUTE($AB57,CHAR(160),""))),0))))</f>
        <v/>
      </c>
      <c r="BA57" s="74" t="str" cm="1">
        <f t="array" ref="BA57">IF($AB57="","",IF(IFERROR(_xlfn.IFS($AT57="Devis 1",IFERROR(VALUE(TRIM(SUBSTITUTE(AM57,CHAR(160),""))),0),$AT57="Devis 2",IFERROR(VALUE(TRIM(SUBSTITUTE(AP57,CHAR(160),""))),0),$AT57="Devis 3",IFERROR(VALUE(TRIM(SUBSTITUTE(AS57,CHAR(160),""))),0)),0)*IFERROR(VALUE(TRIM(SUBSTITUTE($AB57,CHAR(160),""))),0)=0,"",IFERROR(_xlfn.IFS($AT57="Devis 1",IFERROR(VALUE(TRIM(SUBSTITUTE(AM57,CHAR(160),""))),0),$AT57="Devis 2",IFERROR(VALUE(TRIM(SUBSTITUTE(AP57,CHAR(160),""))),0),$AT57="Devis 3",IFERROR(VALUE(TRIM(SUBSTITUTE(AS57,CHAR(160),""))),0)),0)*IFERROR(VALUE(TRIM(SUBSTITUTE($AB57,CHAR(160),""))),0)))</f>
        <v/>
      </c>
      <c r="BB57" s="45"/>
      <c r="BC57" s="13" t="str" cm="1">
        <f t="array" ref="BC57">IF(OR(BA57="",AX57="",AY57="",AV57="",AZ57="",AW57=""),"",_xlfn.IFS((IFERROR(VALUE(TRIM(SUBSTITUTE(BA57,CHAR(160),""))),0))&gt;(IFERROR(VALUE(TRIM(SUBSTITUTE(AX57,CHAR(160),""))),0)),"KO : Le montant retenu TTC est supérieur au montant raisonnable TTC. Merci de revoir la ligne de dépense ou plafonner son montant.",(IFERROR(VALUE(TRIM(SUBSTITUTE(AY57,CHAR(160),""))),0))&gt;(IFERROR(VALUE(TRIM(SUBSTITUTE(AV57,CHAR(160),""))),0)),"Attention : Le montant retenu HT est supérieur au montant HT raisonnable. Merci de revoir la ligne de dépense, plafonner son montant, ou justifier la reventillation HT / TVA.",(IFERROR(VALUE(TRIM(SUBSTITUTE(AZ57,CHAR(160),""))),0))&gt;(IFERROR(VALUE(TRIM(SUBSTITUTE(AW57,CHAR(160),""))),0)),"Attention : Le montant TVA retenu est supérieur au montant TVA raisonnable. Merci de revoir la ligne de dépense, plafonner son montant, ou justifier la reventillation HT / TVA.",(IFERROR(VALUE(TRIM(SUBSTITUTE(BA57,CHAR(160),""))),0))=0,"",(IFERROR(VALUE(TRIM(SUBSTITUTE(AX57,CHAR(160),""))),0))=(IFERROR(VALUE(TRIM(SUBSTITUTE(BA57,CHAR(160),""))),0)),"OK",(IFERROR(VALUE(TRIM(SUBSTITUTE(AX57,CHAR(160),""))),0))&gt;(IFERROR(VALUE(TRIM(SUBSTITUTE(BA57,CHAR(160),""))),0))," OK : Montant instruit inférieur au montant raisonnable.",TRUE,""))</f>
        <v/>
      </c>
      <c r="BD57" s="187" t="str" cm="1">
        <f t="array" ref="BD57">IF(OR(BA57="",Y57="",AY57="",W57="",AZ57="",X57=""),"",_xlfn.IFS((IFERROR(VALUE(TRIM(SUBSTITUTE(BA57,CHAR(160),""))),0))&gt;(IFERROR(VALUE(TRIM(SUBSTITUTE(Y57,CHAR(160),""))),0)),"KO : Le montant retenu TTC est supérieur au montant présenté TTC. Merci de revoir la ligne de dépense ou plafonner son montant.",(IFERROR(VALUE(TRIM(SUBSTITUTE(AY57,CHAR(160),""))),0))&gt;(IFERROR(VALUE(TRIM(SUBSTITUTE(W57,CHAR(160),""))),0)),"Attention : Le montant retenu HT est supérieur au montant HT présenté. Merci de revoir la ligne de dépense,plafonner son montant,ou justifier la reventillation HT/TVA.",(IFERROR(VALUE(TRIM(SUBSTITUTE(AZ57,CHAR(160),""))),0))&gt;(IFERROR(VALUE(TRIM(SUBSTITUTE(X57,CHAR(160),""))),0)),"Attention : Le montant TVA retenu est supérieur au montant TVA présenté. Merci de revoir la ligne de dépense,plafonner son montant,ou justifier la reventillation HT/TVA.",(IFERROR(VALUE(TRIM(SUBSTITUTE(Y57,CHAR(160),""))),0))=0,"",(IFERROR(VALUE(TRIM(SUBSTITUTE(BA57,CHAR(160),""))),0))=(IFERROR(VALUE(TRIM(SUBSTITUTE(Y57,CHAR(160),""))),0)),"OK",
OR((IFERROR(VALUE(TRIM(SUBSTITUTE(BA57,CHAR(160),""))),0))=0,(IFERROR(VALUE(TRIM(SUBSTITUTE(AY57,CHAR(160),""))),0))=0),"Attention : montant présenté entièrement écarté",(IFERROR(VALUE(TRIM(SUBSTITUTE(BA57,CHAR(160),""))),0))&lt;(IFERROR(VALUE(TRIM(SUBSTITUTE(Y57,CHAR(160),""))),0)),"Attention : montant présenté partiellement écarté",TRUE,""))</f>
        <v/>
      </c>
      <c r="BE57" s="44" t="str">
        <f t="shared" si="58"/>
        <v/>
      </c>
      <c r="BF57" s="44" t="str">
        <f t="shared" si="59"/>
        <v/>
      </c>
      <c r="BG57" s="21" t="str">
        <f t="shared" si="60"/>
        <v/>
      </c>
    </row>
    <row r="58" spans="1:59" ht="15" customHeight="1">
      <c r="A58" s="70">
        <v>49</v>
      </c>
      <c r="B58" s="784"/>
      <c r="C58" s="7"/>
      <c r="D58" s="11"/>
      <c r="E58" s="11"/>
      <c r="F58" s="7"/>
      <c r="G58" s="7"/>
      <c r="H58" s="7"/>
      <c r="I58" s="7"/>
      <c r="J58" s="17"/>
      <c r="K58" s="7"/>
      <c r="L58" s="132"/>
      <c r="M58" s="138"/>
      <c r="N58" s="8"/>
      <c r="O58" s="35" t="str">
        <f t="shared" si="32"/>
        <v/>
      </c>
      <c r="P58" s="9"/>
      <c r="Q58" s="8"/>
      <c r="R58" s="35" t="str">
        <f t="shared" si="33"/>
        <v/>
      </c>
      <c r="S58" s="10"/>
      <c r="T58" s="8"/>
      <c r="U58" s="139" t="str">
        <f t="shared" si="34"/>
        <v/>
      </c>
      <c r="V58" s="147"/>
      <c r="W58" s="770" t="str" cm="1">
        <f t="array" ref="W58">IF((_xlfn.IFS(TRIM(SUBSTITUTE(V58,CHAR(160),""))="Devis 1",IFERROR(VALUE(TRIM(SUBSTITUTE(M58,CHAR(160),""))),0),TRIM(SUBSTITUTE(V58,CHAR(160),""))="Devis 2",IFERROR(VALUE(TRIM(SUBSTITUTE(P58,CHAR(160),""))),0),TRIM(SUBSTITUTE(V58,CHAR(160),""))="Devis 3",IFERROR(VALUE(TRIM(SUBSTITUTE(S58,CHAR(160),""))),0),TRUE,0)*IFERROR(VALUE(TRIM(SUBSTITUTE(D58,CHAR(160),""))),0))=0,"",_xlfn.IFS(TRIM(SUBSTITUTE(V58,CHAR(160),""))="Devis 1",IFERROR(VALUE(TRIM(SUBSTITUTE(M58,CHAR(160),""))),0),TRIM(SUBSTITUTE(V58,CHAR(160),""))="Devis 2",IFERROR(VALUE(TRIM(SUBSTITUTE(P58,CHAR(160),""))),0),TRIM(SUBSTITUTE(V58,CHAR(160),""))="Devis 3",IFERROR(VALUE(TRIM(SUBSTITUTE(S58,CHAR(160),""))),0),TRUE,0)*IFERROR(VALUE(TRIM(SUBSTITUTE(D58,CHAR(160),""))),0))</f>
        <v/>
      </c>
      <c r="X58" s="73" t="str" cm="1">
        <f t="array" ref="X58">IF(_xlfn.IFS(TRIM(SUBSTITUTE(V58,CHAR(160),""))="Devis 1",IFERROR(VALUE(TRIM(SUBSTITUTE(N58,CHAR(160),""))),0),TRIM(SUBSTITUTE(V58,CHAR(160),""))="Devis 2",IFERROR(VALUE(TRIM(SUBSTITUTE(Q58,CHAR(160),""))),0),TRIM(SUBSTITUTE(V58,CHAR(160),""))="Devis 3",IFERROR(VALUE(TRIM(SUBSTITUTE(T58,CHAR(160),""))),0),TRUE,0)*IFERROR(VALUE(TRIM(SUBSTITUTE(D58,CHAR(160),""))),0)=0,IF(W58&lt;&gt;"",0,""),_xlfn.IFS(TRIM(SUBSTITUTE(V58,CHAR(160),""))="Devis 1",IFERROR(VALUE(TRIM(SUBSTITUTE(N58,CHAR(160),""))),0),TRIM(SUBSTITUTE(V58,CHAR(160),""))="Devis 2",IFERROR(VALUE(TRIM(SUBSTITUTE(Q58,CHAR(160),""))),0),TRIM(SUBSTITUTE(V58,CHAR(160),""))="Devis 3",IFERROR(VALUE(TRIM(SUBSTITUTE(T58,CHAR(160),""))),0),TRUE,0)*IFERROR(VALUE(TRIM(SUBSTITUTE(D58,CHAR(160),""))),0))</f>
        <v/>
      </c>
      <c r="Y58" s="149" t="str">
        <f t="shared" si="35"/>
        <v/>
      </c>
      <c r="Z58" s="150"/>
      <c r="AA58" s="36" t="str">
        <f t="shared" si="36"/>
        <v/>
      </c>
      <c r="AB58" s="37" t="str">
        <f t="shared" si="37"/>
        <v/>
      </c>
      <c r="AC58" s="37" t="str">
        <f t="shared" si="31"/>
        <v/>
      </c>
      <c r="AD58" s="14" t="str">
        <f t="shared" si="38"/>
        <v/>
      </c>
      <c r="AE58" s="14" t="str">
        <f t="shared" si="39"/>
        <v/>
      </c>
      <c r="AF58" s="14" t="str">
        <f t="shared" si="40"/>
        <v/>
      </c>
      <c r="AG58" s="14" t="str">
        <f t="shared" si="41"/>
        <v/>
      </c>
      <c r="AH58" s="38" t="str">
        <f t="shared" si="42"/>
        <v/>
      </c>
      <c r="AI58" s="14" t="str">
        <f t="shared" si="43"/>
        <v/>
      </c>
      <c r="AJ58" s="39" t="str">
        <f t="shared" si="44"/>
        <v/>
      </c>
      <c r="AK58" s="40" t="str">
        <f t="shared" si="45"/>
        <v/>
      </c>
      <c r="AL58" s="20" t="str">
        <f t="shared" si="46"/>
        <v/>
      </c>
      <c r="AM58" s="35" t="str">
        <f t="shared" si="47"/>
        <v/>
      </c>
      <c r="AN58" s="41" t="str">
        <f t="shared" si="48"/>
        <v/>
      </c>
      <c r="AO58" s="20" t="str">
        <f t="shared" si="49"/>
        <v/>
      </c>
      <c r="AP58" s="35" t="str">
        <f t="shared" si="50"/>
        <v/>
      </c>
      <c r="AQ58" s="42" t="str">
        <f t="shared" si="51"/>
        <v/>
      </c>
      <c r="AR58" s="20" t="str">
        <f t="shared" si="52"/>
        <v/>
      </c>
      <c r="AS58" s="43" t="str">
        <f t="shared" si="53"/>
        <v/>
      </c>
      <c r="AT58" s="36" t="str">
        <f t="shared" si="54"/>
        <v/>
      </c>
      <c r="AU58" s="184"/>
      <c r="AV58" s="44" t="str">
        <f t="shared" si="55"/>
        <v/>
      </c>
      <c r="AW58" s="44" t="str">
        <f t="shared" si="56"/>
        <v/>
      </c>
      <c r="AX58" s="44" t="str">
        <f t="shared" si="57"/>
        <v/>
      </c>
      <c r="AY58" s="74" t="str" cm="1">
        <f t="array" ref="AY58">IF($AB58="","",IF((IFERROR(_xlfn.IFS($AT58="Devis 1",(IFERROR(VALUE(TRIM(SUBSTITUTE(AK58,CHAR(160),""))),0)),$AT58="Devis 2",(IFERROR(VALUE(TRIM(SUBSTITUTE(AN58,CHAR(160),""))),0)),$AT58="Devis 3",(IFERROR(VALUE(TRIM(SUBSTITUTE(AQ58,CHAR(160),""))),0))),0))*(IFERROR(VALUE(TRIM(SUBSTITUTE($AB58,CHAR(160),""))),0))=0,"",(IFERROR(_xlfn.IFS($AT58="Devis 1",(IFERROR(VALUE(TRIM(SUBSTITUTE(AK58,CHAR(160),""))),0)),$AT58="Devis 2",(IFERROR(VALUE(TRIM(SUBSTITUTE(AN58,CHAR(160),""))),0)),$AT58="Devis 3",(IFERROR(VALUE(TRIM(SUBSTITUTE(AQ58,CHAR(160),""))),0))),0))*(IFERROR(VALUE(TRIM(SUBSTITUTE($AB58,CHAR(160),""))),0))))</f>
        <v/>
      </c>
      <c r="AZ58" s="74" t="str" cm="1">
        <f t="array" ref="AZ58">IF($AB58="","",IF((IFERROR(_xlfn.IFS(TRIM(SUBSTITUTE($AT58,CHAR(160),""))="Devis 1", IFERROR(VALUE(TRIM(SUBSTITUTE(AL58,CHAR(160),""))),0),TRIM(SUBSTITUTE($AT58,CHAR(160),""))="Devis 2", IFERROR(VALUE(TRIM(SUBSTITUTE(AO58,CHAR(160),""))),0),TRIM(SUBSTITUTE($AT58,CHAR(160),""))="Devis 3", IFERROR(VALUE(TRIM(SUBSTITUTE(AR58,CHAR(160),""))),0)),0) * IFERROR(VALUE(TRIM(SUBSTITUTE($AB58,CHAR(160),""))),0)) = 0,IF(AY58&lt;&gt;"",0,""),(IFERROR(_xlfn.IFS(TRIM(SUBSTITUTE($AT58,CHAR(160),""))="Devis 1", IFERROR(VALUE(TRIM(SUBSTITUTE(AL58,CHAR(160),""))),0),TRIM(SUBSTITUTE($AT58,CHAR(160),""))="Devis 2", IFERROR(VALUE(TRIM(SUBSTITUTE(AO58,CHAR(160),""))),0),TRIM(SUBSTITUTE($AT58,CHAR(160),""))="Devis 3", IFERROR(VALUE(TRIM(SUBSTITUTE(AR58,CHAR(160),""))),0)),0) * IFERROR(VALUE(TRIM(SUBSTITUTE($AB58,CHAR(160),""))),0))))</f>
        <v/>
      </c>
      <c r="BA58" s="74" t="str" cm="1">
        <f t="array" ref="BA58">IF($AB58="","",IF(IFERROR(_xlfn.IFS($AT58="Devis 1",IFERROR(VALUE(TRIM(SUBSTITUTE(AM58,CHAR(160),""))),0),$AT58="Devis 2",IFERROR(VALUE(TRIM(SUBSTITUTE(AP58,CHAR(160),""))),0),$AT58="Devis 3",IFERROR(VALUE(TRIM(SUBSTITUTE(AS58,CHAR(160),""))),0)),0)*IFERROR(VALUE(TRIM(SUBSTITUTE($AB58,CHAR(160),""))),0)=0,"",IFERROR(_xlfn.IFS($AT58="Devis 1",IFERROR(VALUE(TRIM(SUBSTITUTE(AM58,CHAR(160),""))),0),$AT58="Devis 2",IFERROR(VALUE(TRIM(SUBSTITUTE(AP58,CHAR(160),""))),0),$AT58="Devis 3",IFERROR(VALUE(TRIM(SUBSTITUTE(AS58,CHAR(160),""))),0)),0)*IFERROR(VALUE(TRIM(SUBSTITUTE($AB58,CHAR(160),""))),0)))</f>
        <v/>
      </c>
      <c r="BB58" s="45"/>
      <c r="BC58" s="13" t="str" cm="1">
        <f t="array" ref="BC58">IF(OR(BA58="",AX58="",AY58="",AV58="",AZ58="",AW58=""),"",_xlfn.IFS((IFERROR(VALUE(TRIM(SUBSTITUTE(BA58,CHAR(160),""))),0))&gt;(IFERROR(VALUE(TRIM(SUBSTITUTE(AX58,CHAR(160),""))),0)),"KO : Le montant retenu TTC est supérieur au montant raisonnable TTC. Merci de revoir la ligne de dépense ou plafonner son montant.",(IFERROR(VALUE(TRIM(SUBSTITUTE(AY58,CHAR(160),""))),0))&gt;(IFERROR(VALUE(TRIM(SUBSTITUTE(AV58,CHAR(160),""))),0)),"Attention : Le montant retenu HT est supérieur au montant HT raisonnable. Merci de revoir la ligne de dépense, plafonner son montant, ou justifier la reventillation HT / TVA.",(IFERROR(VALUE(TRIM(SUBSTITUTE(AZ58,CHAR(160),""))),0))&gt;(IFERROR(VALUE(TRIM(SUBSTITUTE(AW58,CHAR(160),""))),0)),"Attention : Le montant TVA retenu est supérieur au montant TVA raisonnable. Merci de revoir la ligne de dépense, plafonner son montant, ou justifier la reventillation HT / TVA.",(IFERROR(VALUE(TRIM(SUBSTITUTE(BA58,CHAR(160),""))),0))=0,"",(IFERROR(VALUE(TRIM(SUBSTITUTE(AX58,CHAR(160),""))),0))=(IFERROR(VALUE(TRIM(SUBSTITUTE(BA58,CHAR(160),""))),0)),"OK",(IFERROR(VALUE(TRIM(SUBSTITUTE(AX58,CHAR(160),""))),0))&gt;(IFERROR(VALUE(TRIM(SUBSTITUTE(BA58,CHAR(160),""))),0))," OK : Montant instruit inférieur au montant raisonnable.",TRUE,""))</f>
        <v/>
      </c>
      <c r="BD58" s="187" t="str" cm="1">
        <f t="array" ref="BD58">IF(OR(BA58="",Y58="",AY58="",W58="",AZ58="",X58=""),"",_xlfn.IFS((IFERROR(VALUE(TRIM(SUBSTITUTE(BA58,CHAR(160),""))),0))&gt;(IFERROR(VALUE(TRIM(SUBSTITUTE(Y58,CHAR(160),""))),0)),"KO : Le montant retenu TTC est supérieur au montant présenté TTC. Merci de revoir la ligne de dépense ou plafonner son montant.",(IFERROR(VALUE(TRIM(SUBSTITUTE(AY58,CHAR(160),""))),0))&gt;(IFERROR(VALUE(TRIM(SUBSTITUTE(W58,CHAR(160),""))),0)),"Attention : Le montant retenu HT est supérieur au montant HT présenté. Merci de revoir la ligne de dépense,plafonner son montant,ou justifier la reventillation HT/TVA.",(IFERROR(VALUE(TRIM(SUBSTITUTE(AZ58,CHAR(160),""))),0))&gt;(IFERROR(VALUE(TRIM(SUBSTITUTE(X58,CHAR(160),""))),0)),"Attention : Le montant TVA retenu est supérieur au montant TVA présenté. Merci de revoir la ligne de dépense,plafonner son montant,ou justifier la reventillation HT/TVA.",(IFERROR(VALUE(TRIM(SUBSTITUTE(Y58,CHAR(160),""))),0))=0,"",(IFERROR(VALUE(TRIM(SUBSTITUTE(BA58,CHAR(160),""))),0))=(IFERROR(VALUE(TRIM(SUBSTITUTE(Y58,CHAR(160),""))),0)),"OK",
OR((IFERROR(VALUE(TRIM(SUBSTITUTE(BA58,CHAR(160),""))),0))=0,(IFERROR(VALUE(TRIM(SUBSTITUTE(AY58,CHAR(160),""))),0))=0),"Attention : montant présenté entièrement écarté",(IFERROR(VALUE(TRIM(SUBSTITUTE(BA58,CHAR(160),""))),0))&lt;(IFERROR(VALUE(TRIM(SUBSTITUTE(Y58,CHAR(160),""))),0)),"Attention : montant présenté partiellement écarté",TRUE,""))</f>
        <v/>
      </c>
      <c r="BE58" s="44" t="str">
        <f t="shared" si="58"/>
        <v/>
      </c>
      <c r="BF58" s="44" t="str">
        <f t="shared" si="59"/>
        <v/>
      </c>
      <c r="BG58" s="21" t="str">
        <f t="shared" si="60"/>
        <v/>
      </c>
    </row>
    <row r="59" spans="1:59" ht="15" customHeight="1">
      <c r="A59" s="70">
        <v>50</v>
      </c>
      <c r="B59" s="784"/>
      <c r="C59" s="7"/>
      <c r="D59" s="11"/>
      <c r="E59" s="11"/>
      <c r="F59" s="7"/>
      <c r="G59" s="7"/>
      <c r="H59" s="7"/>
      <c r="I59" s="7"/>
      <c r="J59" s="17"/>
      <c r="K59" s="7"/>
      <c r="L59" s="132"/>
      <c r="M59" s="138"/>
      <c r="N59" s="8"/>
      <c r="O59" s="35" t="str">
        <f t="shared" si="32"/>
        <v/>
      </c>
      <c r="P59" s="9"/>
      <c r="Q59" s="8"/>
      <c r="R59" s="35" t="str">
        <f t="shared" si="33"/>
        <v/>
      </c>
      <c r="S59" s="10"/>
      <c r="T59" s="8"/>
      <c r="U59" s="139" t="str">
        <f t="shared" si="34"/>
        <v/>
      </c>
      <c r="V59" s="147"/>
      <c r="W59" s="770" t="str" cm="1">
        <f t="array" ref="W59">IF((_xlfn.IFS(TRIM(SUBSTITUTE(V59,CHAR(160),""))="Devis 1",IFERROR(VALUE(TRIM(SUBSTITUTE(M59,CHAR(160),""))),0),TRIM(SUBSTITUTE(V59,CHAR(160),""))="Devis 2",IFERROR(VALUE(TRIM(SUBSTITUTE(P59,CHAR(160),""))),0),TRIM(SUBSTITUTE(V59,CHAR(160),""))="Devis 3",IFERROR(VALUE(TRIM(SUBSTITUTE(S59,CHAR(160),""))),0),TRUE,0)*IFERROR(VALUE(TRIM(SUBSTITUTE(D59,CHAR(160),""))),0))=0,"",_xlfn.IFS(TRIM(SUBSTITUTE(V59,CHAR(160),""))="Devis 1",IFERROR(VALUE(TRIM(SUBSTITUTE(M59,CHAR(160),""))),0),TRIM(SUBSTITUTE(V59,CHAR(160),""))="Devis 2",IFERROR(VALUE(TRIM(SUBSTITUTE(P59,CHAR(160),""))),0),TRIM(SUBSTITUTE(V59,CHAR(160),""))="Devis 3",IFERROR(VALUE(TRIM(SUBSTITUTE(S59,CHAR(160),""))),0),TRUE,0)*IFERROR(VALUE(TRIM(SUBSTITUTE(D59,CHAR(160),""))),0))</f>
        <v/>
      </c>
      <c r="X59" s="73" t="str" cm="1">
        <f t="array" ref="X59">IF(_xlfn.IFS(TRIM(SUBSTITUTE(V59,CHAR(160),""))="Devis 1",IFERROR(VALUE(TRIM(SUBSTITUTE(N59,CHAR(160),""))),0),TRIM(SUBSTITUTE(V59,CHAR(160),""))="Devis 2",IFERROR(VALUE(TRIM(SUBSTITUTE(Q59,CHAR(160),""))),0),TRIM(SUBSTITUTE(V59,CHAR(160),""))="Devis 3",IFERROR(VALUE(TRIM(SUBSTITUTE(T59,CHAR(160),""))),0),TRUE,0)*IFERROR(VALUE(TRIM(SUBSTITUTE(D59,CHAR(160),""))),0)=0,IF(W59&lt;&gt;"",0,""),_xlfn.IFS(TRIM(SUBSTITUTE(V59,CHAR(160),""))="Devis 1",IFERROR(VALUE(TRIM(SUBSTITUTE(N59,CHAR(160),""))),0),TRIM(SUBSTITUTE(V59,CHAR(160),""))="Devis 2",IFERROR(VALUE(TRIM(SUBSTITUTE(Q59,CHAR(160),""))),0),TRIM(SUBSTITUTE(V59,CHAR(160),""))="Devis 3",IFERROR(VALUE(TRIM(SUBSTITUTE(T59,CHAR(160),""))),0),TRUE,0)*IFERROR(VALUE(TRIM(SUBSTITUTE(D59,CHAR(160),""))),0))</f>
        <v/>
      </c>
      <c r="Y59" s="149" t="str">
        <f t="shared" si="35"/>
        <v/>
      </c>
      <c r="Z59" s="150"/>
      <c r="AA59" s="36" t="str">
        <f t="shared" si="36"/>
        <v/>
      </c>
      <c r="AB59" s="37" t="str">
        <f t="shared" si="37"/>
        <v/>
      </c>
      <c r="AC59" s="37" t="str">
        <f t="shared" si="31"/>
        <v/>
      </c>
      <c r="AD59" s="14" t="str">
        <f t="shared" si="38"/>
        <v/>
      </c>
      <c r="AE59" s="14" t="str">
        <f t="shared" si="39"/>
        <v/>
      </c>
      <c r="AF59" s="14" t="str">
        <f t="shared" si="40"/>
        <v/>
      </c>
      <c r="AG59" s="14" t="str">
        <f t="shared" si="41"/>
        <v/>
      </c>
      <c r="AH59" s="38" t="str">
        <f t="shared" si="42"/>
        <v/>
      </c>
      <c r="AI59" s="14" t="str">
        <f t="shared" si="43"/>
        <v/>
      </c>
      <c r="AJ59" s="39" t="str">
        <f t="shared" si="44"/>
        <v/>
      </c>
      <c r="AK59" s="40" t="str">
        <f t="shared" si="45"/>
        <v/>
      </c>
      <c r="AL59" s="20" t="str">
        <f t="shared" si="46"/>
        <v/>
      </c>
      <c r="AM59" s="35" t="str">
        <f t="shared" si="47"/>
        <v/>
      </c>
      <c r="AN59" s="41" t="str">
        <f t="shared" si="48"/>
        <v/>
      </c>
      <c r="AO59" s="20" t="str">
        <f t="shared" si="49"/>
        <v/>
      </c>
      <c r="AP59" s="35" t="str">
        <f t="shared" si="50"/>
        <v/>
      </c>
      <c r="AQ59" s="42" t="str">
        <f t="shared" si="51"/>
        <v/>
      </c>
      <c r="AR59" s="20" t="str">
        <f t="shared" si="52"/>
        <v/>
      </c>
      <c r="AS59" s="43" t="str">
        <f t="shared" si="53"/>
        <v/>
      </c>
      <c r="AT59" s="36" t="str">
        <f t="shared" si="54"/>
        <v/>
      </c>
      <c r="AU59" s="184"/>
      <c r="AV59" s="44" t="str">
        <f t="shared" si="55"/>
        <v/>
      </c>
      <c r="AW59" s="44" t="str">
        <f t="shared" si="56"/>
        <v/>
      </c>
      <c r="AX59" s="44" t="str">
        <f t="shared" si="57"/>
        <v/>
      </c>
      <c r="AY59" s="74" t="str" cm="1">
        <f t="array" ref="AY59">IF($AB59="","",IF((IFERROR(_xlfn.IFS($AT59="Devis 1",(IFERROR(VALUE(TRIM(SUBSTITUTE(AK59,CHAR(160),""))),0)),$AT59="Devis 2",(IFERROR(VALUE(TRIM(SUBSTITUTE(AN59,CHAR(160),""))),0)),$AT59="Devis 3",(IFERROR(VALUE(TRIM(SUBSTITUTE(AQ59,CHAR(160),""))),0))),0))*(IFERROR(VALUE(TRIM(SUBSTITUTE($AB59,CHAR(160),""))),0))=0,"",(IFERROR(_xlfn.IFS($AT59="Devis 1",(IFERROR(VALUE(TRIM(SUBSTITUTE(AK59,CHAR(160),""))),0)),$AT59="Devis 2",(IFERROR(VALUE(TRIM(SUBSTITUTE(AN59,CHAR(160),""))),0)),$AT59="Devis 3",(IFERROR(VALUE(TRIM(SUBSTITUTE(AQ59,CHAR(160),""))),0))),0))*(IFERROR(VALUE(TRIM(SUBSTITUTE($AB59,CHAR(160),""))),0))))</f>
        <v/>
      </c>
      <c r="AZ59" s="74" t="str" cm="1">
        <f t="array" ref="AZ59">IF($AB59="","",IF((IFERROR(_xlfn.IFS(TRIM(SUBSTITUTE($AT59,CHAR(160),""))="Devis 1", IFERROR(VALUE(TRIM(SUBSTITUTE(AL59,CHAR(160),""))),0),TRIM(SUBSTITUTE($AT59,CHAR(160),""))="Devis 2", IFERROR(VALUE(TRIM(SUBSTITUTE(AO59,CHAR(160),""))),0),TRIM(SUBSTITUTE($AT59,CHAR(160),""))="Devis 3", IFERROR(VALUE(TRIM(SUBSTITUTE(AR59,CHAR(160),""))),0)),0) * IFERROR(VALUE(TRIM(SUBSTITUTE($AB59,CHAR(160),""))),0)) = 0,IF(AY59&lt;&gt;"",0,""),(IFERROR(_xlfn.IFS(TRIM(SUBSTITUTE($AT59,CHAR(160),""))="Devis 1", IFERROR(VALUE(TRIM(SUBSTITUTE(AL59,CHAR(160),""))),0),TRIM(SUBSTITUTE($AT59,CHAR(160),""))="Devis 2", IFERROR(VALUE(TRIM(SUBSTITUTE(AO59,CHAR(160),""))),0),TRIM(SUBSTITUTE($AT59,CHAR(160),""))="Devis 3", IFERROR(VALUE(TRIM(SUBSTITUTE(AR59,CHAR(160),""))),0)),0) * IFERROR(VALUE(TRIM(SUBSTITUTE($AB59,CHAR(160),""))),0))))</f>
        <v/>
      </c>
      <c r="BA59" s="74" t="str" cm="1">
        <f t="array" ref="BA59">IF($AB59="","",IF(IFERROR(_xlfn.IFS($AT59="Devis 1",IFERROR(VALUE(TRIM(SUBSTITUTE(AM59,CHAR(160),""))),0),$AT59="Devis 2",IFERROR(VALUE(TRIM(SUBSTITUTE(AP59,CHAR(160),""))),0),$AT59="Devis 3",IFERROR(VALUE(TRIM(SUBSTITUTE(AS59,CHAR(160),""))),0)),0)*IFERROR(VALUE(TRIM(SUBSTITUTE($AB59,CHAR(160),""))),0)=0,"",IFERROR(_xlfn.IFS($AT59="Devis 1",IFERROR(VALUE(TRIM(SUBSTITUTE(AM59,CHAR(160),""))),0),$AT59="Devis 2",IFERROR(VALUE(TRIM(SUBSTITUTE(AP59,CHAR(160),""))),0),$AT59="Devis 3",IFERROR(VALUE(TRIM(SUBSTITUTE(AS59,CHAR(160),""))),0)),0)*IFERROR(VALUE(TRIM(SUBSTITUTE($AB59,CHAR(160),""))),0)))</f>
        <v/>
      </c>
      <c r="BB59" s="45"/>
      <c r="BC59" s="13" t="str" cm="1">
        <f t="array" ref="BC59">IF(OR(BA59="",AX59="",AY59="",AV59="",AZ59="",AW59=""),"",_xlfn.IFS((IFERROR(VALUE(TRIM(SUBSTITUTE(BA59,CHAR(160),""))),0))&gt;(IFERROR(VALUE(TRIM(SUBSTITUTE(AX59,CHAR(160),""))),0)),"KO : Le montant retenu TTC est supérieur au montant raisonnable TTC. Merci de revoir la ligne de dépense ou plafonner son montant.",(IFERROR(VALUE(TRIM(SUBSTITUTE(AY59,CHAR(160),""))),0))&gt;(IFERROR(VALUE(TRIM(SUBSTITUTE(AV59,CHAR(160),""))),0)),"Attention : Le montant retenu HT est supérieur au montant HT raisonnable. Merci de revoir la ligne de dépense, plafonner son montant, ou justifier la reventillation HT / TVA.",(IFERROR(VALUE(TRIM(SUBSTITUTE(AZ59,CHAR(160),""))),0))&gt;(IFERROR(VALUE(TRIM(SUBSTITUTE(AW59,CHAR(160),""))),0)),"Attention : Le montant TVA retenu est supérieur au montant TVA raisonnable. Merci de revoir la ligne de dépense, plafonner son montant, ou justifier la reventillation HT / TVA.",(IFERROR(VALUE(TRIM(SUBSTITUTE(BA59,CHAR(160),""))),0))=0,"",(IFERROR(VALUE(TRIM(SUBSTITUTE(AX59,CHAR(160),""))),0))=(IFERROR(VALUE(TRIM(SUBSTITUTE(BA59,CHAR(160),""))),0)),"OK",(IFERROR(VALUE(TRIM(SUBSTITUTE(AX59,CHAR(160),""))),0))&gt;(IFERROR(VALUE(TRIM(SUBSTITUTE(BA59,CHAR(160),""))),0))," OK : Montant instruit inférieur au montant raisonnable.",TRUE,""))</f>
        <v/>
      </c>
      <c r="BD59" s="187" t="str" cm="1">
        <f t="array" ref="BD59">IF(OR(BA59="",Y59="",AY59="",W59="",AZ59="",X59=""),"",_xlfn.IFS((IFERROR(VALUE(TRIM(SUBSTITUTE(BA59,CHAR(160),""))),0))&gt;(IFERROR(VALUE(TRIM(SUBSTITUTE(Y59,CHAR(160),""))),0)),"KO : Le montant retenu TTC est supérieur au montant présenté TTC. Merci de revoir la ligne de dépense ou plafonner son montant.",(IFERROR(VALUE(TRIM(SUBSTITUTE(AY59,CHAR(160),""))),0))&gt;(IFERROR(VALUE(TRIM(SUBSTITUTE(W59,CHAR(160),""))),0)),"Attention : Le montant retenu HT est supérieur au montant HT présenté. Merci de revoir la ligne de dépense,plafonner son montant,ou justifier la reventillation HT/TVA.",(IFERROR(VALUE(TRIM(SUBSTITUTE(AZ59,CHAR(160),""))),0))&gt;(IFERROR(VALUE(TRIM(SUBSTITUTE(X59,CHAR(160),""))),0)),"Attention : Le montant TVA retenu est supérieur au montant TVA présenté. Merci de revoir la ligne de dépense,plafonner son montant,ou justifier la reventillation HT/TVA.",(IFERROR(VALUE(TRIM(SUBSTITUTE(Y59,CHAR(160),""))),0))=0,"",(IFERROR(VALUE(TRIM(SUBSTITUTE(BA59,CHAR(160),""))),0))=(IFERROR(VALUE(TRIM(SUBSTITUTE(Y59,CHAR(160),""))),0)),"OK",
OR((IFERROR(VALUE(TRIM(SUBSTITUTE(BA59,CHAR(160),""))),0))=0,(IFERROR(VALUE(TRIM(SUBSTITUTE(AY59,CHAR(160),""))),0))=0),"Attention : montant présenté entièrement écarté",(IFERROR(VALUE(TRIM(SUBSTITUTE(BA59,CHAR(160),""))),0))&lt;(IFERROR(VALUE(TRIM(SUBSTITUTE(Y59,CHAR(160),""))),0)),"Attention : montant présenté partiellement écarté",TRUE,""))</f>
        <v/>
      </c>
      <c r="BE59" s="44" t="str">
        <f t="shared" si="58"/>
        <v/>
      </c>
      <c r="BF59" s="44" t="str">
        <f t="shared" si="59"/>
        <v/>
      </c>
      <c r="BG59" s="21" t="str">
        <f t="shared" si="60"/>
        <v/>
      </c>
    </row>
    <row r="60" spans="1:59" ht="15" customHeight="1">
      <c r="A60" s="70">
        <v>51</v>
      </c>
      <c r="B60" s="784"/>
      <c r="C60" s="7"/>
      <c r="D60" s="11"/>
      <c r="E60" s="11"/>
      <c r="F60" s="7"/>
      <c r="G60" s="7"/>
      <c r="H60" s="7"/>
      <c r="I60" s="7"/>
      <c r="J60" s="17"/>
      <c r="K60" s="7"/>
      <c r="L60" s="132"/>
      <c r="M60" s="138"/>
      <c r="N60" s="8"/>
      <c r="O60" s="35" t="str">
        <f t="shared" si="32"/>
        <v/>
      </c>
      <c r="P60" s="9"/>
      <c r="Q60" s="8"/>
      <c r="R60" s="35" t="str">
        <f t="shared" si="33"/>
        <v/>
      </c>
      <c r="S60" s="10"/>
      <c r="T60" s="8"/>
      <c r="U60" s="139" t="str">
        <f t="shared" si="34"/>
        <v/>
      </c>
      <c r="V60" s="147"/>
      <c r="W60" s="770" t="str" cm="1">
        <f t="array" ref="W60">IF((_xlfn.IFS(TRIM(SUBSTITUTE(V60,CHAR(160),""))="Devis 1",IFERROR(VALUE(TRIM(SUBSTITUTE(M60,CHAR(160),""))),0),TRIM(SUBSTITUTE(V60,CHAR(160),""))="Devis 2",IFERROR(VALUE(TRIM(SUBSTITUTE(P60,CHAR(160),""))),0),TRIM(SUBSTITUTE(V60,CHAR(160),""))="Devis 3",IFERROR(VALUE(TRIM(SUBSTITUTE(S60,CHAR(160),""))),0),TRUE,0)*IFERROR(VALUE(TRIM(SUBSTITUTE(D60,CHAR(160),""))),0))=0,"",_xlfn.IFS(TRIM(SUBSTITUTE(V60,CHAR(160),""))="Devis 1",IFERROR(VALUE(TRIM(SUBSTITUTE(M60,CHAR(160),""))),0),TRIM(SUBSTITUTE(V60,CHAR(160),""))="Devis 2",IFERROR(VALUE(TRIM(SUBSTITUTE(P60,CHAR(160),""))),0),TRIM(SUBSTITUTE(V60,CHAR(160),""))="Devis 3",IFERROR(VALUE(TRIM(SUBSTITUTE(S60,CHAR(160),""))),0),TRUE,0)*IFERROR(VALUE(TRIM(SUBSTITUTE(D60,CHAR(160),""))),0))</f>
        <v/>
      </c>
      <c r="X60" s="73" t="str" cm="1">
        <f t="array" ref="X60">IF(_xlfn.IFS(TRIM(SUBSTITUTE(V60,CHAR(160),""))="Devis 1",IFERROR(VALUE(TRIM(SUBSTITUTE(N60,CHAR(160),""))),0),TRIM(SUBSTITUTE(V60,CHAR(160),""))="Devis 2",IFERROR(VALUE(TRIM(SUBSTITUTE(Q60,CHAR(160),""))),0),TRIM(SUBSTITUTE(V60,CHAR(160),""))="Devis 3",IFERROR(VALUE(TRIM(SUBSTITUTE(T60,CHAR(160),""))),0),TRUE,0)*IFERROR(VALUE(TRIM(SUBSTITUTE(D60,CHAR(160),""))),0)=0,IF(W60&lt;&gt;"",0,""),_xlfn.IFS(TRIM(SUBSTITUTE(V60,CHAR(160),""))="Devis 1",IFERROR(VALUE(TRIM(SUBSTITUTE(N60,CHAR(160),""))),0),TRIM(SUBSTITUTE(V60,CHAR(160),""))="Devis 2",IFERROR(VALUE(TRIM(SUBSTITUTE(Q60,CHAR(160),""))),0),TRIM(SUBSTITUTE(V60,CHAR(160),""))="Devis 3",IFERROR(VALUE(TRIM(SUBSTITUTE(T60,CHAR(160),""))),0),TRUE,0)*IFERROR(VALUE(TRIM(SUBSTITUTE(D60,CHAR(160),""))),0))</f>
        <v/>
      </c>
      <c r="Y60" s="149" t="str">
        <f t="shared" si="35"/>
        <v/>
      </c>
      <c r="Z60" s="150"/>
      <c r="AA60" s="36" t="str">
        <f t="shared" si="36"/>
        <v/>
      </c>
      <c r="AB60" s="37" t="str">
        <f t="shared" si="37"/>
        <v/>
      </c>
      <c r="AC60" s="37" t="str">
        <f t="shared" si="31"/>
        <v/>
      </c>
      <c r="AD60" s="14" t="str">
        <f t="shared" si="38"/>
        <v/>
      </c>
      <c r="AE60" s="14" t="str">
        <f t="shared" si="39"/>
        <v/>
      </c>
      <c r="AF60" s="14" t="str">
        <f t="shared" si="40"/>
        <v/>
      </c>
      <c r="AG60" s="14" t="str">
        <f t="shared" si="41"/>
        <v/>
      </c>
      <c r="AH60" s="38" t="str">
        <f t="shared" si="42"/>
        <v/>
      </c>
      <c r="AI60" s="14" t="str">
        <f t="shared" si="43"/>
        <v/>
      </c>
      <c r="AJ60" s="39" t="str">
        <f t="shared" si="44"/>
        <v/>
      </c>
      <c r="AK60" s="40" t="str">
        <f t="shared" si="45"/>
        <v/>
      </c>
      <c r="AL60" s="20" t="str">
        <f t="shared" si="46"/>
        <v/>
      </c>
      <c r="AM60" s="35" t="str">
        <f t="shared" si="47"/>
        <v/>
      </c>
      <c r="AN60" s="41" t="str">
        <f t="shared" si="48"/>
        <v/>
      </c>
      <c r="AO60" s="20" t="str">
        <f t="shared" si="49"/>
        <v/>
      </c>
      <c r="AP60" s="35" t="str">
        <f t="shared" si="50"/>
        <v/>
      </c>
      <c r="AQ60" s="42" t="str">
        <f t="shared" si="51"/>
        <v/>
      </c>
      <c r="AR60" s="20" t="str">
        <f t="shared" si="52"/>
        <v/>
      </c>
      <c r="AS60" s="43" t="str">
        <f t="shared" si="53"/>
        <v/>
      </c>
      <c r="AT60" s="36" t="str">
        <f t="shared" si="54"/>
        <v/>
      </c>
      <c r="AU60" s="184"/>
      <c r="AV60" s="44" t="str">
        <f t="shared" si="55"/>
        <v/>
      </c>
      <c r="AW60" s="44" t="str">
        <f t="shared" si="56"/>
        <v/>
      </c>
      <c r="AX60" s="44" t="str">
        <f t="shared" si="57"/>
        <v/>
      </c>
      <c r="AY60" s="74" t="str" cm="1">
        <f t="array" ref="AY60">IF($AB60="","",IF((IFERROR(_xlfn.IFS($AT60="Devis 1",(IFERROR(VALUE(TRIM(SUBSTITUTE(AK60,CHAR(160),""))),0)),$AT60="Devis 2",(IFERROR(VALUE(TRIM(SUBSTITUTE(AN60,CHAR(160),""))),0)),$AT60="Devis 3",(IFERROR(VALUE(TRIM(SUBSTITUTE(AQ60,CHAR(160),""))),0))),0))*(IFERROR(VALUE(TRIM(SUBSTITUTE($AB60,CHAR(160),""))),0))=0,"",(IFERROR(_xlfn.IFS($AT60="Devis 1",(IFERROR(VALUE(TRIM(SUBSTITUTE(AK60,CHAR(160),""))),0)),$AT60="Devis 2",(IFERROR(VALUE(TRIM(SUBSTITUTE(AN60,CHAR(160),""))),0)),$AT60="Devis 3",(IFERROR(VALUE(TRIM(SUBSTITUTE(AQ60,CHAR(160),""))),0))),0))*(IFERROR(VALUE(TRIM(SUBSTITUTE($AB60,CHAR(160),""))),0))))</f>
        <v/>
      </c>
      <c r="AZ60" s="74" t="str" cm="1">
        <f t="array" ref="AZ60">IF($AB60="","",IF((IFERROR(_xlfn.IFS(TRIM(SUBSTITUTE($AT60,CHAR(160),""))="Devis 1", IFERROR(VALUE(TRIM(SUBSTITUTE(AL60,CHAR(160),""))),0),TRIM(SUBSTITUTE($AT60,CHAR(160),""))="Devis 2", IFERROR(VALUE(TRIM(SUBSTITUTE(AO60,CHAR(160),""))),0),TRIM(SUBSTITUTE($AT60,CHAR(160),""))="Devis 3", IFERROR(VALUE(TRIM(SUBSTITUTE(AR60,CHAR(160),""))),0)),0) * IFERROR(VALUE(TRIM(SUBSTITUTE($AB60,CHAR(160),""))),0)) = 0,IF(AY60&lt;&gt;"",0,""),(IFERROR(_xlfn.IFS(TRIM(SUBSTITUTE($AT60,CHAR(160),""))="Devis 1", IFERROR(VALUE(TRIM(SUBSTITUTE(AL60,CHAR(160),""))),0),TRIM(SUBSTITUTE($AT60,CHAR(160),""))="Devis 2", IFERROR(VALUE(TRIM(SUBSTITUTE(AO60,CHAR(160),""))),0),TRIM(SUBSTITUTE($AT60,CHAR(160),""))="Devis 3", IFERROR(VALUE(TRIM(SUBSTITUTE(AR60,CHAR(160),""))),0)),0) * IFERROR(VALUE(TRIM(SUBSTITUTE($AB60,CHAR(160),""))),0))))</f>
        <v/>
      </c>
      <c r="BA60" s="74" t="str" cm="1">
        <f t="array" ref="BA60">IF($AB60="","",IF(IFERROR(_xlfn.IFS($AT60="Devis 1",IFERROR(VALUE(TRIM(SUBSTITUTE(AM60,CHAR(160),""))),0),$AT60="Devis 2",IFERROR(VALUE(TRIM(SUBSTITUTE(AP60,CHAR(160),""))),0),$AT60="Devis 3",IFERROR(VALUE(TRIM(SUBSTITUTE(AS60,CHAR(160),""))),0)),0)*IFERROR(VALUE(TRIM(SUBSTITUTE($AB60,CHAR(160),""))),0)=0,"",IFERROR(_xlfn.IFS($AT60="Devis 1",IFERROR(VALUE(TRIM(SUBSTITUTE(AM60,CHAR(160),""))),0),$AT60="Devis 2",IFERROR(VALUE(TRIM(SUBSTITUTE(AP60,CHAR(160),""))),0),$AT60="Devis 3",IFERROR(VALUE(TRIM(SUBSTITUTE(AS60,CHAR(160),""))),0)),0)*IFERROR(VALUE(TRIM(SUBSTITUTE($AB60,CHAR(160),""))),0)))</f>
        <v/>
      </c>
      <c r="BB60" s="45"/>
      <c r="BC60" s="13" t="str" cm="1">
        <f t="array" ref="BC60">IF(OR(BA60="",AX60="",AY60="",AV60="",AZ60="",AW60=""),"",_xlfn.IFS((IFERROR(VALUE(TRIM(SUBSTITUTE(BA60,CHAR(160),""))),0))&gt;(IFERROR(VALUE(TRIM(SUBSTITUTE(AX60,CHAR(160),""))),0)),"KO : Le montant retenu TTC est supérieur au montant raisonnable TTC. Merci de revoir la ligne de dépense ou plafonner son montant.",(IFERROR(VALUE(TRIM(SUBSTITUTE(AY60,CHAR(160),""))),0))&gt;(IFERROR(VALUE(TRIM(SUBSTITUTE(AV60,CHAR(160),""))),0)),"Attention : Le montant retenu HT est supérieur au montant HT raisonnable. Merci de revoir la ligne de dépense, plafonner son montant, ou justifier la reventillation HT / TVA.",(IFERROR(VALUE(TRIM(SUBSTITUTE(AZ60,CHAR(160),""))),0))&gt;(IFERROR(VALUE(TRIM(SUBSTITUTE(AW60,CHAR(160),""))),0)),"Attention : Le montant TVA retenu est supérieur au montant TVA raisonnable. Merci de revoir la ligne de dépense, plafonner son montant, ou justifier la reventillation HT / TVA.",(IFERROR(VALUE(TRIM(SUBSTITUTE(BA60,CHAR(160),""))),0))=0,"",(IFERROR(VALUE(TRIM(SUBSTITUTE(AX60,CHAR(160),""))),0))=(IFERROR(VALUE(TRIM(SUBSTITUTE(BA60,CHAR(160),""))),0)),"OK",(IFERROR(VALUE(TRIM(SUBSTITUTE(AX60,CHAR(160),""))),0))&gt;(IFERROR(VALUE(TRIM(SUBSTITUTE(BA60,CHAR(160),""))),0))," OK : Montant instruit inférieur au montant raisonnable.",TRUE,""))</f>
        <v/>
      </c>
      <c r="BD60" s="187" t="str" cm="1">
        <f t="array" ref="BD60">IF(OR(BA60="",Y60="",AY60="",W60="",AZ60="",X60=""),"",_xlfn.IFS((IFERROR(VALUE(TRIM(SUBSTITUTE(BA60,CHAR(160),""))),0))&gt;(IFERROR(VALUE(TRIM(SUBSTITUTE(Y60,CHAR(160),""))),0)),"KO : Le montant retenu TTC est supérieur au montant présenté TTC. Merci de revoir la ligne de dépense ou plafonner son montant.",(IFERROR(VALUE(TRIM(SUBSTITUTE(AY60,CHAR(160),""))),0))&gt;(IFERROR(VALUE(TRIM(SUBSTITUTE(W60,CHAR(160),""))),0)),"Attention : Le montant retenu HT est supérieur au montant HT présenté. Merci de revoir la ligne de dépense,plafonner son montant,ou justifier la reventillation HT/TVA.",(IFERROR(VALUE(TRIM(SUBSTITUTE(AZ60,CHAR(160),""))),0))&gt;(IFERROR(VALUE(TRIM(SUBSTITUTE(X60,CHAR(160),""))),0)),"Attention : Le montant TVA retenu est supérieur au montant TVA présenté. Merci de revoir la ligne de dépense,plafonner son montant,ou justifier la reventillation HT/TVA.",(IFERROR(VALUE(TRIM(SUBSTITUTE(Y60,CHAR(160),""))),0))=0,"",(IFERROR(VALUE(TRIM(SUBSTITUTE(BA60,CHAR(160),""))),0))=(IFERROR(VALUE(TRIM(SUBSTITUTE(Y60,CHAR(160),""))),0)),"OK",
OR((IFERROR(VALUE(TRIM(SUBSTITUTE(BA60,CHAR(160),""))),0))=0,(IFERROR(VALUE(TRIM(SUBSTITUTE(AY60,CHAR(160),""))),0))=0),"Attention : montant présenté entièrement écarté",(IFERROR(VALUE(TRIM(SUBSTITUTE(BA60,CHAR(160),""))),0))&lt;(IFERROR(VALUE(TRIM(SUBSTITUTE(Y60,CHAR(160),""))),0)),"Attention : montant présenté partiellement écarté",TRUE,""))</f>
        <v/>
      </c>
      <c r="BE60" s="44" t="str">
        <f t="shared" si="58"/>
        <v/>
      </c>
      <c r="BF60" s="44" t="str">
        <f t="shared" si="59"/>
        <v/>
      </c>
      <c r="BG60" s="21" t="str">
        <f t="shared" si="60"/>
        <v/>
      </c>
    </row>
    <row r="61" spans="1:59" ht="15" customHeight="1">
      <c r="A61" s="70">
        <v>52</v>
      </c>
      <c r="B61" s="784"/>
      <c r="C61" s="7"/>
      <c r="D61" s="11"/>
      <c r="E61" s="11"/>
      <c r="F61" s="7"/>
      <c r="G61" s="7"/>
      <c r="H61" s="7"/>
      <c r="I61" s="7"/>
      <c r="J61" s="17"/>
      <c r="K61" s="7"/>
      <c r="L61" s="132"/>
      <c r="M61" s="138"/>
      <c r="N61" s="8"/>
      <c r="O61" s="35" t="str">
        <f t="shared" si="32"/>
        <v/>
      </c>
      <c r="P61" s="9"/>
      <c r="Q61" s="8"/>
      <c r="R61" s="35" t="str">
        <f t="shared" si="33"/>
        <v/>
      </c>
      <c r="S61" s="10"/>
      <c r="T61" s="8"/>
      <c r="U61" s="139" t="str">
        <f t="shared" si="34"/>
        <v/>
      </c>
      <c r="V61" s="147"/>
      <c r="W61" s="770" t="str" cm="1">
        <f t="array" ref="W61">IF((_xlfn.IFS(TRIM(SUBSTITUTE(V61,CHAR(160),""))="Devis 1",IFERROR(VALUE(TRIM(SUBSTITUTE(M61,CHAR(160),""))),0),TRIM(SUBSTITUTE(V61,CHAR(160),""))="Devis 2",IFERROR(VALUE(TRIM(SUBSTITUTE(P61,CHAR(160),""))),0),TRIM(SUBSTITUTE(V61,CHAR(160),""))="Devis 3",IFERROR(VALUE(TRIM(SUBSTITUTE(S61,CHAR(160),""))),0),TRUE,0)*IFERROR(VALUE(TRIM(SUBSTITUTE(D61,CHAR(160),""))),0))=0,"",_xlfn.IFS(TRIM(SUBSTITUTE(V61,CHAR(160),""))="Devis 1",IFERROR(VALUE(TRIM(SUBSTITUTE(M61,CHAR(160),""))),0),TRIM(SUBSTITUTE(V61,CHAR(160),""))="Devis 2",IFERROR(VALUE(TRIM(SUBSTITUTE(P61,CHAR(160),""))),0),TRIM(SUBSTITUTE(V61,CHAR(160),""))="Devis 3",IFERROR(VALUE(TRIM(SUBSTITUTE(S61,CHAR(160),""))),0),TRUE,0)*IFERROR(VALUE(TRIM(SUBSTITUTE(D61,CHAR(160),""))),0))</f>
        <v/>
      </c>
      <c r="X61" s="73" t="str" cm="1">
        <f t="array" ref="X61">IF(_xlfn.IFS(TRIM(SUBSTITUTE(V61,CHAR(160),""))="Devis 1",IFERROR(VALUE(TRIM(SUBSTITUTE(N61,CHAR(160),""))),0),TRIM(SUBSTITUTE(V61,CHAR(160),""))="Devis 2",IFERROR(VALUE(TRIM(SUBSTITUTE(Q61,CHAR(160),""))),0),TRIM(SUBSTITUTE(V61,CHAR(160),""))="Devis 3",IFERROR(VALUE(TRIM(SUBSTITUTE(T61,CHAR(160),""))),0),TRUE,0)*IFERROR(VALUE(TRIM(SUBSTITUTE(D61,CHAR(160),""))),0)=0,IF(W61&lt;&gt;"",0,""),_xlfn.IFS(TRIM(SUBSTITUTE(V61,CHAR(160),""))="Devis 1",IFERROR(VALUE(TRIM(SUBSTITUTE(N61,CHAR(160),""))),0),TRIM(SUBSTITUTE(V61,CHAR(160),""))="Devis 2",IFERROR(VALUE(TRIM(SUBSTITUTE(Q61,CHAR(160),""))),0),TRIM(SUBSTITUTE(V61,CHAR(160),""))="Devis 3",IFERROR(VALUE(TRIM(SUBSTITUTE(T61,CHAR(160),""))),0),TRUE,0)*IFERROR(VALUE(TRIM(SUBSTITUTE(D61,CHAR(160),""))),0))</f>
        <v/>
      </c>
      <c r="Y61" s="149" t="str">
        <f t="shared" si="35"/>
        <v/>
      </c>
      <c r="Z61" s="150"/>
      <c r="AA61" s="36" t="str">
        <f t="shared" si="36"/>
        <v/>
      </c>
      <c r="AB61" s="37" t="str">
        <f t="shared" si="37"/>
        <v/>
      </c>
      <c r="AC61" s="37" t="str">
        <f t="shared" si="31"/>
        <v/>
      </c>
      <c r="AD61" s="14" t="str">
        <f t="shared" si="38"/>
        <v/>
      </c>
      <c r="AE61" s="14" t="str">
        <f t="shared" si="39"/>
        <v/>
      </c>
      <c r="AF61" s="14" t="str">
        <f t="shared" si="40"/>
        <v/>
      </c>
      <c r="AG61" s="14" t="str">
        <f t="shared" si="41"/>
        <v/>
      </c>
      <c r="AH61" s="38" t="str">
        <f t="shared" si="42"/>
        <v/>
      </c>
      <c r="AI61" s="14" t="str">
        <f t="shared" si="43"/>
        <v/>
      </c>
      <c r="AJ61" s="39" t="str">
        <f t="shared" si="44"/>
        <v/>
      </c>
      <c r="AK61" s="40" t="str">
        <f t="shared" si="45"/>
        <v/>
      </c>
      <c r="AL61" s="20" t="str">
        <f t="shared" si="46"/>
        <v/>
      </c>
      <c r="AM61" s="35" t="str">
        <f t="shared" si="47"/>
        <v/>
      </c>
      <c r="AN61" s="41" t="str">
        <f t="shared" si="48"/>
        <v/>
      </c>
      <c r="AO61" s="20" t="str">
        <f t="shared" si="49"/>
        <v/>
      </c>
      <c r="AP61" s="35" t="str">
        <f t="shared" si="50"/>
        <v/>
      </c>
      <c r="AQ61" s="42" t="str">
        <f t="shared" si="51"/>
        <v/>
      </c>
      <c r="AR61" s="20" t="str">
        <f t="shared" si="52"/>
        <v/>
      </c>
      <c r="AS61" s="43" t="str">
        <f t="shared" si="53"/>
        <v/>
      </c>
      <c r="AT61" s="36" t="str">
        <f t="shared" si="54"/>
        <v/>
      </c>
      <c r="AU61" s="184"/>
      <c r="AV61" s="44" t="str">
        <f t="shared" si="55"/>
        <v/>
      </c>
      <c r="AW61" s="44" t="str">
        <f t="shared" si="56"/>
        <v/>
      </c>
      <c r="AX61" s="44" t="str">
        <f t="shared" si="57"/>
        <v/>
      </c>
      <c r="AY61" s="74" t="str" cm="1">
        <f t="array" ref="AY61">IF($AB61="","",IF((IFERROR(_xlfn.IFS($AT61="Devis 1",(IFERROR(VALUE(TRIM(SUBSTITUTE(AK61,CHAR(160),""))),0)),$AT61="Devis 2",(IFERROR(VALUE(TRIM(SUBSTITUTE(AN61,CHAR(160),""))),0)),$AT61="Devis 3",(IFERROR(VALUE(TRIM(SUBSTITUTE(AQ61,CHAR(160),""))),0))),0))*(IFERROR(VALUE(TRIM(SUBSTITUTE($AB61,CHAR(160),""))),0))=0,"",(IFERROR(_xlfn.IFS($AT61="Devis 1",(IFERROR(VALUE(TRIM(SUBSTITUTE(AK61,CHAR(160),""))),0)),$AT61="Devis 2",(IFERROR(VALUE(TRIM(SUBSTITUTE(AN61,CHAR(160),""))),0)),$AT61="Devis 3",(IFERROR(VALUE(TRIM(SUBSTITUTE(AQ61,CHAR(160),""))),0))),0))*(IFERROR(VALUE(TRIM(SUBSTITUTE($AB61,CHAR(160),""))),0))))</f>
        <v/>
      </c>
      <c r="AZ61" s="74" t="str" cm="1">
        <f t="array" ref="AZ61">IF($AB61="","",IF((IFERROR(_xlfn.IFS(TRIM(SUBSTITUTE($AT61,CHAR(160),""))="Devis 1", IFERROR(VALUE(TRIM(SUBSTITUTE(AL61,CHAR(160),""))),0),TRIM(SUBSTITUTE($AT61,CHAR(160),""))="Devis 2", IFERROR(VALUE(TRIM(SUBSTITUTE(AO61,CHAR(160),""))),0),TRIM(SUBSTITUTE($AT61,CHAR(160),""))="Devis 3", IFERROR(VALUE(TRIM(SUBSTITUTE(AR61,CHAR(160),""))),0)),0) * IFERROR(VALUE(TRIM(SUBSTITUTE($AB61,CHAR(160),""))),0)) = 0,IF(AY61&lt;&gt;"",0,""),(IFERROR(_xlfn.IFS(TRIM(SUBSTITUTE($AT61,CHAR(160),""))="Devis 1", IFERROR(VALUE(TRIM(SUBSTITUTE(AL61,CHAR(160),""))),0),TRIM(SUBSTITUTE($AT61,CHAR(160),""))="Devis 2", IFERROR(VALUE(TRIM(SUBSTITUTE(AO61,CHAR(160),""))),0),TRIM(SUBSTITUTE($AT61,CHAR(160),""))="Devis 3", IFERROR(VALUE(TRIM(SUBSTITUTE(AR61,CHAR(160),""))),0)),0) * IFERROR(VALUE(TRIM(SUBSTITUTE($AB61,CHAR(160),""))),0))))</f>
        <v/>
      </c>
      <c r="BA61" s="74" t="str" cm="1">
        <f t="array" ref="BA61">IF($AB61="","",IF(IFERROR(_xlfn.IFS($AT61="Devis 1",IFERROR(VALUE(TRIM(SUBSTITUTE(AM61,CHAR(160),""))),0),$AT61="Devis 2",IFERROR(VALUE(TRIM(SUBSTITUTE(AP61,CHAR(160),""))),0),$AT61="Devis 3",IFERROR(VALUE(TRIM(SUBSTITUTE(AS61,CHAR(160),""))),0)),0)*IFERROR(VALUE(TRIM(SUBSTITUTE($AB61,CHAR(160),""))),0)=0,"",IFERROR(_xlfn.IFS($AT61="Devis 1",IFERROR(VALUE(TRIM(SUBSTITUTE(AM61,CHAR(160),""))),0),$AT61="Devis 2",IFERROR(VALUE(TRIM(SUBSTITUTE(AP61,CHAR(160),""))),0),$AT61="Devis 3",IFERROR(VALUE(TRIM(SUBSTITUTE(AS61,CHAR(160),""))),0)),0)*IFERROR(VALUE(TRIM(SUBSTITUTE($AB61,CHAR(160),""))),0)))</f>
        <v/>
      </c>
      <c r="BB61" s="45"/>
      <c r="BC61" s="13" t="str" cm="1">
        <f t="array" ref="BC61">IF(OR(BA61="",AX61="",AY61="",AV61="",AZ61="",AW61=""),"",_xlfn.IFS((IFERROR(VALUE(TRIM(SUBSTITUTE(BA61,CHAR(160),""))),0))&gt;(IFERROR(VALUE(TRIM(SUBSTITUTE(AX61,CHAR(160),""))),0)),"KO : Le montant retenu TTC est supérieur au montant raisonnable TTC. Merci de revoir la ligne de dépense ou plafonner son montant.",(IFERROR(VALUE(TRIM(SUBSTITUTE(AY61,CHAR(160),""))),0))&gt;(IFERROR(VALUE(TRIM(SUBSTITUTE(AV61,CHAR(160),""))),0)),"Attention : Le montant retenu HT est supérieur au montant HT raisonnable. Merci de revoir la ligne de dépense, plafonner son montant, ou justifier la reventillation HT / TVA.",(IFERROR(VALUE(TRIM(SUBSTITUTE(AZ61,CHAR(160),""))),0))&gt;(IFERROR(VALUE(TRIM(SUBSTITUTE(AW61,CHAR(160),""))),0)),"Attention : Le montant TVA retenu est supérieur au montant TVA raisonnable. Merci de revoir la ligne de dépense, plafonner son montant, ou justifier la reventillation HT / TVA.",(IFERROR(VALUE(TRIM(SUBSTITUTE(BA61,CHAR(160),""))),0))=0,"",(IFERROR(VALUE(TRIM(SUBSTITUTE(AX61,CHAR(160),""))),0))=(IFERROR(VALUE(TRIM(SUBSTITUTE(BA61,CHAR(160),""))),0)),"OK",(IFERROR(VALUE(TRIM(SUBSTITUTE(AX61,CHAR(160),""))),0))&gt;(IFERROR(VALUE(TRIM(SUBSTITUTE(BA61,CHAR(160),""))),0))," OK : Montant instruit inférieur au montant raisonnable.",TRUE,""))</f>
        <v/>
      </c>
      <c r="BD61" s="187" t="str" cm="1">
        <f t="array" ref="BD61">IF(OR(BA61="",Y61="",AY61="",W61="",AZ61="",X61=""),"",_xlfn.IFS((IFERROR(VALUE(TRIM(SUBSTITUTE(BA61,CHAR(160),""))),0))&gt;(IFERROR(VALUE(TRIM(SUBSTITUTE(Y61,CHAR(160),""))),0)),"KO : Le montant retenu TTC est supérieur au montant présenté TTC. Merci de revoir la ligne de dépense ou plafonner son montant.",(IFERROR(VALUE(TRIM(SUBSTITUTE(AY61,CHAR(160),""))),0))&gt;(IFERROR(VALUE(TRIM(SUBSTITUTE(W61,CHAR(160),""))),0)),"Attention : Le montant retenu HT est supérieur au montant HT présenté. Merci de revoir la ligne de dépense,plafonner son montant,ou justifier la reventillation HT/TVA.",(IFERROR(VALUE(TRIM(SUBSTITUTE(AZ61,CHAR(160),""))),0))&gt;(IFERROR(VALUE(TRIM(SUBSTITUTE(X61,CHAR(160),""))),0)),"Attention : Le montant TVA retenu est supérieur au montant TVA présenté. Merci de revoir la ligne de dépense,plafonner son montant,ou justifier la reventillation HT/TVA.",(IFERROR(VALUE(TRIM(SUBSTITUTE(Y61,CHAR(160),""))),0))=0,"",(IFERROR(VALUE(TRIM(SUBSTITUTE(BA61,CHAR(160),""))),0))=(IFERROR(VALUE(TRIM(SUBSTITUTE(Y61,CHAR(160),""))),0)),"OK",
OR((IFERROR(VALUE(TRIM(SUBSTITUTE(BA61,CHAR(160),""))),0))=0,(IFERROR(VALUE(TRIM(SUBSTITUTE(AY61,CHAR(160),""))),0))=0),"Attention : montant présenté entièrement écarté",(IFERROR(VALUE(TRIM(SUBSTITUTE(BA61,CHAR(160),""))),0))&lt;(IFERROR(VALUE(TRIM(SUBSTITUTE(Y61,CHAR(160),""))),0)),"Attention : montant présenté partiellement écarté",TRUE,""))</f>
        <v/>
      </c>
      <c r="BE61" s="44" t="str">
        <f t="shared" si="58"/>
        <v/>
      </c>
      <c r="BF61" s="44" t="str">
        <f t="shared" si="59"/>
        <v/>
      </c>
      <c r="BG61" s="21" t="str">
        <f t="shared" si="60"/>
        <v/>
      </c>
    </row>
    <row r="62" spans="1:59" ht="15" customHeight="1">
      <c r="A62" s="70">
        <v>53</v>
      </c>
      <c r="B62" s="784"/>
      <c r="C62" s="7"/>
      <c r="D62" s="11"/>
      <c r="E62" s="11"/>
      <c r="F62" s="7"/>
      <c r="G62" s="7"/>
      <c r="H62" s="7"/>
      <c r="I62" s="7"/>
      <c r="J62" s="17"/>
      <c r="K62" s="7"/>
      <c r="L62" s="132"/>
      <c r="M62" s="138"/>
      <c r="N62" s="8"/>
      <c r="O62" s="35" t="str">
        <f t="shared" si="32"/>
        <v/>
      </c>
      <c r="P62" s="9"/>
      <c r="Q62" s="8"/>
      <c r="R62" s="35" t="str">
        <f t="shared" si="33"/>
        <v/>
      </c>
      <c r="S62" s="10"/>
      <c r="T62" s="8"/>
      <c r="U62" s="139" t="str">
        <f t="shared" si="34"/>
        <v/>
      </c>
      <c r="V62" s="147"/>
      <c r="W62" s="770" t="str" cm="1">
        <f t="array" ref="W62">IF((_xlfn.IFS(TRIM(SUBSTITUTE(V62,CHAR(160),""))="Devis 1",IFERROR(VALUE(TRIM(SUBSTITUTE(M62,CHAR(160),""))),0),TRIM(SUBSTITUTE(V62,CHAR(160),""))="Devis 2",IFERROR(VALUE(TRIM(SUBSTITUTE(P62,CHAR(160),""))),0),TRIM(SUBSTITUTE(V62,CHAR(160),""))="Devis 3",IFERROR(VALUE(TRIM(SUBSTITUTE(S62,CHAR(160),""))),0),TRUE,0)*IFERROR(VALUE(TRIM(SUBSTITUTE(D62,CHAR(160),""))),0))=0,"",_xlfn.IFS(TRIM(SUBSTITUTE(V62,CHAR(160),""))="Devis 1",IFERROR(VALUE(TRIM(SUBSTITUTE(M62,CHAR(160),""))),0),TRIM(SUBSTITUTE(V62,CHAR(160),""))="Devis 2",IFERROR(VALUE(TRIM(SUBSTITUTE(P62,CHAR(160),""))),0),TRIM(SUBSTITUTE(V62,CHAR(160),""))="Devis 3",IFERROR(VALUE(TRIM(SUBSTITUTE(S62,CHAR(160),""))),0),TRUE,0)*IFERROR(VALUE(TRIM(SUBSTITUTE(D62,CHAR(160),""))),0))</f>
        <v/>
      </c>
      <c r="X62" s="73" t="str" cm="1">
        <f t="array" ref="X62">IF(_xlfn.IFS(TRIM(SUBSTITUTE(V62,CHAR(160),""))="Devis 1",IFERROR(VALUE(TRIM(SUBSTITUTE(N62,CHAR(160),""))),0),TRIM(SUBSTITUTE(V62,CHAR(160),""))="Devis 2",IFERROR(VALUE(TRIM(SUBSTITUTE(Q62,CHAR(160),""))),0),TRIM(SUBSTITUTE(V62,CHAR(160),""))="Devis 3",IFERROR(VALUE(TRIM(SUBSTITUTE(T62,CHAR(160),""))),0),TRUE,0)*IFERROR(VALUE(TRIM(SUBSTITUTE(D62,CHAR(160),""))),0)=0,IF(W62&lt;&gt;"",0,""),_xlfn.IFS(TRIM(SUBSTITUTE(V62,CHAR(160),""))="Devis 1",IFERROR(VALUE(TRIM(SUBSTITUTE(N62,CHAR(160),""))),0),TRIM(SUBSTITUTE(V62,CHAR(160),""))="Devis 2",IFERROR(VALUE(TRIM(SUBSTITUTE(Q62,CHAR(160),""))),0),TRIM(SUBSTITUTE(V62,CHAR(160),""))="Devis 3",IFERROR(VALUE(TRIM(SUBSTITUTE(T62,CHAR(160),""))),0),TRUE,0)*IFERROR(VALUE(TRIM(SUBSTITUTE(D62,CHAR(160),""))),0))</f>
        <v/>
      </c>
      <c r="Y62" s="149" t="str">
        <f t="shared" si="35"/>
        <v/>
      </c>
      <c r="Z62" s="150"/>
      <c r="AA62" s="36" t="str">
        <f t="shared" si="36"/>
        <v/>
      </c>
      <c r="AB62" s="37" t="str">
        <f t="shared" si="37"/>
        <v/>
      </c>
      <c r="AC62" s="37" t="str">
        <f t="shared" si="31"/>
        <v/>
      </c>
      <c r="AD62" s="14" t="str">
        <f t="shared" si="38"/>
        <v/>
      </c>
      <c r="AE62" s="14" t="str">
        <f t="shared" si="39"/>
        <v/>
      </c>
      <c r="AF62" s="14" t="str">
        <f t="shared" si="40"/>
        <v/>
      </c>
      <c r="AG62" s="14" t="str">
        <f t="shared" si="41"/>
        <v/>
      </c>
      <c r="AH62" s="38" t="str">
        <f t="shared" si="42"/>
        <v/>
      </c>
      <c r="AI62" s="14" t="str">
        <f t="shared" si="43"/>
        <v/>
      </c>
      <c r="AJ62" s="39" t="str">
        <f t="shared" si="44"/>
        <v/>
      </c>
      <c r="AK62" s="40" t="str">
        <f t="shared" si="45"/>
        <v/>
      </c>
      <c r="AL62" s="20" t="str">
        <f t="shared" si="46"/>
        <v/>
      </c>
      <c r="AM62" s="35" t="str">
        <f t="shared" si="47"/>
        <v/>
      </c>
      <c r="AN62" s="41" t="str">
        <f t="shared" si="48"/>
        <v/>
      </c>
      <c r="AO62" s="20" t="str">
        <f t="shared" si="49"/>
        <v/>
      </c>
      <c r="AP62" s="35" t="str">
        <f t="shared" si="50"/>
        <v/>
      </c>
      <c r="AQ62" s="42" t="str">
        <f t="shared" si="51"/>
        <v/>
      </c>
      <c r="AR62" s="20" t="str">
        <f t="shared" si="52"/>
        <v/>
      </c>
      <c r="AS62" s="43" t="str">
        <f t="shared" si="53"/>
        <v/>
      </c>
      <c r="AT62" s="36" t="str">
        <f t="shared" si="54"/>
        <v/>
      </c>
      <c r="AU62" s="184"/>
      <c r="AV62" s="44" t="str">
        <f t="shared" si="55"/>
        <v/>
      </c>
      <c r="AW62" s="44" t="str">
        <f t="shared" si="56"/>
        <v/>
      </c>
      <c r="AX62" s="44" t="str">
        <f t="shared" si="57"/>
        <v/>
      </c>
      <c r="AY62" s="74" t="str" cm="1">
        <f t="array" ref="AY62">IF($AB62="","",IF((IFERROR(_xlfn.IFS($AT62="Devis 1",(IFERROR(VALUE(TRIM(SUBSTITUTE(AK62,CHAR(160),""))),0)),$AT62="Devis 2",(IFERROR(VALUE(TRIM(SUBSTITUTE(AN62,CHAR(160),""))),0)),$AT62="Devis 3",(IFERROR(VALUE(TRIM(SUBSTITUTE(AQ62,CHAR(160),""))),0))),0))*(IFERROR(VALUE(TRIM(SUBSTITUTE($AB62,CHAR(160),""))),0))=0,"",(IFERROR(_xlfn.IFS($AT62="Devis 1",(IFERROR(VALUE(TRIM(SUBSTITUTE(AK62,CHAR(160),""))),0)),$AT62="Devis 2",(IFERROR(VALUE(TRIM(SUBSTITUTE(AN62,CHAR(160),""))),0)),$AT62="Devis 3",(IFERROR(VALUE(TRIM(SUBSTITUTE(AQ62,CHAR(160),""))),0))),0))*(IFERROR(VALUE(TRIM(SUBSTITUTE($AB62,CHAR(160),""))),0))))</f>
        <v/>
      </c>
      <c r="AZ62" s="74" t="str" cm="1">
        <f t="array" ref="AZ62">IF($AB62="","",IF((IFERROR(_xlfn.IFS(TRIM(SUBSTITUTE($AT62,CHAR(160),""))="Devis 1", IFERROR(VALUE(TRIM(SUBSTITUTE(AL62,CHAR(160),""))),0),TRIM(SUBSTITUTE($AT62,CHAR(160),""))="Devis 2", IFERROR(VALUE(TRIM(SUBSTITUTE(AO62,CHAR(160),""))),0),TRIM(SUBSTITUTE($AT62,CHAR(160),""))="Devis 3", IFERROR(VALUE(TRIM(SUBSTITUTE(AR62,CHAR(160),""))),0)),0) * IFERROR(VALUE(TRIM(SUBSTITUTE($AB62,CHAR(160),""))),0)) = 0,IF(AY62&lt;&gt;"",0,""),(IFERROR(_xlfn.IFS(TRIM(SUBSTITUTE($AT62,CHAR(160),""))="Devis 1", IFERROR(VALUE(TRIM(SUBSTITUTE(AL62,CHAR(160),""))),0),TRIM(SUBSTITUTE($AT62,CHAR(160),""))="Devis 2", IFERROR(VALUE(TRIM(SUBSTITUTE(AO62,CHAR(160),""))),0),TRIM(SUBSTITUTE($AT62,CHAR(160),""))="Devis 3", IFERROR(VALUE(TRIM(SUBSTITUTE(AR62,CHAR(160),""))),0)),0) * IFERROR(VALUE(TRIM(SUBSTITUTE($AB62,CHAR(160),""))),0))))</f>
        <v/>
      </c>
      <c r="BA62" s="74" t="str" cm="1">
        <f t="array" ref="BA62">IF($AB62="","",IF(IFERROR(_xlfn.IFS($AT62="Devis 1",IFERROR(VALUE(TRIM(SUBSTITUTE(AM62,CHAR(160),""))),0),$AT62="Devis 2",IFERROR(VALUE(TRIM(SUBSTITUTE(AP62,CHAR(160),""))),0),$AT62="Devis 3",IFERROR(VALUE(TRIM(SUBSTITUTE(AS62,CHAR(160),""))),0)),0)*IFERROR(VALUE(TRIM(SUBSTITUTE($AB62,CHAR(160),""))),0)=0,"",IFERROR(_xlfn.IFS($AT62="Devis 1",IFERROR(VALUE(TRIM(SUBSTITUTE(AM62,CHAR(160),""))),0),$AT62="Devis 2",IFERROR(VALUE(TRIM(SUBSTITUTE(AP62,CHAR(160),""))),0),$AT62="Devis 3",IFERROR(VALUE(TRIM(SUBSTITUTE(AS62,CHAR(160),""))),0)),0)*IFERROR(VALUE(TRIM(SUBSTITUTE($AB62,CHAR(160),""))),0)))</f>
        <v/>
      </c>
      <c r="BB62" s="45"/>
      <c r="BC62" s="13" t="str" cm="1">
        <f t="array" ref="BC62">IF(OR(BA62="",AX62="",AY62="",AV62="",AZ62="",AW62=""),"",_xlfn.IFS((IFERROR(VALUE(TRIM(SUBSTITUTE(BA62,CHAR(160),""))),0))&gt;(IFERROR(VALUE(TRIM(SUBSTITUTE(AX62,CHAR(160),""))),0)),"KO : Le montant retenu TTC est supérieur au montant raisonnable TTC. Merci de revoir la ligne de dépense ou plafonner son montant.",(IFERROR(VALUE(TRIM(SUBSTITUTE(AY62,CHAR(160),""))),0))&gt;(IFERROR(VALUE(TRIM(SUBSTITUTE(AV62,CHAR(160),""))),0)),"Attention : Le montant retenu HT est supérieur au montant HT raisonnable. Merci de revoir la ligne de dépense, plafonner son montant, ou justifier la reventillation HT / TVA.",(IFERROR(VALUE(TRIM(SUBSTITUTE(AZ62,CHAR(160),""))),0))&gt;(IFERROR(VALUE(TRIM(SUBSTITUTE(AW62,CHAR(160),""))),0)),"Attention : Le montant TVA retenu est supérieur au montant TVA raisonnable. Merci de revoir la ligne de dépense, plafonner son montant, ou justifier la reventillation HT / TVA.",(IFERROR(VALUE(TRIM(SUBSTITUTE(BA62,CHAR(160),""))),0))=0,"",(IFERROR(VALUE(TRIM(SUBSTITUTE(AX62,CHAR(160),""))),0))=(IFERROR(VALUE(TRIM(SUBSTITUTE(BA62,CHAR(160),""))),0)),"OK",(IFERROR(VALUE(TRIM(SUBSTITUTE(AX62,CHAR(160),""))),0))&gt;(IFERROR(VALUE(TRIM(SUBSTITUTE(BA62,CHAR(160),""))),0))," OK : Montant instruit inférieur au montant raisonnable.",TRUE,""))</f>
        <v/>
      </c>
      <c r="BD62" s="187" t="str" cm="1">
        <f t="array" ref="BD62">IF(OR(BA62="",Y62="",AY62="",W62="",AZ62="",X62=""),"",_xlfn.IFS((IFERROR(VALUE(TRIM(SUBSTITUTE(BA62,CHAR(160),""))),0))&gt;(IFERROR(VALUE(TRIM(SUBSTITUTE(Y62,CHAR(160),""))),0)),"KO : Le montant retenu TTC est supérieur au montant présenté TTC. Merci de revoir la ligne de dépense ou plafonner son montant.",(IFERROR(VALUE(TRIM(SUBSTITUTE(AY62,CHAR(160),""))),0))&gt;(IFERROR(VALUE(TRIM(SUBSTITUTE(W62,CHAR(160),""))),0)),"Attention : Le montant retenu HT est supérieur au montant HT présenté. Merci de revoir la ligne de dépense,plafonner son montant,ou justifier la reventillation HT/TVA.",(IFERROR(VALUE(TRIM(SUBSTITUTE(AZ62,CHAR(160),""))),0))&gt;(IFERROR(VALUE(TRIM(SUBSTITUTE(X62,CHAR(160),""))),0)),"Attention : Le montant TVA retenu est supérieur au montant TVA présenté. Merci de revoir la ligne de dépense,plafonner son montant,ou justifier la reventillation HT/TVA.",(IFERROR(VALUE(TRIM(SUBSTITUTE(Y62,CHAR(160),""))),0))=0,"",(IFERROR(VALUE(TRIM(SUBSTITUTE(BA62,CHAR(160),""))),0))=(IFERROR(VALUE(TRIM(SUBSTITUTE(Y62,CHAR(160),""))),0)),"OK",
OR((IFERROR(VALUE(TRIM(SUBSTITUTE(BA62,CHAR(160),""))),0))=0,(IFERROR(VALUE(TRIM(SUBSTITUTE(AY62,CHAR(160),""))),0))=0),"Attention : montant présenté entièrement écarté",(IFERROR(VALUE(TRIM(SUBSTITUTE(BA62,CHAR(160),""))),0))&lt;(IFERROR(VALUE(TRIM(SUBSTITUTE(Y62,CHAR(160),""))),0)),"Attention : montant présenté partiellement écarté",TRUE,""))</f>
        <v/>
      </c>
      <c r="BE62" s="44" t="str">
        <f t="shared" si="58"/>
        <v/>
      </c>
      <c r="BF62" s="44" t="str">
        <f t="shared" si="59"/>
        <v/>
      </c>
      <c r="BG62" s="21" t="str">
        <f t="shared" si="60"/>
        <v/>
      </c>
    </row>
    <row r="63" spans="1:59" ht="15" customHeight="1">
      <c r="A63" s="70">
        <v>54</v>
      </c>
      <c r="B63" s="784"/>
      <c r="C63" s="7"/>
      <c r="D63" s="11"/>
      <c r="E63" s="11"/>
      <c r="F63" s="7"/>
      <c r="G63" s="7"/>
      <c r="H63" s="7"/>
      <c r="I63" s="7"/>
      <c r="J63" s="17"/>
      <c r="K63" s="7"/>
      <c r="L63" s="132"/>
      <c r="M63" s="138"/>
      <c r="N63" s="8"/>
      <c r="O63" s="35" t="str">
        <f t="shared" si="32"/>
        <v/>
      </c>
      <c r="P63" s="9"/>
      <c r="Q63" s="8"/>
      <c r="R63" s="35" t="str">
        <f t="shared" si="33"/>
        <v/>
      </c>
      <c r="S63" s="10"/>
      <c r="T63" s="8"/>
      <c r="U63" s="139" t="str">
        <f t="shared" si="34"/>
        <v/>
      </c>
      <c r="V63" s="147"/>
      <c r="W63" s="770" t="str" cm="1">
        <f t="array" ref="W63">IF((_xlfn.IFS(TRIM(SUBSTITUTE(V63,CHAR(160),""))="Devis 1",IFERROR(VALUE(TRIM(SUBSTITUTE(M63,CHAR(160),""))),0),TRIM(SUBSTITUTE(V63,CHAR(160),""))="Devis 2",IFERROR(VALUE(TRIM(SUBSTITUTE(P63,CHAR(160),""))),0),TRIM(SUBSTITUTE(V63,CHAR(160),""))="Devis 3",IFERROR(VALUE(TRIM(SUBSTITUTE(S63,CHAR(160),""))),0),TRUE,0)*IFERROR(VALUE(TRIM(SUBSTITUTE(D63,CHAR(160),""))),0))=0,"",_xlfn.IFS(TRIM(SUBSTITUTE(V63,CHAR(160),""))="Devis 1",IFERROR(VALUE(TRIM(SUBSTITUTE(M63,CHAR(160),""))),0),TRIM(SUBSTITUTE(V63,CHAR(160),""))="Devis 2",IFERROR(VALUE(TRIM(SUBSTITUTE(P63,CHAR(160),""))),0),TRIM(SUBSTITUTE(V63,CHAR(160),""))="Devis 3",IFERROR(VALUE(TRIM(SUBSTITUTE(S63,CHAR(160),""))),0),TRUE,0)*IFERROR(VALUE(TRIM(SUBSTITUTE(D63,CHAR(160),""))),0))</f>
        <v/>
      </c>
      <c r="X63" s="73" t="str" cm="1">
        <f t="array" ref="X63">IF(_xlfn.IFS(TRIM(SUBSTITUTE(V63,CHAR(160),""))="Devis 1",IFERROR(VALUE(TRIM(SUBSTITUTE(N63,CHAR(160),""))),0),TRIM(SUBSTITUTE(V63,CHAR(160),""))="Devis 2",IFERROR(VALUE(TRIM(SUBSTITUTE(Q63,CHAR(160),""))),0),TRIM(SUBSTITUTE(V63,CHAR(160),""))="Devis 3",IFERROR(VALUE(TRIM(SUBSTITUTE(T63,CHAR(160),""))),0),TRUE,0)*IFERROR(VALUE(TRIM(SUBSTITUTE(D63,CHAR(160),""))),0)=0,IF(W63&lt;&gt;"",0,""),_xlfn.IFS(TRIM(SUBSTITUTE(V63,CHAR(160),""))="Devis 1",IFERROR(VALUE(TRIM(SUBSTITUTE(N63,CHAR(160),""))),0),TRIM(SUBSTITUTE(V63,CHAR(160),""))="Devis 2",IFERROR(VALUE(TRIM(SUBSTITUTE(Q63,CHAR(160),""))),0),TRIM(SUBSTITUTE(V63,CHAR(160),""))="Devis 3",IFERROR(VALUE(TRIM(SUBSTITUTE(T63,CHAR(160),""))),0),TRUE,0)*IFERROR(VALUE(TRIM(SUBSTITUTE(D63,CHAR(160),""))),0))</f>
        <v/>
      </c>
      <c r="Y63" s="149" t="str">
        <f t="shared" si="35"/>
        <v/>
      </c>
      <c r="Z63" s="150"/>
      <c r="AA63" s="36" t="str">
        <f t="shared" si="36"/>
        <v/>
      </c>
      <c r="AB63" s="37" t="str">
        <f t="shared" si="37"/>
        <v/>
      </c>
      <c r="AC63" s="37" t="str">
        <f t="shared" si="31"/>
        <v/>
      </c>
      <c r="AD63" s="14" t="str">
        <f t="shared" si="38"/>
        <v/>
      </c>
      <c r="AE63" s="14" t="str">
        <f t="shared" si="39"/>
        <v/>
      </c>
      <c r="AF63" s="14" t="str">
        <f t="shared" si="40"/>
        <v/>
      </c>
      <c r="AG63" s="14" t="str">
        <f t="shared" si="41"/>
        <v/>
      </c>
      <c r="AH63" s="38" t="str">
        <f t="shared" si="42"/>
        <v/>
      </c>
      <c r="AI63" s="14" t="str">
        <f t="shared" si="43"/>
        <v/>
      </c>
      <c r="AJ63" s="39" t="str">
        <f t="shared" si="44"/>
        <v/>
      </c>
      <c r="AK63" s="40" t="str">
        <f t="shared" si="45"/>
        <v/>
      </c>
      <c r="AL63" s="20" t="str">
        <f t="shared" si="46"/>
        <v/>
      </c>
      <c r="AM63" s="35" t="str">
        <f t="shared" si="47"/>
        <v/>
      </c>
      <c r="AN63" s="41" t="str">
        <f t="shared" si="48"/>
        <v/>
      </c>
      <c r="AO63" s="20" t="str">
        <f t="shared" si="49"/>
        <v/>
      </c>
      <c r="AP63" s="35" t="str">
        <f t="shared" si="50"/>
        <v/>
      </c>
      <c r="AQ63" s="42" t="str">
        <f t="shared" si="51"/>
        <v/>
      </c>
      <c r="AR63" s="20" t="str">
        <f t="shared" si="52"/>
        <v/>
      </c>
      <c r="AS63" s="43" t="str">
        <f t="shared" si="53"/>
        <v/>
      </c>
      <c r="AT63" s="36" t="str">
        <f t="shared" si="54"/>
        <v/>
      </c>
      <c r="AU63" s="184"/>
      <c r="AV63" s="44" t="str">
        <f t="shared" si="55"/>
        <v/>
      </c>
      <c r="AW63" s="44" t="str">
        <f t="shared" si="56"/>
        <v/>
      </c>
      <c r="AX63" s="44" t="str">
        <f t="shared" si="57"/>
        <v/>
      </c>
      <c r="AY63" s="74" t="str" cm="1">
        <f t="array" ref="AY63">IF($AB63="","",IF((IFERROR(_xlfn.IFS($AT63="Devis 1",(IFERROR(VALUE(TRIM(SUBSTITUTE(AK63,CHAR(160),""))),0)),$AT63="Devis 2",(IFERROR(VALUE(TRIM(SUBSTITUTE(AN63,CHAR(160),""))),0)),$AT63="Devis 3",(IFERROR(VALUE(TRIM(SUBSTITUTE(AQ63,CHAR(160),""))),0))),0))*(IFERROR(VALUE(TRIM(SUBSTITUTE($AB63,CHAR(160),""))),0))=0,"",(IFERROR(_xlfn.IFS($AT63="Devis 1",(IFERROR(VALUE(TRIM(SUBSTITUTE(AK63,CHAR(160),""))),0)),$AT63="Devis 2",(IFERROR(VALUE(TRIM(SUBSTITUTE(AN63,CHAR(160),""))),0)),$AT63="Devis 3",(IFERROR(VALUE(TRIM(SUBSTITUTE(AQ63,CHAR(160),""))),0))),0))*(IFERROR(VALUE(TRIM(SUBSTITUTE($AB63,CHAR(160),""))),0))))</f>
        <v/>
      </c>
      <c r="AZ63" s="74" t="str" cm="1">
        <f t="array" ref="AZ63">IF($AB63="","",IF((IFERROR(_xlfn.IFS(TRIM(SUBSTITUTE($AT63,CHAR(160),""))="Devis 1", IFERROR(VALUE(TRIM(SUBSTITUTE(AL63,CHAR(160),""))),0),TRIM(SUBSTITUTE($AT63,CHAR(160),""))="Devis 2", IFERROR(VALUE(TRIM(SUBSTITUTE(AO63,CHAR(160),""))),0),TRIM(SUBSTITUTE($AT63,CHAR(160),""))="Devis 3", IFERROR(VALUE(TRIM(SUBSTITUTE(AR63,CHAR(160),""))),0)),0) * IFERROR(VALUE(TRIM(SUBSTITUTE($AB63,CHAR(160),""))),0)) = 0,IF(AY63&lt;&gt;"",0,""),(IFERROR(_xlfn.IFS(TRIM(SUBSTITUTE($AT63,CHAR(160),""))="Devis 1", IFERROR(VALUE(TRIM(SUBSTITUTE(AL63,CHAR(160),""))),0),TRIM(SUBSTITUTE($AT63,CHAR(160),""))="Devis 2", IFERROR(VALUE(TRIM(SUBSTITUTE(AO63,CHAR(160),""))),0),TRIM(SUBSTITUTE($AT63,CHAR(160),""))="Devis 3", IFERROR(VALUE(TRIM(SUBSTITUTE(AR63,CHAR(160),""))),0)),0) * IFERROR(VALUE(TRIM(SUBSTITUTE($AB63,CHAR(160),""))),0))))</f>
        <v/>
      </c>
      <c r="BA63" s="74" t="str" cm="1">
        <f t="array" ref="BA63">IF($AB63="","",IF(IFERROR(_xlfn.IFS($AT63="Devis 1",IFERROR(VALUE(TRIM(SUBSTITUTE(AM63,CHAR(160),""))),0),$AT63="Devis 2",IFERROR(VALUE(TRIM(SUBSTITUTE(AP63,CHAR(160),""))),0),$AT63="Devis 3",IFERROR(VALUE(TRIM(SUBSTITUTE(AS63,CHAR(160),""))),0)),0)*IFERROR(VALUE(TRIM(SUBSTITUTE($AB63,CHAR(160),""))),0)=0,"",IFERROR(_xlfn.IFS($AT63="Devis 1",IFERROR(VALUE(TRIM(SUBSTITUTE(AM63,CHAR(160),""))),0),$AT63="Devis 2",IFERROR(VALUE(TRIM(SUBSTITUTE(AP63,CHAR(160),""))),0),$AT63="Devis 3",IFERROR(VALUE(TRIM(SUBSTITUTE(AS63,CHAR(160),""))),0)),0)*IFERROR(VALUE(TRIM(SUBSTITUTE($AB63,CHAR(160),""))),0)))</f>
        <v/>
      </c>
      <c r="BB63" s="45"/>
      <c r="BC63" s="13" t="str" cm="1">
        <f t="array" ref="BC63">IF(OR(BA63="",AX63="",AY63="",AV63="",AZ63="",AW63=""),"",_xlfn.IFS((IFERROR(VALUE(TRIM(SUBSTITUTE(BA63,CHAR(160),""))),0))&gt;(IFERROR(VALUE(TRIM(SUBSTITUTE(AX63,CHAR(160),""))),0)),"KO : Le montant retenu TTC est supérieur au montant raisonnable TTC. Merci de revoir la ligne de dépense ou plafonner son montant.",(IFERROR(VALUE(TRIM(SUBSTITUTE(AY63,CHAR(160),""))),0))&gt;(IFERROR(VALUE(TRIM(SUBSTITUTE(AV63,CHAR(160),""))),0)),"Attention : Le montant retenu HT est supérieur au montant HT raisonnable. Merci de revoir la ligne de dépense, plafonner son montant, ou justifier la reventillation HT / TVA.",(IFERROR(VALUE(TRIM(SUBSTITUTE(AZ63,CHAR(160),""))),0))&gt;(IFERROR(VALUE(TRIM(SUBSTITUTE(AW63,CHAR(160),""))),0)),"Attention : Le montant TVA retenu est supérieur au montant TVA raisonnable. Merci de revoir la ligne de dépense, plafonner son montant, ou justifier la reventillation HT / TVA.",(IFERROR(VALUE(TRIM(SUBSTITUTE(BA63,CHAR(160),""))),0))=0,"",(IFERROR(VALUE(TRIM(SUBSTITUTE(AX63,CHAR(160),""))),0))=(IFERROR(VALUE(TRIM(SUBSTITUTE(BA63,CHAR(160),""))),0)),"OK",(IFERROR(VALUE(TRIM(SUBSTITUTE(AX63,CHAR(160),""))),0))&gt;(IFERROR(VALUE(TRIM(SUBSTITUTE(BA63,CHAR(160),""))),0))," OK : Montant instruit inférieur au montant raisonnable.",TRUE,""))</f>
        <v/>
      </c>
      <c r="BD63" s="187" t="str" cm="1">
        <f t="array" ref="BD63">IF(OR(BA63="",Y63="",AY63="",W63="",AZ63="",X63=""),"",_xlfn.IFS((IFERROR(VALUE(TRIM(SUBSTITUTE(BA63,CHAR(160),""))),0))&gt;(IFERROR(VALUE(TRIM(SUBSTITUTE(Y63,CHAR(160),""))),0)),"KO : Le montant retenu TTC est supérieur au montant présenté TTC. Merci de revoir la ligne de dépense ou plafonner son montant.",(IFERROR(VALUE(TRIM(SUBSTITUTE(AY63,CHAR(160),""))),0))&gt;(IFERROR(VALUE(TRIM(SUBSTITUTE(W63,CHAR(160),""))),0)),"Attention : Le montant retenu HT est supérieur au montant HT présenté. Merci de revoir la ligne de dépense,plafonner son montant,ou justifier la reventillation HT/TVA.",(IFERROR(VALUE(TRIM(SUBSTITUTE(AZ63,CHAR(160),""))),0))&gt;(IFERROR(VALUE(TRIM(SUBSTITUTE(X63,CHAR(160),""))),0)),"Attention : Le montant TVA retenu est supérieur au montant TVA présenté. Merci de revoir la ligne de dépense,plafonner son montant,ou justifier la reventillation HT/TVA.",(IFERROR(VALUE(TRIM(SUBSTITUTE(Y63,CHAR(160),""))),0))=0,"",(IFERROR(VALUE(TRIM(SUBSTITUTE(BA63,CHAR(160),""))),0))=(IFERROR(VALUE(TRIM(SUBSTITUTE(Y63,CHAR(160),""))),0)),"OK",
OR((IFERROR(VALUE(TRIM(SUBSTITUTE(BA63,CHAR(160),""))),0))=0,(IFERROR(VALUE(TRIM(SUBSTITUTE(AY63,CHAR(160),""))),0))=0),"Attention : montant présenté entièrement écarté",(IFERROR(VALUE(TRIM(SUBSTITUTE(BA63,CHAR(160),""))),0))&lt;(IFERROR(VALUE(TRIM(SUBSTITUTE(Y63,CHAR(160),""))),0)),"Attention : montant présenté partiellement écarté",TRUE,""))</f>
        <v/>
      </c>
      <c r="BE63" s="44" t="str">
        <f t="shared" si="58"/>
        <v/>
      </c>
      <c r="BF63" s="44" t="str">
        <f t="shared" si="59"/>
        <v/>
      </c>
      <c r="BG63" s="21" t="str">
        <f t="shared" si="60"/>
        <v/>
      </c>
    </row>
    <row r="64" spans="1:59" ht="15" customHeight="1">
      <c r="A64" s="70">
        <v>55</v>
      </c>
      <c r="B64" s="784"/>
      <c r="C64" s="7"/>
      <c r="D64" s="11"/>
      <c r="E64" s="11"/>
      <c r="F64" s="7"/>
      <c r="G64" s="7"/>
      <c r="H64" s="7"/>
      <c r="I64" s="7"/>
      <c r="J64" s="17"/>
      <c r="K64" s="7"/>
      <c r="L64" s="132"/>
      <c r="M64" s="138"/>
      <c r="N64" s="8"/>
      <c r="O64" s="35" t="str">
        <f t="shared" si="32"/>
        <v/>
      </c>
      <c r="P64" s="9"/>
      <c r="Q64" s="8"/>
      <c r="R64" s="35" t="str">
        <f t="shared" si="33"/>
        <v/>
      </c>
      <c r="S64" s="10"/>
      <c r="T64" s="8"/>
      <c r="U64" s="139" t="str">
        <f t="shared" si="34"/>
        <v/>
      </c>
      <c r="V64" s="147"/>
      <c r="W64" s="770" t="str" cm="1">
        <f t="array" ref="W64">IF((_xlfn.IFS(TRIM(SUBSTITUTE(V64,CHAR(160),""))="Devis 1",IFERROR(VALUE(TRIM(SUBSTITUTE(M64,CHAR(160),""))),0),TRIM(SUBSTITUTE(V64,CHAR(160),""))="Devis 2",IFERROR(VALUE(TRIM(SUBSTITUTE(P64,CHAR(160),""))),0),TRIM(SUBSTITUTE(V64,CHAR(160),""))="Devis 3",IFERROR(VALUE(TRIM(SUBSTITUTE(S64,CHAR(160),""))),0),TRUE,0)*IFERROR(VALUE(TRIM(SUBSTITUTE(D64,CHAR(160),""))),0))=0,"",_xlfn.IFS(TRIM(SUBSTITUTE(V64,CHAR(160),""))="Devis 1",IFERROR(VALUE(TRIM(SUBSTITUTE(M64,CHAR(160),""))),0),TRIM(SUBSTITUTE(V64,CHAR(160),""))="Devis 2",IFERROR(VALUE(TRIM(SUBSTITUTE(P64,CHAR(160),""))),0),TRIM(SUBSTITUTE(V64,CHAR(160),""))="Devis 3",IFERROR(VALUE(TRIM(SUBSTITUTE(S64,CHAR(160),""))),0),TRUE,0)*IFERROR(VALUE(TRIM(SUBSTITUTE(D64,CHAR(160),""))),0))</f>
        <v/>
      </c>
      <c r="X64" s="73" t="str" cm="1">
        <f t="array" ref="X64">IF(_xlfn.IFS(TRIM(SUBSTITUTE(V64,CHAR(160),""))="Devis 1",IFERROR(VALUE(TRIM(SUBSTITUTE(N64,CHAR(160),""))),0),TRIM(SUBSTITUTE(V64,CHAR(160),""))="Devis 2",IFERROR(VALUE(TRIM(SUBSTITUTE(Q64,CHAR(160),""))),0),TRIM(SUBSTITUTE(V64,CHAR(160),""))="Devis 3",IFERROR(VALUE(TRIM(SUBSTITUTE(T64,CHAR(160),""))),0),TRUE,0)*IFERROR(VALUE(TRIM(SUBSTITUTE(D64,CHAR(160),""))),0)=0,IF(W64&lt;&gt;"",0,""),_xlfn.IFS(TRIM(SUBSTITUTE(V64,CHAR(160),""))="Devis 1",IFERROR(VALUE(TRIM(SUBSTITUTE(N64,CHAR(160),""))),0),TRIM(SUBSTITUTE(V64,CHAR(160),""))="Devis 2",IFERROR(VALUE(TRIM(SUBSTITUTE(Q64,CHAR(160),""))),0),TRIM(SUBSTITUTE(V64,CHAR(160),""))="Devis 3",IFERROR(VALUE(TRIM(SUBSTITUTE(T64,CHAR(160),""))),0),TRUE,0)*IFERROR(VALUE(TRIM(SUBSTITUTE(D64,CHAR(160),""))),0))</f>
        <v/>
      </c>
      <c r="Y64" s="149" t="str">
        <f t="shared" si="35"/>
        <v/>
      </c>
      <c r="Z64" s="150"/>
      <c r="AA64" s="36" t="str">
        <f t="shared" si="36"/>
        <v/>
      </c>
      <c r="AB64" s="37" t="str">
        <f t="shared" si="37"/>
        <v/>
      </c>
      <c r="AC64" s="37" t="str">
        <f t="shared" si="31"/>
        <v/>
      </c>
      <c r="AD64" s="14" t="str">
        <f t="shared" si="38"/>
        <v/>
      </c>
      <c r="AE64" s="14" t="str">
        <f t="shared" si="39"/>
        <v/>
      </c>
      <c r="AF64" s="14" t="str">
        <f t="shared" si="40"/>
        <v/>
      </c>
      <c r="AG64" s="14" t="str">
        <f t="shared" si="41"/>
        <v/>
      </c>
      <c r="AH64" s="38" t="str">
        <f t="shared" si="42"/>
        <v/>
      </c>
      <c r="AI64" s="14" t="str">
        <f t="shared" si="43"/>
        <v/>
      </c>
      <c r="AJ64" s="39" t="str">
        <f t="shared" si="44"/>
        <v/>
      </c>
      <c r="AK64" s="40" t="str">
        <f t="shared" si="45"/>
        <v/>
      </c>
      <c r="AL64" s="20" t="str">
        <f t="shared" si="46"/>
        <v/>
      </c>
      <c r="AM64" s="35" t="str">
        <f t="shared" si="47"/>
        <v/>
      </c>
      <c r="AN64" s="41" t="str">
        <f t="shared" si="48"/>
        <v/>
      </c>
      <c r="AO64" s="20" t="str">
        <f t="shared" si="49"/>
        <v/>
      </c>
      <c r="AP64" s="35" t="str">
        <f t="shared" si="50"/>
        <v/>
      </c>
      <c r="AQ64" s="42" t="str">
        <f t="shared" si="51"/>
        <v/>
      </c>
      <c r="AR64" s="20" t="str">
        <f t="shared" si="52"/>
        <v/>
      </c>
      <c r="AS64" s="43" t="str">
        <f t="shared" si="53"/>
        <v/>
      </c>
      <c r="AT64" s="36" t="str">
        <f t="shared" si="54"/>
        <v/>
      </c>
      <c r="AU64" s="184"/>
      <c r="AV64" s="44" t="str">
        <f t="shared" si="55"/>
        <v/>
      </c>
      <c r="AW64" s="44" t="str">
        <f t="shared" si="56"/>
        <v/>
      </c>
      <c r="AX64" s="44" t="str">
        <f t="shared" si="57"/>
        <v/>
      </c>
      <c r="AY64" s="74" t="str" cm="1">
        <f t="array" ref="AY64">IF($AB64="","",IF((IFERROR(_xlfn.IFS($AT64="Devis 1",(IFERROR(VALUE(TRIM(SUBSTITUTE(AK64,CHAR(160),""))),0)),$AT64="Devis 2",(IFERROR(VALUE(TRIM(SUBSTITUTE(AN64,CHAR(160),""))),0)),$AT64="Devis 3",(IFERROR(VALUE(TRIM(SUBSTITUTE(AQ64,CHAR(160),""))),0))),0))*(IFERROR(VALUE(TRIM(SUBSTITUTE($AB64,CHAR(160),""))),0))=0,"",(IFERROR(_xlfn.IFS($AT64="Devis 1",(IFERROR(VALUE(TRIM(SUBSTITUTE(AK64,CHAR(160),""))),0)),$AT64="Devis 2",(IFERROR(VALUE(TRIM(SUBSTITUTE(AN64,CHAR(160),""))),0)),$AT64="Devis 3",(IFERROR(VALUE(TRIM(SUBSTITUTE(AQ64,CHAR(160),""))),0))),0))*(IFERROR(VALUE(TRIM(SUBSTITUTE($AB64,CHAR(160),""))),0))))</f>
        <v/>
      </c>
      <c r="AZ64" s="74" t="str" cm="1">
        <f t="array" ref="AZ64">IF($AB64="","",IF((IFERROR(_xlfn.IFS(TRIM(SUBSTITUTE($AT64,CHAR(160),""))="Devis 1", IFERROR(VALUE(TRIM(SUBSTITUTE(AL64,CHAR(160),""))),0),TRIM(SUBSTITUTE($AT64,CHAR(160),""))="Devis 2", IFERROR(VALUE(TRIM(SUBSTITUTE(AO64,CHAR(160),""))),0),TRIM(SUBSTITUTE($AT64,CHAR(160),""))="Devis 3", IFERROR(VALUE(TRIM(SUBSTITUTE(AR64,CHAR(160),""))),0)),0) * IFERROR(VALUE(TRIM(SUBSTITUTE($AB64,CHAR(160),""))),0)) = 0,IF(AY64&lt;&gt;"",0,""),(IFERROR(_xlfn.IFS(TRIM(SUBSTITUTE($AT64,CHAR(160),""))="Devis 1", IFERROR(VALUE(TRIM(SUBSTITUTE(AL64,CHAR(160),""))),0),TRIM(SUBSTITUTE($AT64,CHAR(160),""))="Devis 2", IFERROR(VALUE(TRIM(SUBSTITUTE(AO64,CHAR(160),""))),0),TRIM(SUBSTITUTE($AT64,CHAR(160),""))="Devis 3", IFERROR(VALUE(TRIM(SUBSTITUTE(AR64,CHAR(160),""))),0)),0) * IFERROR(VALUE(TRIM(SUBSTITUTE($AB64,CHAR(160),""))),0))))</f>
        <v/>
      </c>
      <c r="BA64" s="74" t="str" cm="1">
        <f t="array" ref="BA64">IF($AB64="","",IF(IFERROR(_xlfn.IFS($AT64="Devis 1",IFERROR(VALUE(TRIM(SUBSTITUTE(AM64,CHAR(160),""))),0),$AT64="Devis 2",IFERROR(VALUE(TRIM(SUBSTITUTE(AP64,CHAR(160),""))),0),$AT64="Devis 3",IFERROR(VALUE(TRIM(SUBSTITUTE(AS64,CHAR(160),""))),0)),0)*IFERROR(VALUE(TRIM(SUBSTITUTE($AB64,CHAR(160),""))),0)=0,"",IFERROR(_xlfn.IFS($AT64="Devis 1",IFERROR(VALUE(TRIM(SUBSTITUTE(AM64,CHAR(160),""))),0),$AT64="Devis 2",IFERROR(VALUE(TRIM(SUBSTITUTE(AP64,CHAR(160),""))),0),$AT64="Devis 3",IFERROR(VALUE(TRIM(SUBSTITUTE(AS64,CHAR(160),""))),0)),0)*IFERROR(VALUE(TRIM(SUBSTITUTE($AB64,CHAR(160),""))),0)))</f>
        <v/>
      </c>
      <c r="BB64" s="45"/>
      <c r="BC64" s="13" t="str" cm="1">
        <f t="array" ref="BC64">IF(OR(BA64="",AX64="",AY64="",AV64="",AZ64="",AW64=""),"",_xlfn.IFS((IFERROR(VALUE(TRIM(SUBSTITUTE(BA64,CHAR(160),""))),0))&gt;(IFERROR(VALUE(TRIM(SUBSTITUTE(AX64,CHAR(160),""))),0)),"KO : Le montant retenu TTC est supérieur au montant raisonnable TTC. Merci de revoir la ligne de dépense ou plafonner son montant.",(IFERROR(VALUE(TRIM(SUBSTITUTE(AY64,CHAR(160),""))),0))&gt;(IFERROR(VALUE(TRIM(SUBSTITUTE(AV64,CHAR(160),""))),0)),"Attention : Le montant retenu HT est supérieur au montant HT raisonnable. Merci de revoir la ligne de dépense, plafonner son montant, ou justifier la reventillation HT / TVA.",(IFERROR(VALUE(TRIM(SUBSTITUTE(AZ64,CHAR(160),""))),0))&gt;(IFERROR(VALUE(TRIM(SUBSTITUTE(AW64,CHAR(160),""))),0)),"Attention : Le montant TVA retenu est supérieur au montant TVA raisonnable. Merci de revoir la ligne de dépense, plafonner son montant, ou justifier la reventillation HT / TVA.",(IFERROR(VALUE(TRIM(SUBSTITUTE(BA64,CHAR(160),""))),0))=0,"",(IFERROR(VALUE(TRIM(SUBSTITUTE(AX64,CHAR(160),""))),0))=(IFERROR(VALUE(TRIM(SUBSTITUTE(BA64,CHAR(160),""))),0)),"OK",(IFERROR(VALUE(TRIM(SUBSTITUTE(AX64,CHAR(160),""))),0))&gt;(IFERROR(VALUE(TRIM(SUBSTITUTE(BA64,CHAR(160),""))),0))," OK : Montant instruit inférieur au montant raisonnable.",TRUE,""))</f>
        <v/>
      </c>
      <c r="BD64" s="187" t="str" cm="1">
        <f t="array" ref="BD64">IF(OR(BA64="",Y64="",AY64="",W64="",AZ64="",X64=""),"",_xlfn.IFS((IFERROR(VALUE(TRIM(SUBSTITUTE(BA64,CHAR(160),""))),0))&gt;(IFERROR(VALUE(TRIM(SUBSTITUTE(Y64,CHAR(160),""))),0)),"KO : Le montant retenu TTC est supérieur au montant présenté TTC. Merci de revoir la ligne de dépense ou plafonner son montant.",(IFERROR(VALUE(TRIM(SUBSTITUTE(AY64,CHAR(160),""))),0))&gt;(IFERROR(VALUE(TRIM(SUBSTITUTE(W64,CHAR(160),""))),0)),"Attention : Le montant retenu HT est supérieur au montant HT présenté. Merci de revoir la ligne de dépense,plafonner son montant,ou justifier la reventillation HT/TVA.",(IFERROR(VALUE(TRIM(SUBSTITUTE(AZ64,CHAR(160),""))),0))&gt;(IFERROR(VALUE(TRIM(SUBSTITUTE(X64,CHAR(160),""))),0)),"Attention : Le montant TVA retenu est supérieur au montant TVA présenté. Merci de revoir la ligne de dépense,plafonner son montant,ou justifier la reventillation HT/TVA.",(IFERROR(VALUE(TRIM(SUBSTITUTE(Y64,CHAR(160),""))),0))=0,"",(IFERROR(VALUE(TRIM(SUBSTITUTE(BA64,CHAR(160),""))),0))=(IFERROR(VALUE(TRIM(SUBSTITUTE(Y64,CHAR(160),""))),0)),"OK",
OR((IFERROR(VALUE(TRIM(SUBSTITUTE(BA64,CHAR(160),""))),0))=0,(IFERROR(VALUE(TRIM(SUBSTITUTE(AY64,CHAR(160),""))),0))=0),"Attention : montant présenté entièrement écarté",(IFERROR(VALUE(TRIM(SUBSTITUTE(BA64,CHAR(160),""))),0))&lt;(IFERROR(VALUE(TRIM(SUBSTITUTE(Y64,CHAR(160),""))),0)),"Attention : montant présenté partiellement écarté",TRUE,""))</f>
        <v/>
      </c>
      <c r="BE64" s="44" t="str">
        <f t="shared" si="58"/>
        <v/>
      </c>
      <c r="BF64" s="44" t="str">
        <f t="shared" si="59"/>
        <v/>
      </c>
      <c r="BG64" s="21" t="str">
        <f t="shared" si="60"/>
        <v/>
      </c>
    </row>
    <row r="65" spans="1:59" ht="15" customHeight="1">
      <c r="A65" s="70">
        <v>56</v>
      </c>
      <c r="B65" s="784"/>
      <c r="C65" s="7"/>
      <c r="D65" s="11"/>
      <c r="E65" s="11"/>
      <c r="F65" s="7"/>
      <c r="G65" s="7"/>
      <c r="H65" s="7"/>
      <c r="I65" s="7"/>
      <c r="J65" s="17"/>
      <c r="K65" s="7"/>
      <c r="L65" s="132"/>
      <c r="M65" s="138"/>
      <c r="N65" s="8"/>
      <c r="O65" s="35" t="str">
        <f t="shared" si="32"/>
        <v/>
      </c>
      <c r="P65" s="9"/>
      <c r="Q65" s="8"/>
      <c r="R65" s="35" t="str">
        <f t="shared" si="33"/>
        <v/>
      </c>
      <c r="S65" s="10"/>
      <c r="T65" s="8"/>
      <c r="U65" s="139" t="str">
        <f t="shared" si="34"/>
        <v/>
      </c>
      <c r="V65" s="147"/>
      <c r="W65" s="770" t="str" cm="1">
        <f t="array" ref="W65">IF((_xlfn.IFS(TRIM(SUBSTITUTE(V65,CHAR(160),""))="Devis 1",IFERROR(VALUE(TRIM(SUBSTITUTE(M65,CHAR(160),""))),0),TRIM(SUBSTITUTE(V65,CHAR(160),""))="Devis 2",IFERROR(VALUE(TRIM(SUBSTITUTE(P65,CHAR(160),""))),0),TRIM(SUBSTITUTE(V65,CHAR(160),""))="Devis 3",IFERROR(VALUE(TRIM(SUBSTITUTE(S65,CHAR(160),""))),0),TRUE,0)*IFERROR(VALUE(TRIM(SUBSTITUTE(D65,CHAR(160),""))),0))=0,"",_xlfn.IFS(TRIM(SUBSTITUTE(V65,CHAR(160),""))="Devis 1",IFERROR(VALUE(TRIM(SUBSTITUTE(M65,CHAR(160),""))),0),TRIM(SUBSTITUTE(V65,CHAR(160),""))="Devis 2",IFERROR(VALUE(TRIM(SUBSTITUTE(P65,CHAR(160),""))),0),TRIM(SUBSTITUTE(V65,CHAR(160),""))="Devis 3",IFERROR(VALUE(TRIM(SUBSTITUTE(S65,CHAR(160),""))),0),TRUE,0)*IFERROR(VALUE(TRIM(SUBSTITUTE(D65,CHAR(160),""))),0))</f>
        <v/>
      </c>
      <c r="X65" s="73" t="str" cm="1">
        <f t="array" ref="X65">IF(_xlfn.IFS(TRIM(SUBSTITUTE(V65,CHAR(160),""))="Devis 1",IFERROR(VALUE(TRIM(SUBSTITUTE(N65,CHAR(160),""))),0),TRIM(SUBSTITUTE(V65,CHAR(160),""))="Devis 2",IFERROR(VALUE(TRIM(SUBSTITUTE(Q65,CHAR(160),""))),0),TRIM(SUBSTITUTE(V65,CHAR(160),""))="Devis 3",IFERROR(VALUE(TRIM(SUBSTITUTE(T65,CHAR(160),""))),0),TRUE,0)*IFERROR(VALUE(TRIM(SUBSTITUTE(D65,CHAR(160),""))),0)=0,IF(W65&lt;&gt;"",0,""),_xlfn.IFS(TRIM(SUBSTITUTE(V65,CHAR(160),""))="Devis 1",IFERROR(VALUE(TRIM(SUBSTITUTE(N65,CHAR(160),""))),0),TRIM(SUBSTITUTE(V65,CHAR(160),""))="Devis 2",IFERROR(VALUE(TRIM(SUBSTITUTE(Q65,CHAR(160),""))),0),TRIM(SUBSTITUTE(V65,CHAR(160),""))="Devis 3",IFERROR(VALUE(TRIM(SUBSTITUTE(T65,CHAR(160),""))),0),TRUE,0)*IFERROR(VALUE(TRIM(SUBSTITUTE(D65,CHAR(160),""))),0))</f>
        <v/>
      </c>
      <c r="Y65" s="149" t="str">
        <f t="shared" si="35"/>
        <v/>
      </c>
      <c r="Z65" s="150"/>
      <c r="AA65" s="36" t="str">
        <f t="shared" si="36"/>
        <v/>
      </c>
      <c r="AB65" s="37" t="str">
        <f t="shared" si="37"/>
        <v/>
      </c>
      <c r="AC65" s="37" t="str">
        <f t="shared" si="31"/>
        <v/>
      </c>
      <c r="AD65" s="14" t="str">
        <f t="shared" si="38"/>
        <v/>
      </c>
      <c r="AE65" s="14" t="str">
        <f t="shared" si="39"/>
        <v/>
      </c>
      <c r="AF65" s="14" t="str">
        <f t="shared" si="40"/>
        <v/>
      </c>
      <c r="AG65" s="14" t="str">
        <f t="shared" si="41"/>
        <v/>
      </c>
      <c r="AH65" s="38" t="str">
        <f t="shared" si="42"/>
        <v/>
      </c>
      <c r="AI65" s="14" t="str">
        <f t="shared" si="43"/>
        <v/>
      </c>
      <c r="AJ65" s="39" t="str">
        <f t="shared" si="44"/>
        <v/>
      </c>
      <c r="AK65" s="40" t="str">
        <f t="shared" si="45"/>
        <v/>
      </c>
      <c r="AL65" s="20" t="str">
        <f t="shared" si="46"/>
        <v/>
      </c>
      <c r="AM65" s="35" t="str">
        <f t="shared" si="47"/>
        <v/>
      </c>
      <c r="AN65" s="41" t="str">
        <f t="shared" si="48"/>
        <v/>
      </c>
      <c r="AO65" s="20" t="str">
        <f t="shared" si="49"/>
        <v/>
      </c>
      <c r="AP65" s="35" t="str">
        <f t="shared" si="50"/>
        <v/>
      </c>
      <c r="AQ65" s="42" t="str">
        <f t="shared" si="51"/>
        <v/>
      </c>
      <c r="AR65" s="20" t="str">
        <f t="shared" si="52"/>
        <v/>
      </c>
      <c r="AS65" s="43" t="str">
        <f t="shared" si="53"/>
        <v/>
      </c>
      <c r="AT65" s="36" t="str">
        <f t="shared" si="54"/>
        <v/>
      </c>
      <c r="AU65" s="184"/>
      <c r="AV65" s="44" t="str">
        <f t="shared" si="55"/>
        <v/>
      </c>
      <c r="AW65" s="44" t="str">
        <f t="shared" si="56"/>
        <v/>
      </c>
      <c r="AX65" s="44" t="str">
        <f t="shared" si="57"/>
        <v/>
      </c>
      <c r="AY65" s="74" t="str" cm="1">
        <f t="array" ref="AY65">IF($AB65="","",IF((IFERROR(_xlfn.IFS($AT65="Devis 1",(IFERROR(VALUE(TRIM(SUBSTITUTE(AK65,CHAR(160),""))),0)),$AT65="Devis 2",(IFERROR(VALUE(TRIM(SUBSTITUTE(AN65,CHAR(160),""))),0)),$AT65="Devis 3",(IFERROR(VALUE(TRIM(SUBSTITUTE(AQ65,CHAR(160),""))),0))),0))*(IFERROR(VALUE(TRIM(SUBSTITUTE($AB65,CHAR(160),""))),0))=0,"",(IFERROR(_xlfn.IFS($AT65="Devis 1",(IFERROR(VALUE(TRIM(SUBSTITUTE(AK65,CHAR(160),""))),0)),$AT65="Devis 2",(IFERROR(VALUE(TRIM(SUBSTITUTE(AN65,CHAR(160),""))),0)),$AT65="Devis 3",(IFERROR(VALUE(TRIM(SUBSTITUTE(AQ65,CHAR(160),""))),0))),0))*(IFERROR(VALUE(TRIM(SUBSTITUTE($AB65,CHAR(160),""))),0))))</f>
        <v/>
      </c>
      <c r="AZ65" s="74" t="str" cm="1">
        <f t="array" ref="AZ65">IF($AB65="","",IF((IFERROR(_xlfn.IFS(TRIM(SUBSTITUTE($AT65,CHAR(160),""))="Devis 1", IFERROR(VALUE(TRIM(SUBSTITUTE(AL65,CHAR(160),""))),0),TRIM(SUBSTITUTE($AT65,CHAR(160),""))="Devis 2", IFERROR(VALUE(TRIM(SUBSTITUTE(AO65,CHAR(160),""))),0),TRIM(SUBSTITUTE($AT65,CHAR(160),""))="Devis 3", IFERROR(VALUE(TRIM(SUBSTITUTE(AR65,CHAR(160),""))),0)),0) * IFERROR(VALUE(TRIM(SUBSTITUTE($AB65,CHAR(160),""))),0)) = 0,IF(AY65&lt;&gt;"",0,""),(IFERROR(_xlfn.IFS(TRIM(SUBSTITUTE($AT65,CHAR(160),""))="Devis 1", IFERROR(VALUE(TRIM(SUBSTITUTE(AL65,CHAR(160),""))),0),TRIM(SUBSTITUTE($AT65,CHAR(160),""))="Devis 2", IFERROR(VALUE(TRIM(SUBSTITUTE(AO65,CHAR(160),""))),0),TRIM(SUBSTITUTE($AT65,CHAR(160),""))="Devis 3", IFERROR(VALUE(TRIM(SUBSTITUTE(AR65,CHAR(160),""))),0)),0) * IFERROR(VALUE(TRIM(SUBSTITUTE($AB65,CHAR(160),""))),0))))</f>
        <v/>
      </c>
      <c r="BA65" s="74" t="str" cm="1">
        <f t="array" ref="BA65">IF($AB65="","",IF(IFERROR(_xlfn.IFS($AT65="Devis 1",IFERROR(VALUE(TRIM(SUBSTITUTE(AM65,CHAR(160),""))),0),$AT65="Devis 2",IFERROR(VALUE(TRIM(SUBSTITUTE(AP65,CHAR(160),""))),0),$AT65="Devis 3",IFERROR(VALUE(TRIM(SUBSTITUTE(AS65,CHAR(160),""))),0)),0)*IFERROR(VALUE(TRIM(SUBSTITUTE($AB65,CHAR(160),""))),0)=0,"",IFERROR(_xlfn.IFS($AT65="Devis 1",IFERROR(VALUE(TRIM(SUBSTITUTE(AM65,CHAR(160),""))),0),$AT65="Devis 2",IFERROR(VALUE(TRIM(SUBSTITUTE(AP65,CHAR(160),""))),0),$AT65="Devis 3",IFERROR(VALUE(TRIM(SUBSTITUTE(AS65,CHAR(160),""))),0)),0)*IFERROR(VALUE(TRIM(SUBSTITUTE($AB65,CHAR(160),""))),0)))</f>
        <v/>
      </c>
      <c r="BB65" s="45"/>
      <c r="BC65" s="13" t="str" cm="1">
        <f t="array" ref="BC65">IF(OR(BA65="",AX65="",AY65="",AV65="",AZ65="",AW65=""),"",_xlfn.IFS((IFERROR(VALUE(TRIM(SUBSTITUTE(BA65,CHAR(160),""))),0))&gt;(IFERROR(VALUE(TRIM(SUBSTITUTE(AX65,CHAR(160),""))),0)),"KO : Le montant retenu TTC est supérieur au montant raisonnable TTC. Merci de revoir la ligne de dépense ou plafonner son montant.",(IFERROR(VALUE(TRIM(SUBSTITUTE(AY65,CHAR(160),""))),0))&gt;(IFERROR(VALUE(TRIM(SUBSTITUTE(AV65,CHAR(160),""))),0)),"Attention : Le montant retenu HT est supérieur au montant HT raisonnable. Merci de revoir la ligne de dépense, plafonner son montant, ou justifier la reventillation HT / TVA.",(IFERROR(VALUE(TRIM(SUBSTITUTE(AZ65,CHAR(160),""))),0))&gt;(IFERROR(VALUE(TRIM(SUBSTITUTE(AW65,CHAR(160),""))),0)),"Attention : Le montant TVA retenu est supérieur au montant TVA raisonnable. Merci de revoir la ligne de dépense, plafonner son montant, ou justifier la reventillation HT / TVA.",(IFERROR(VALUE(TRIM(SUBSTITUTE(BA65,CHAR(160),""))),0))=0,"",(IFERROR(VALUE(TRIM(SUBSTITUTE(AX65,CHAR(160),""))),0))=(IFERROR(VALUE(TRIM(SUBSTITUTE(BA65,CHAR(160),""))),0)),"OK",(IFERROR(VALUE(TRIM(SUBSTITUTE(AX65,CHAR(160),""))),0))&gt;(IFERROR(VALUE(TRIM(SUBSTITUTE(BA65,CHAR(160),""))),0))," OK : Montant instruit inférieur au montant raisonnable.",TRUE,""))</f>
        <v/>
      </c>
      <c r="BD65" s="187" t="str" cm="1">
        <f t="array" ref="BD65">IF(OR(BA65="",Y65="",AY65="",W65="",AZ65="",X65=""),"",_xlfn.IFS((IFERROR(VALUE(TRIM(SUBSTITUTE(BA65,CHAR(160),""))),0))&gt;(IFERROR(VALUE(TRIM(SUBSTITUTE(Y65,CHAR(160),""))),0)),"KO : Le montant retenu TTC est supérieur au montant présenté TTC. Merci de revoir la ligne de dépense ou plafonner son montant.",(IFERROR(VALUE(TRIM(SUBSTITUTE(AY65,CHAR(160),""))),0))&gt;(IFERROR(VALUE(TRIM(SUBSTITUTE(W65,CHAR(160),""))),0)),"Attention : Le montant retenu HT est supérieur au montant HT présenté. Merci de revoir la ligne de dépense,plafonner son montant,ou justifier la reventillation HT/TVA.",(IFERROR(VALUE(TRIM(SUBSTITUTE(AZ65,CHAR(160),""))),0))&gt;(IFERROR(VALUE(TRIM(SUBSTITUTE(X65,CHAR(160),""))),0)),"Attention : Le montant TVA retenu est supérieur au montant TVA présenté. Merci de revoir la ligne de dépense,plafonner son montant,ou justifier la reventillation HT/TVA.",(IFERROR(VALUE(TRIM(SUBSTITUTE(Y65,CHAR(160),""))),0))=0,"",(IFERROR(VALUE(TRIM(SUBSTITUTE(BA65,CHAR(160),""))),0))=(IFERROR(VALUE(TRIM(SUBSTITUTE(Y65,CHAR(160),""))),0)),"OK",
OR((IFERROR(VALUE(TRIM(SUBSTITUTE(BA65,CHAR(160),""))),0))=0,(IFERROR(VALUE(TRIM(SUBSTITUTE(AY65,CHAR(160),""))),0))=0),"Attention : montant présenté entièrement écarté",(IFERROR(VALUE(TRIM(SUBSTITUTE(BA65,CHAR(160),""))),0))&lt;(IFERROR(VALUE(TRIM(SUBSTITUTE(Y65,CHAR(160),""))),0)),"Attention : montant présenté partiellement écarté",TRUE,""))</f>
        <v/>
      </c>
      <c r="BE65" s="44" t="str">
        <f t="shared" si="58"/>
        <v/>
      </c>
      <c r="BF65" s="44" t="str">
        <f t="shared" si="59"/>
        <v/>
      </c>
      <c r="BG65" s="21" t="str">
        <f t="shared" si="60"/>
        <v/>
      </c>
    </row>
    <row r="66" spans="1:59" ht="15" customHeight="1">
      <c r="A66" s="70">
        <v>57</v>
      </c>
      <c r="B66" s="784"/>
      <c r="C66" s="7"/>
      <c r="D66" s="11"/>
      <c r="E66" s="11"/>
      <c r="F66" s="7"/>
      <c r="G66" s="7"/>
      <c r="H66" s="7"/>
      <c r="I66" s="7"/>
      <c r="J66" s="17"/>
      <c r="K66" s="7"/>
      <c r="L66" s="132"/>
      <c r="M66" s="138"/>
      <c r="N66" s="8"/>
      <c r="O66" s="35" t="str">
        <f t="shared" si="32"/>
        <v/>
      </c>
      <c r="P66" s="9"/>
      <c r="Q66" s="8"/>
      <c r="R66" s="35" t="str">
        <f t="shared" si="33"/>
        <v/>
      </c>
      <c r="S66" s="10"/>
      <c r="T66" s="8"/>
      <c r="U66" s="139" t="str">
        <f t="shared" si="34"/>
        <v/>
      </c>
      <c r="V66" s="147"/>
      <c r="W66" s="770" t="str" cm="1">
        <f t="array" ref="W66">IF((_xlfn.IFS(TRIM(SUBSTITUTE(V66,CHAR(160),""))="Devis 1",IFERROR(VALUE(TRIM(SUBSTITUTE(M66,CHAR(160),""))),0),TRIM(SUBSTITUTE(V66,CHAR(160),""))="Devis 2",IFERROR(VALUE(TRIM(SUBSTITUTE(P66,CHAR(160),""))),0),TRIM(SUBSTITUTE(V66,CHAR(160),""))="Devis 3",IFERROR(VALUE(TRIM(SUBSTITUTE(S66,CHAR(160),""))),0),TRUE,0)*IFERROR(VALUE(TRIM(SUBSTITUTE(D66,CHAR(160),""))),0))=0,"",_xlfn.IFS(TRIM(SUBSTITUTE(V66,CHAR(160),""))="Devis 1",IFERROR(VALUE(TRIM(SUBSTITUTE(M66,CHAR(160),""))),0),TRIM(SUBSTITUTE(V66,CHAR(160),""))="Devis 2",IFERROR(VALUE(TRIM(SUBSTITUTE(P66,CHAR(160),""))),0),TRIM(SUBSTITUTE(V66,CHAR(160),""))="Devis 3",IFERROR(VALUE(TRIM(SUBSTITUTE(S66,CHAR(160),""))),0),TRUE,0)*IFERROR(VALUE(TRIM(SUBSTITUTE(D66,CHAR(160),""))),0))</f>
        <v/>
      </c>
      <c r="X66" s="73" t="str" cm="1">
        <f t="array" ref="X66">IF(_xlfn.IFS(TRIM(SUBSTITUTE(V66,CHAR(160),""))="Devis 1",IFERROR(VALUE(TRIM(SUBSTITUTE(N66,CHAR(160),""))),0),TRIM(SUBSTITUTE(V66,CHAR(160),""))="Devis 2",IFERROR(VALUE(TRIM(SUBSTITUTE(Q66,CHAR(160),""))),0),TRIM(SUBSTITUTE(V66,CHAR(160),""))="Devis 3",IFERROR(VALUE(TRIM(SUBSTITUTE(T66,CHAR(160),""))),0),TRUE,0)*IFERROR(VALUE(TRIM(SUBSTITUTE(D66,CHAR(160),""))),0)=0,IF(W66&lt;&gt;"",0,""),_xlfn.IFS(TRIM(SUBSTITUTE(V66,CHAR(160),""))="Devis 1",IFERROR(VALUE(TRIM(SUBSTITUTE(N66,CHAR(160),""))),0),TRIM(SUBSTITUTE(V66,CHAR(160),""))="Devis 2",IFERROR(VALUE(TRIM(SUBSTITUTE(Q66,CHAR(160),""))),0),TRIM(SUBSTITUTE(V66,CHAR(160),""))="Devis 3",IFERROR(VALUE(TRIM(SUBSTITUTE(T66,CHAR(160),""))),0),TRUE,0)*IFERROR(VALUE(TRIM(SUBSTITUTE(D66,CHAR(160),""))),0))</f>
        <v/>
      </c>
      <c r="Y66" s="149" t="str">
        <f t="shared" si="35"/>
        <v/>
      </c>
      <c r="Z66" s="150"/>
      <c r="AA66" s="36" t="str">
        <f t="shared" si="36"/>
        <v/>
      </c>
      <c r="AB66" s="37" t="str">
        <f t="shared" si="37"/>
        <v/>
      </c>
      <c r="AC66" s="37" t="str">
        <f t="shared" si="31"/>
        <v/>
      </c>
      <c r="AD66" s="14" t="str">
        <f t="shared" si="38"/>
        <v/>
      </c>
      <c r="AE66" s="14" t="str">
        <f t="shared" si="39"/>
        <v/>
      </c>
      <c r="AF66" s="14" t="str">
        <f t="shared" si="40"/>
        <v/>
      </c>
      <c r="AG66" s="14" t="str">
        <f t="shared" si="41"/>
        <v/>
      </c>
      <c r="AH66" s="38" t="str">
        <f t="shared" si="42"/>
        <v/>
      </c>
      <c r="AI66" s="14" t="str">
        <f t="shared" si="43"/>
        <v/>
      </c>
      <c r="AJ66" s="39" t="str">
        <f t="shared" si="44"/>
        <v/>
      </c>
      <c r="AK66" s="40" t="str">
        <f t="shared" si="45"/>
        <v/>
      </c>
      <c r="AL66" s="20" t="str">
        <f t="shared" si="46"/>
        <v/>
      </c>
      <c r="AM66" s="35" t="str">
        <f t="shared" si="47"/>
        <v/>
      </c>
      <c r="AN66" s="41" t="str">
        <f t="shared" si="48"/>
        <v/>
      </c>
      <c r="AO66" s="20" t="str">
        <f t="shared" si="49"/>
        <v/>
      </c>
      <c r="AP66" s="35" t="str">
        <f t="shared" si="50"/>
        <v/>
      </c>
      <c r="AQ66" s="42" t="str">
        <f t="shared" si="51"/>
        <v/>
      </c>
      <c r="AR66" s="20" t="str">
        <f t="shared" si="52"/>
        <v/>
      </c>
      <c r="AS66" s="43" t="str">
        <f t="shared" si="53"/>
        <v/>
      </c>
      <c r="AT66" s="36" t="str">
        <f t="shared" si="54"/>
        <v/>
      </c>
      <c r="AU66" s="184"/>
      <c r="AV66" s="44" t="str">
        <f t="shared" si="55"/>
        <v/>
      </c>
      <c r="AW66" s="44" t="str">
        <f t="shared" si="56"/>
        <v/>
      </c>
      <c r="AX66" s="44" t="str">
        <f t="shared" si="57"/>
        <v/>
      </c>
      <c r="AY66" s="74" t="str" cm="1">
        <f t="array" ref="AY66">IF($AB66="","",IF((IFERROR(_xlfn.IFS($AT66="Devis 1",(IFERROR(VALUE(TRIM(SUBSTITUTE(AK66,CHAR(160),""))),0)),$AT66="Devis 2",(IFERROR(VALUE(TRIM(SUBSTITUTE(AN66,CHAR(160),""))),0)),$AT66="Devis 3",(IFERROR(VALUE(TRIM(SUBSTITUTE(AQ66,CHAR(160),""))),0))),0))*(IFERROR(VALUE(TRIM(SUBSTITUTE($AB66,CHAR(160),""))),0))=0,"",(IFERROR(_xlfn.IFS($AT66="Devis 1",(IFERROR(VALUE(TRIM(SUBSTITUTE(AK66,CHAR(160),""))),0)),$AT66="Devis 2",(IFERROR(VALUE(TRIM(SUBSTITUTE(AN66,CHAR(160),""))),0)),$AT66="Devis 3",(IFERROR(VALUE(TRIM(SUBSTITUTE(AQ66,CHAR(160),""))),0))),0))*(IFERROR(VALUE(TRIM(SUBSTITUTE($AB66,CHAR(160),""))),0))))</f>
        <v/>
      </c>
      <c r="AZ66" s="74" t="str" cm="1">
        <f t="array" ref="AZ66">IF($AB66="","",IF((IFERROR(_xlfn.IFS(TRIM(SUBSTITUTE($AT66,CHAR(160),""))="Devis 1", IFERROR(VALUE(TRIM(SUBSTITUTE(AL66,CHAR(160),""))),0),TRIM(SUBSTITUTE($AT66,CHAR(160),""))="Devis 2", IFERROR(VALUE(TRIM(SUBSTITUTE(AO66,CHAR(160),""))),0),TRIM(SUBSTITUTE($AT66,CHAR(160),""))="Devis 3", IFERROR(VALUE(TRIM(SUBSTITUTE(AR66,CHAR(160),""))),0)),0) * IFERROR(VALUE(TRIM(SUBSTITUTE($AB66,CHAR(160),""))),0)) = 0,IF(AY66&lt;&gt;"",0,""),(IFERROR(_xlfn.IFS(TRIM(SUBSTITUTE($AT66,CHAR(160),""))="Devis 1", IFERROR(VALUE(TRIM(SUBSTITUTE(AL66,CHAR(160),""))),0),TRIM(SUBSTITUTE($AT66,CHAR(160),""))="Devis 2", IFERROR(VALUE(TRIM(SUBSTITUTE(AO66,CHAR(160),""))),0),TRIM(SUBSTITUTE($AT66,CHAR(160),""))="Devis 3", IFERROR(VALUE(TRIM(SUBSTITUTE(AR66,CHAR(160),""))),0)),0) * IFERROR(VALUE(TRIM(SUBSTITUTE($AB66,CHAR(160),""))),0))))</f>
        <v/>
      </c>
      <c r="BA66" s="74" t="str" cm="1">
        <f t="array" ref="BA66">IF($AB66="","",IF(IFERROR(_xlfn.IFS($AT66="Devis 1",IFERROR(VALUE(TRIM(SUBSTITUTE(AM66,CHAR(160),""))),0),$AT66="Devis 2",IFERROR(VALUE(TRIM(SUBSTITUTE(AP66,CHAR(160),""))),0),$AT66="Devis 3",IFERROR(VALUE(TRIM(SUBSTITUTE(AS66,CHAR(160),""))),0)),0)*IFERROR(VALUE(TRIM(SUBSTITUTE($AB66,CHAR(160),""))),0)=0,"",IFERROR(_xlfn.IFS($AT66="Devis 1",IFERROR(VALUE(TRIM(SUBSTITUTE(AM66,CHAR(160),""))),0),$AT66="Devis 2",IFERROR(VALUE(TRIM(SUBSTITUTE(AP66,CHAR(160),""))),0),$AT66="Devis 3",IFERROR(VALUE(TRIM(SUBSTITUTE(AS66,CHAR(160),""))),0)),0)*IFERROR(VALUE(TRIM(SUBSTITUTE($AB66,CHAR(160),""))),0)))</f>
        <v/>
      </c>
      <c r="BB66" s="45"/>
      <c r="BC66" s="13" t="str" cm="1">
        <f t="array" ref="BC66">IF(OR(BA66="",AX66="",AY66="",AV66="",AZ66="",AW66=""),"",_xlfn.IFS((IFERROR(VALUE(TRIM(SUBSTITUTE(BA66,CHAR(160),""))),0))&gt;(IFERROR(VALUE(TRIM(SUBSTITUTE(AX66,CHAR(160),""))),0)),"KO : Le montant retenu TTC est supérieur au montant raisonnable TTC. Merci de revoir la ligne de dépense ou plafonner son montant.",(IFERROR(VALUE(TRIM(SUBSTITUTE(AY66,CHAR(160),""))),0))&gt;(IFERROR(VALUE(TRIM(SUBSTITUTE(AV66,CHAR(160),""))),0)),"Attention : Le montant retenu HT est supérieur au montant HT raisonnable. Merci de revoir la ligne de dépense, plafonner son montant, ou justifier la reventillation HT / TVA.",(IFERROR(VALUE(TRIM(SUBSTITUTE(AZ66,CHAR(160),""))),0))&gt;(IFERROR(VALUE(TRIM(SUBSTITUTE(AW66,CHAR(160),""))),0)),"Attention : Le montant TVA retenu est supérieur au montant TVA raisonnable. Merci de revoir la ligne de dépense, plafonner son montant, ou justifier la reventillation HT / TVA.",(IFERROR(VALUE(TRIM(SUBSTITUTE(BA66,CHAR(160),""))),0))=0,"",(IFERROR(VALUE(TRIM(SUBSTITUTE(AX66,CHAR(160),""))),0))=(IFERROR(VALUE(TRIM(SUBSTITUTE(BA66,CHAR(160),""))),0)),"OK",(IFERROR(VALUE(TRIM(SUBSTITUTE(AX66,CHAR(160),""))),0))&gt;(IFERROR(VALUE(TRIM(SUBSTITUTE(BA66,CHAR(160),""))),0))," OK : Montant instruit inférieur au montant raisonnable.",TRUE,""))</f>
        <v/>
      </c>
      <c r="BD66" s="187" t="str" cm="1">
        <f t="array" ref="BD66">IF(OR(BA66="",Y66="",AY66="",W66="",AZ66="",X66=""),"",_xlfn.IFS((IFERROR(VALUE(TRIM(SUBSTITUTE(BA66,CHAR(160),""))),0))&gt;(IFERROR(VALUE(TRIM(SUBSTITUTE(Y66,CHAR(160),""))),0)),"KO : Le montant retenu TTC est supérieur au montant présenté TTC. Merci de revoir la ligne de dépense ou plafonner son montant.",(IFERROR(VALUE(TRIM(SUBSTITUTE(AY66,CHAR(160),""))),0))&gt;(IFERROR(VALUE(TRIM(SUBSTITUTE(W66,CHAR(160),""))),0)),"Attention : Le montant retenu HT est supérieur au montant HT présenté. Merci de revoir la ligne de dépense,plafonner son montant,ou justifier la reventillation HT/TVA.",(IFERROR(VALUE(TRIM(SUBSTITUTE(AZ66,CHAR(160),""))),0))&gt;(IFERROR(VALUE(TRIM(SUBSTITUTE(X66,CHAR(160),""))),0)),"Attention : Le montant TVA retenu est supérieur au montant TVA présenté. Merci de revoir la ligne de dépense,plafonner son montant,ou justifier la reventillation HT/TVA.",(IFERROR(VALUE(TRIM(SUBSTITUTE(Y66,CHAR(160),""))),0))=0,"",(IFERROR(VALUE(TRIM(SUBSTITUTE(BA66,CHAR(160),""))),0))=(IFERROR(VALUE(TRIM(SUBSTITUTE(Y66,CHAR(160),""))),0)),"OK",
OR((IFERROR(VALUE(TRIM(SUBSTITUTE(BA66,CHAR(160),""))),0))=0,(IFERROR(VALUE(TRIM(SUBSTITUTE(AY66,CHAR(160),""))),0))=0),"Attention : montant présenté entièrement écarté",(IFERROR(VALUE(TRIM(SUBSTITUTE(BA66,CHAR(160),""))),0))&lt;(IFERROR(VALUE(TRIM(SUBSTITUTE(Y66,CHAR(160),""))),0)),"Attention : montant présenté partiellement écarté",TRUE,""))</f>
        <v/>
      </c>
      <c r="BE66" s="44" t="str">
        <f t="shared" si="58"/>
        <v/>
      </c>
      <c r="BF66" s="44" t="str">
        <f t="shared" si="59"/>
        <v/>
      </c>
      <c r="BG66" s="21" t="str">
        <f t="shared" si="60"/>
        <v/>
      </c>
    </row>
    <row r="67" spans="1:59" ht="15" customHeight="1">
      <c r="A67" s="70">
        <v>58</v>
      </c>
      <c r="B67" s="784"/>
      <c r="C67" s="7"/>
      <c r="D67" s="11"/>
      <c r="E67" s="11"/>
      <c r="F67" s="7"/>
      <c r="G67" s="7"/>
      <c r="H67" s="7"/>
      <c r="I67" s="7"/>
      <c r="J67" s="17"/>
      <c r="K67" s="7"/>
      <c r="L67" s="132"/>
      <c r="M67" s="138"/>
      <c r="N67" s="8"/>
      <c r="O67" s="35" t="str">
        <f t="shared" si="32"/>
        <v/>
      </c>
      <c r="P67" s="9"/>
      <c r="Q67" s="8"/>
      <c r="R67" s="35" t="str">
        <f t="shared" si="33"/>
        <v/>
      </c>
      <c r="S67" s="10"/>
      <c r="T67" s="8"/>
      <c r="U67" s="139" t="str">
        <f t="shared" si="34"/>
        <v/>
      </c>
      <c r="V67" s="147"/>
      <c r="W67" s="770" t="str" cm="1">
        <f t="array" ref="W67">IF((_xlfn.IFS(TRIM(SUBSTITUTE(V67,CHAR(160),""))="Devis 1",IFERROR(VALUE(TRIM(SUBSTITUTE(M67,CHAR(160),""))),0),TRIM(SUBSTITUTE(V67,CHAR(160),""))="Devis 2",IFERROR(VALUE(TRIM(SUBSTITUTE(P67,CHAR(160),""))),0),TRIM(SUBSTITUTE(V67,CHAR(160),""))="Devis 3",IFERROR(VALUE(TRIM(SUBSTITUTE(S67,CHAR(160),""))),0),TRUE,0)*IFERROR(VALUE(TRIM(SUBSTITUTE(D67,CHAR(160),""))),0))=0,"",_xlfn.IFS(TRIM(SUBSTITUTE(V67,CHAR(160),""))="Devis 1",IFERROR(VALUE(TRIM(SUBSTITUTE(M67,CHAR(160),""))),0),TRIM(SUBSTITUTE(V67,CHAR(160),""))="Devis 2",IFERROR(VALUE(TRIM(SUBSTITUTE(P67,CHAR(160),""))),0),TRIM(SUBSTITUTE(V67,CHAR(160),""))="Devis 3",IFERROR(VALUE(TRIM(SUBSTITUTE(S67,CHAR(160),""))),0),TRUE,0)*IFERROR(VALUE(TRIM(SUBSTITUTE(D67,CHAR(160),""))),0))</f>
        <v/>
      </c>
      <c r="X67" s="73" t="str" cm="1">
        <f t="array" ref="X67">IF(_xlfn.IFS(TRIM(SUBSTITUTE(V67,CHAR(160),""))="Devis 1",IFERROR(VALUE(TRIM(SUBSTITUTE(N67,CHAR(160),""))),0),TRIM(SUBSTITUTE(V67,CHAR(160),""))="Devis 2",IFERROR(VALUE(TRIM(SUBSTITUTE(Q67,CHAR(160),""))),0),TRIM(SUBSTITUTE(V67,CHAR(160),""))="Devis 3",IFERROR(VALUE(TRIM(SUBSTITUTE(T67,CHAR(160),""))),0),TRUE,0)*IFERROR(VALUE(TRIM(SUBSTITUTE(D67,CHAR(160),""))),0)=0,IF(W67&lt;&gt;"",0,""),_xlfn.IFS(TRIM(SUBSTITUTE(V67,CHAR(160),""))="Devis 1",IFERROR(VALUE(TRIM(SUBSTITUTE(N67,CHAR(160),""))),0),TRIM(SUBSTITUTE(V67,CHAR(160),""))="Devis 2",IFERROR(VALUE(TRIM(SUBSTITUTE(Q67,CHAR(160),""))),0),TRIM(SUBSTITUTE(V67,CHAR(160),""))="Devis 3",IFERROR(VALUE(TRIM(SUBSTITUTE(T67,CHAR(160),""))),0),TRUE,0)*IFERROR(VALUE(TRIM(SUBSTITUTE(D67,CHAR(160),""))),0))</f>
        <v/>
      </c>
      <c r="Y67" s="149" t="str">
        <f t="shared" si="35"/>
        <v/>
      </c>
      <c r="Z67" s="150"/>
      <c r="AA67" s="36" t="str">
        <f t="shared" si="36"/>
        <v/>
      </c>
      <c r="AB67" s="37" t="str">
        <f t="shared" si="37"/>
        <v/>
      </c>
      <c r="AC67" s="37" t="str">
        <f t="shared" si="31"/>
        <v/>
      </c>
      <c r="AD67" s="14" t="str">
        <f t="shared" si="38"/>
        <v/>
      </c>
      <c r="AE67" s="14" t="str">
        <f t="shared" si="39"/>
        <v/>
      </c>
      <c r="AF67" s="14" t="str">
        <f t="shared" si="40"/>
        <v/>
      </c>
      <c r="AG67" s="14" t="str">
        <f t="shared" si="41"/>
        <v/>
      </c>
      <c r="AH67" s="38" t="str">
        <f t="shared" si="42"/>
        <v/>
      </c>
      <c r="AI67" s="14" t="str">
        <f t="shared" si="43"/>
        <v/>
      </c>
      <c r="AJ67" s="39" t="str">
        <f t="shared" si="44"/>
        <v/>
      </c>
      <c r="AK67" s="40" t="str">
        <f t="shared" si="45"/>
        <v/>
      </c>
      <c r="AL67" s="20" t="str">
        <f t="shared" si="46"/>
        <v/>
      </c>
      <c r="AM67" s="35" t="str">
        <f t="shared" si="47"/>
        <v/>
      </c>
      <c r="AN67" s="41" t="str">
        <f t="shared" si="48"/>
        <v/>
      </c>
      <c r="AO67" s="20" t="str">
        <f t="shared" si="49"/>
        <v/>
      </c>
      <c r="AP67" s="35" t="str">
        <f t="shared" si="50"/>
        <v/>
      </c>
      <c r="AQ67" s="42" t="str">
        <f t="shared" si="51"/>
        <v/>
      </c>
      <c r="AR67" s="20" t="str">
        <f t="shared" si="52"/>
        <v/>
      </c>
      <c r="AS67" s="43" t="str">
        <f t="shared" si="53"/>
        <v/>
      </c>
      <c r="AT67" s="36" t="str">
        <f t="shared" si="54"/>
        <v/>
      </c>
      <c r="AU67" s="184"/>
      <c r="AV67" s="44" t="str">
        <f t="shared" si="55"/>
        <v/>
      </c>
      <c r="AW67" s="44" t="str">
        <f t="shared" si="56"/>
        <v/>
      </c>
      <c r="AX67" s="44" t="str">
        <f t="shared" si="57"/>
        <v/>
      </c>
      <c r="AY67" s="74" t="str" cm="1">
        <f t="array" ref="AY67">IF($AB67="","",IF((IFERROR(_xlfn.IFS($AT67="Devis 1",(IFERROR(VALUE(TRIM(SUBSTITUTE(AK67,CHAR(160),""))),0)),$AT67="Devis 2",(IFERROR(VALUE(TRIM(SUBSTITUTE(AN67,CHAR(160),""))),0)),$AT67="Devis 3",(IFERROR(VALUE(TRIM(SUBSTITUTE(AQ67,CHAR(160),""))),0))),0))*(IFERROR(VALUE(TRIM(SUBSTITUTE($AB67,CHAR(160),""))),0))=0,"",(IFERROR(_xlfn.IFS($AT67="Devis 1",(IFERROR(VALUE(TRIM(SUBSTITUTE(AK67,CHAR(160),""))),0)),$AT67="Devis 2",(IFERROR(VALUE(TRIM(SUBSTITUTE(AN67,CHAR(160),""))),0)),$AT67="Devis 3",(IFERROR(VALUE(TRIM(SUBSTITUTE(AQ67,CHAR(160),""))),0))),0))*(IFERROR(VALUE(TRIM(SUBSTITUTE($AB67,CHAR(160),""))),0))))</f>
        <v/>
      </c>
      <c r="AZ67" s="74" t="str" cm="1">
        <f t="array" ref="AZ67">IF($AB67="","",IF((IFERROR(_xlfn.IFS(TRIM(SUBSTITUTE($AT67,CHAR(160),""))="Devis 1", IFERROR(VALUE(TRIM(SUBSTITUTE(AL67,CHAR(160),""))),0),TRIM(SUBSTITUTE($AT67,CHAR(160),""))="Devis 2", IFERROR(VALUE(TRIM(SUBSTITUTE(AO67,CHAR(160),""))),0),TRIM(SUBSTITUTE($AT67,CHAR(160),""))="Devis 3", IFERROR(VALUE(TRIM(SUBSTITUTE(AR67,CHAR(160),""))),0)),0) * IFERROR(VALUE(TRIM(SUBSTITUTE($AB67,CHAR(160),""))),0)) = 0,IF(AY67&lt;&gt;"",0,""),(IFERROR(_xlfn.IFS(TRIM(SUBSTITUTE($AT67,CHAR(160),""))="Devis 1", IFERROR(VALUE(TRIM(SUBSTITUTE(AL67,CHAR(160),""))),0),TRIM(SUBSTITUTE($AT67,CHAR(160),""))="Devis 2", IFERROR(VALUE(TRIM(SUBSTITUTE(AO67,CHAR(160),""))),0),TRIM(SUBSTITUTE($AT67,CHAR(160),""))="Devis 3", IFERROR(VALUE(TRIM(SUBSTITUTE(AR67,CHAR(160),""))),0)),0) * IFERROR(VALUE(TRIM(SUBSTITUTE($AB67,CHAR(160),""))),0))))</f>
        <v/>
      </c>
      <c r="BA67" s="74" t="str" cm="1">
        <f t="array" ref="BA67">IF($AB67="","",IF(IFERROR(_xlfn.IFS($AT67="Devis 1",IFERROR(VALUE(TRIM(SUBSTITUTE(AM67,CHAR(160),""))),0),$AT67="Devis 2",IFERROR(VALUE(TRIM(SUBSTITUTE(AP67,CHAR(160),""))),0),$AT67="Devis 3",IFERROR(VALUE(TRIM(SUBSTITUTE(AS67,CHAR(160),""))),0)),0)*IFERROR(VALUE(TRIM(SUBSTITUTE($AB67,CHAR(160),""))),0)=0,"",IFERROR(_xlfn.IFS($AT67="Devis 1",IFERROR(VALUE(TRIM(SUBSTITUTE(AM67,CHAR(160),""))),0),$AT67="Devis 2",IFERROR(VALUE(TRIM(SUBSTITUTE(AP67,CHAR(160),""))),0),$AT67="Devis 3",IFERROR(VALUE(TRIM(SUBSTITUTE(AS67,CHAR(160),""))),0)),0)*IFERROR(VALUE(TRIM(SUBSTITUTE($AB67,CHAR(160),""))),0)))</f>
        <v/>
      </c>
      <c r="BB67" s="45"/>
      <c r="BC67" s="13" t="str" cm="1">
        <f t="array" ref="BC67">IF(OR(BA67="",AX67="",AY67="",AV67="",AZ67="",AW67=""),"",_xlfn.IFS((IFERROR(VALUE(TRIM(SUBSTITUTE(BA67,CHAR(160),""))),0))&gt;(IFERROR(VALUE(TRIM(SUBSTITUTE(AX67,CHAR(160),""))),0)),"KO : Le montant retenu TTC est supérieur au montant raisonnable TTC. Merci de revoir la ligne de dépense ou plafonner son montant.",(IFERROR(VALUE(TRIM(SUBSTITUTE(AY67,CHAR(160),""))),0))&gt;(IFERROR(VALUE(TRIM(SUBSTITUTE(AV67,CHAR(160),""))),0)),"Attention : Le montant retenu HT est supérieur au montant HT raisonnable. Merci de revoir la ligne de dépense, plafonner son montant, ou justifier la reventillation HT / TVA.",(IFERROR(VALUE(TRIM(SUBSTITUTE(AZ67,CHAR(160),""))),0))&gt;(IFERROR(VALUE(TRIM(SUBSTITUTE(AW67,CHAR(160),""))),0)),"Attention : Le montant TVA retenu est supérieur au montant TVA raisonnable. Merci de revoir la ligne de dépense, plafonner son montant, ou justifier la reventillation HT / TVA.",(IFERROR(VALUE(TRIM(SUBSTITUTE(BA67,CHAR(160),""))),0))=0,"",(IFERROR(VALUE(TRIM(SUBSTITUTE(AX67,CHAR(160),""))),0))=(IFERROR(VALUE(TRIM(SUBSTITUTE(BA67,CHAR(160),""))),0)),"OK",(IFERROR(VALUE(TRIM(SUBSTITUTE(AX67,CHAR(160),""))),0))&gt;(IFERROR(VALUE(TRIM(SUBSTITUTE(BA67,CHAR(160),""))),0))," OK : Montant instruit inférieur au montant raisonnable.",TRUE,""))</f>
        <v/>
      </c>
      <c r="BD67" s="187" t="str" cm="1">
        <f t="array" ref="BD67">IF(OR(BA67="",Y67="",AY67="",W67="",AZ67="",X67=""),"",_xlfn.IFS((IFERROR(VALUE(TRIM(SUBSTITUTE(BA67,CHAR(160),""))),0))&gt;(IFERROR(VALUE(TRIM(SUBSTITUTE(Y67,CHAR(160),""))),0)),"KO : Le montant retenu TTC est supérieur au montant présenté TTC. Merci de revoir la ligne de dépense ou plafonner son montant.",(IFERROR(VALUE(TRIM(SUBSTITUTE(AY67,CHAR(160),""))),0))&gt;(IFERROR(VALUE(TRIM(SUBSTITUTE(W67,CHAR(160),""))),0)),"Attention : Le montant retenu HT est supérieur au montant HT présenté. Merci de revoir la ligne de dépense,plafonner son montant,ou justifier la reventillation HT/TVA.",(IFERROR(VALUE(TRIM(SUBSTITUTE(AZ67,CHAR(160),""))),0))&gt;(IFERROR(VALUE(TRIM(SUBSTITUTE(X67,CHAR(160),""))),0)),"Attention : Le montant TVA retenu est supérieur au montant TVA présenté. Merci de revoir la ligne de dépense,plafonner son montant,ou justifier la reventillation HT/TVA.",(IFERROR(VALUE(TRIM(SUBSTITUTE(Y67,CHAR(160),""))),0))=0,"",(IFERROR(VALUE(TRIM(SUBSTITUTE(BA67,CHAR(160),""))),0))=(IFERROR(VALUE(TRIM(SUBSTITUTE(Y67,CHAR(160),""))),0)),"OK",
OR((IFERROR(VALUE(TRIM(SUBSTITUTE(BA67,CHAR(160),""))),0))=0,(IFERROR(VALUE(TRIM(SUBSTITUTE(AY67,CHAR(160),""))),0))=0),"Attention : montant présenté entièrement écarté",(IFERROR(VALUE(TRIM(SUBSTITUTE(BA67,CHAR(160),""))),0))&lt;(IFERROR(VALUE(TRIM(SUBSTITUTE(Y67,CHAR(160),""))),0)),"Attention : montant présenté partiellement écarté",TRUE,""))</f>
        <v/>
      </c>
      <c r="BE67" s="44" t="str">
        <f t="shared" si="58"/>
        <v/>
      </c>
      <c r="BF67" s="44" t="str">
        <f t="shared" si="59"/>
        <v/>
      </c>
      <c r="BG67" s="21" t="str">
        <f t="shared" si="60"/>
        <v/>
      </c>
    </row>
    <row r="68" spans="1:59" ht="15" customHeight="1">
      <c r="A68" s="70">
        <v>59</v>
      </c>
      <c r="B68" s="784"/>
      <c r="C68" s="7"/>
      <c r="D68" s="11"/>
      <c r="E68" s="11"/>
      <c r="F68" s="7"/>
      <c r="G68" s="7"/>
      <c r="H68" s="7"/>
      <c r="I68" s="7"/>
      <c r="J68" s="17"/>
      <c r="K68" s="7"/>
      <c r="L68" s="132"/>
      <c r="M68" s="138"/>
      <c r="N68" s="8"/>
      <c r="O68" s="35" t="str">
        <f t="shared" si="32"/>
        <v/>
      </c>
      <c r="P68" s="9"/>
      <c r="Q68" s="8"/>
      <c r="R68" s="35" t="str">
        <f t="shared" si="33"/>
        <v/>
      </c>
      <c r="S68" s="10"/>
      <c r="T68" s="8"/>
      <c r="U68" s="139" t="str">
        <f t="shared" si="34"/>
        <v/>
      </c>
      <c r="V68" s="147"/>
      <c r="W68" s="770" t="str" cm="1">
        <f t="array" ref="W68">IF((_xlfn.IFS(TRIM(SUBSTITUTE(V68,CHAR(160),""))="Devis 1",IFERROR(VALUE(TRIM(SUBSTITUTE(M68,CHAR(160),""))),0),TRIM(SUBSTITUTE(V68,CHAR(160),""))="Devis 2",IFERROR(VALUE(TRIM(SUBSTITUTE(P68,CHAR(160),""))),0),TRIM(SUBSTITUTE(V68,CHAR(160),""))="Devis 3",IFERROR(VALUE(TRIM(SUBSTITUTE(S68,CHAR(160),""))),0),TRUE,0)*IFERROR(VALUE(TRIM(SUBSTITUTE(D68,CHAR(160),""))),0))=0,"",_xlfn.IFS(TRIM(SUBSTITUTE(V68,CHAR(160),""))="Devis 1",IFERROR(VALUE(TRIM(SUBSTITUTE(M68,CHAR(160),""))),0),TRIM(SUBSTITUTE(V68,CHAR(160),""))="Devis 2",IFERROR(VALUE(TRIM(SUBSTITUTE(P68,CHAR(160),""))),0),TRIM(SUBSTITUTE(V68,CHAR(160),""))="Devis 3",IFERROR(VALUE(TRIM(SUBSTITUTE(S68,CHAR(160),""))),0),TRUE,0)*IFERROR(VALUE(TRIM(SUBSTITUTE(D68,CHAR(160),""))),0))</f>
        <v/>
      </c>
      <c r="X68" s="73" t="str" cm="1">
        <f t="array" ref="X68">IF(_xlfn.IFS(TRIM(SUBSTITUTE(V68,CHAR(160),""))="Devis 1",IFERROR(VALUE(TRIM(SUBSTITUTE(N68,CHAR(160),""))),0),TRIM(SUBSTITUTE(V68,CHAR(160),""))="Devis 2",IFERROR(VALUE(TRIM(SUBSTITUTE(Q68,CHAR(160),""))),0),TRIM(SUBSTITUTE(V68,CHAR(160),""))="Devis 3",IFERROR(VALUE(TRIM(SUBSTITUTE(T68,CHAR(160),""))),0),TRUE,0)*IFERROR(VALUE(TRIM(SUBSTITUTE(D68,CHAR(160),""))),0)=0,IF(W68&lt;&gt;"",0,""),_xlfn.IFS(TRIM(SUBSTITUTE(V68,CHAR(160),""))="Devis 1",IFERROR(VALUE(TRIM(SUBSTITUTE(N68,CHAR(160),""))),0),TRIM(SUBSTITUTE(V68,CHAR(160),""))="Devis 2",IFERROR(VALUE(TRIM(SUBSTITUTE(Q68,CHAR(160),""))),0),TRIM(SUBSTITUTE(V68,CHAR(160),""))="Devis 3",IFERROR(VALUE(TRIM(SUBSTITUTE(T68,CHAR(160),""))),0),TRUE,0)*IFERROR(VALUE(TRIM(SUBSTITUTE(D68,CHAR(160),""))),0))</f>
        <v/>
      </c>
      <c r="Y68" s="149" t="str">
        <f t="shared" si="35"/>
        <v/>
      </c>
      <c r="Z68" s="150"/>
      <c r="AA68" s="36" t="str">
        <f t="shared" si="36"/>
        <v/>
      </c>
      <c r="AB68" s="37" t="str">
        <f t="shared" si="37"/>
        <v/>
      </c>
      <c r="AC68" s="37" t="str">
        <f t="shared" si="31"/>
        <v/>
      </c>
      <c r="AD68" s="14" t="str">
        <f t="shared" si="38"/>
        <v/>
      </c>
      <c r="AE68" s="14" t="str">
        <f t="shared" si="39"/>
        <v/>
      </c>
      <c r="AF68" s="14" t="str">
        <f t="shared" si="40"/>
        <v/>
      </c>
      <c r="AG68" s="14" t="str">
        <f t="shared" si="41"/>
        <v/>
      </c>
      <c r="AH68" s="38" t="str">
        <f t="shared" si="42"/>
        <v/>
      </c>
      <c r="AI68" s="14" t="str">
        <f t="shared" si="43"/>
        <v/>
      </c>
      <c r="AJ68" s="39" t="str">
        <f t="shared" si="44"/>
        <v/>
      </c>
      <c r="AK68" s="40" t="str">
        <f t="shared" si="45"/>
        <v/>
      </c>
      <c r="AL68" s="20" t="str">
        <f t="shared" si="46"/>
        <v/>
      </c>
      <c r="AM68" s="35" t="str">
        <f t="shared" si="47"/>
        <v/>
      </c>
      <c r="AN68" s="41" t="str">
        <f t="shared" si="48"/>
        <v/>
      </c>
      <c r="AO68" s="20" t="str">
        <f t="shared" si="49"/>
        <v/>
      </c>
      <c r="AP68" s="35" t="str">
        <f t="shared" si="50"/>
        <v/>
      </c>
      <c r="AQ68" s="42" t="str">
        <f t="shared" si="51"/>
        <v/>
      </c>
      <c r="AR68" s="20" t="str">
        <f t="shared" si="52"/>
        <v/>
      </c>
      <c r="AS68" s="43" t="str">
        <f t="shared" si="53"/>
        <v/>
      </c>
      <c r="AT68" s="36" t="str">
        <f t="shared" si="54"/>
        <v/>
      </c>
      <c r="AU68" s="184"/>
      <c r="AV68" s="44" t="str">
        <f t="shared" si="55"/>
        <v/>
      </c>
      <c r="AW68" s="44" t="str">
        <f t="shared" si="56"/>
        <v/>
      </c>
      <c r="AX68" s="44" t="str">
        <f t="shared" si="57"/>
        <v/>
      </c>
      <c r="AY68" s="74" t="str" cm="1">
        <f t="array" ref="AY68">IF($AB68="","",IF((IFERROR(_xlfn.IFS($AT68="Devis 1",(IFERROR(VALUE(TRIM(SUBSTITUTE(AK68,CHAR(160),""))),0)),$AT68="Devis 2",(IFERROR(VALUE(TRIM(SUBSTITUTE(AN68,CHAR(160),""))),0)),$AT68="Devis 3",(IFERROR(VALUE(TRIM(SUBSTITUTE(AQ68,CHAR(160),""))),0))),0))*(IFERROR(VALUE(TRIM(SUBSTITUTE($AB68,CHAR(160),""))),0))=0,"",(IFERROR(_xlfn.IFS($AT68="Devis 1",(IFERROR(VALUE(TRIM(SUBSTITUTE(AK68,CHAR(160),""))),0)),$AT68="Devis 2",(IFERROR(VALUE(TRIM(SUBSTITUTE(AN68,CHAR(160),""))),0)),$AT68="Devis 3",(IFERROR(VALUE(TRIM(SUBSTITUTE(AQ68,CHAR(160),""))),0))),0))*(IFERROR(VALUE(TRIM(SUBSTITUTE($AB68,CHAR(160),""))),0))))</f>
        <v/>
      </c>
      <c r="AZ68" s="74" t="str" cm="1">
        <f t="array" ref="AZ68">IF($AB68="","",IF((IFERROR(_xlfn.IFS(TRIM(SUBSTITUTE($AT68,CHAR(160),""))="Devis 1", IFERROR(VALUE(TRIM(SUBSTITUTE(AL68,CHAR(160),""))),0),TRIM(SUBSTITUTE($AT68,CHAR(160),""))="Devis 2", IFERROR(VALUE(TRIM(SUBSTITUTE(AO68,CHAR(160),""))),0),TRIM(SUBSTITUTE($AT68,CHAR(160),""))="Devis 3", IFERROR(VALUE(TRIM(SUBSTITUTE(AR68,CHAR(160),""))),0)),0) * IFERROR(VALUE(TRIM(SUBSTITUTE($AB68,CHAR(160),""))),0)) = 0,IF(AY68&lt;&gt;"",0,""),(IFERROR(_xlfn.IFS(TRIM(SUBSTITUTE($AT68,CHAR(160),""))="Devis 1", IFERROR(VALUE(TRIM(SUBSTITUTE(AL68,CHAR(160),""))),0),TRIM(SUBSTITUTE($AT68,CHAR(160),""))="Devis 2", IFERROR(VALUE(TRIM(SUBSTITUTE(AO68,CHAR(160),""))),0),TRIM(SUBSTITUTE($AT68,CHAR(160),""))="Devis 3", IFERROR(VALUE(TRIM(SUBSTITUTE(AR68,CHAR(160),""))),0)),0) * IFERROR(VALUE(TRIM(SUBSTITUTE($AB68,CHAR(160),""))),0))))</f>
        <v/>
      </c>
      <c r="BA68" s="74" t="str" cm="1">
        <f t="array" ref="BA68">IF($AB68="","",IF(IFERROR(_xlfn.IFS($AT68="Devis 1",IFERROR(VALUE(TRIM(SUBSTITUTE(AM68,CHAR(160),""))),0),$AT68="Devis 2",IFERROR(VALUE(TRIM(SUBSTITUTE(AP68,CHAR(160),""))),0),$AT68="Devis 3",IFERROR(VALUE(TRIM(SUBSTITUTE(AS68,CHAR(160),""))),0)),0)*IFERROR(VALUE(TRIM(SUBSTITUTE($AB68,CHAR(160),""))),0)=0,"",IFERROR(_xlfn.IFS($AT68="Devis 1",IFERROR(VALUE(TRIM(SUBSTITUTE(AM68,CHAR(160),""))),0),$AT68="Devis 2",IFERROR(VALUE(TRIM(SUBSTITUTE(AP68,CHAR(160),""))),0),$AT68="Devis 3",IFERROR(VALUE(TRIM(SUBSTITUTE(AS68,CHAR(160),""))),0)),0)*IFERROR(VALUE(TRIM(SUBSTITUTE($AB68,CHAR(160),""))),0)))</f>
        <v/>
      </c>
      <c r="BB68" s="45"/>
      <c r="BC68" s="13" t="str" cm="1">
        <f t="array" ref="BC68">IF(OR(BA68="",AX68="",AY68="",AV68="",AZ68="",AW68=""),"",_xlfn.IFS((IFERROR(VALUE(TRIM(SUBSTITUTE(BA68,CHAR(160),""))),0))&gt;(IFERROR(VALUE(TRIM(SUBSTITUTE(AX68,CHAR(160),""))),0)),"KO : Le montant retenu TTC est supérieur au montant raisonnable TTC. Merci de revoir la ligne de dépense ou plafonner son montant.",(IFERROR(VALUE(TRIM(SUBSTITUTE(AY68,CHAR(160),""))),0))&gt;(IFERROR(VALUE(TRIM(SUBSTITUTE(AV68,CHAR(160),""))),0)),"Attention : Le montant retenu HT est supérieur au montant HT raisonnable. Merci de revoir la ligne de dépense, plafonner son montant, ou justifier la reventillation HT / TVA.",(IFERROR(VALUE(TRIM(SUBSTITUTE(AZ68,CHAR(160),""))),0))&gt;(IFERROR(VALUE(TRIM(SUBSTITUTE(AW68,CHAR(160),""))),0)),"Attention : Le montant TVA retenu est supérieur au montant TVA raisonnable. Merci de revoir la ligne de dépense, plafonner son montant, ou justifier la reventillation HT / TVA.",(IFERROR(VALUE(TRIM(SUBSTITUTE(BA68,CHAR(160),""))),0))=0,"",(IFERROR(VALUE(TRIM(SUBSTITUTE(AX68,CHAR(160),""))),0))=(IFERROR(VALUE(TRIM(SUBSTITUTE(BA68,CHAR(160),""))),0)),"OK",(IFERROR(VALUE(TRIM(SUBSTITUTE(AX68,CHAR(160),""))),0))&gt;(IFERROR(VALUE(TRIM(SUBSTITUTE(BA68,CHAR(160),""))),0))," OK : Montant instruit inférieur au montant raisonnable.",TRUE,""))</f>
        <v/>
      </c>
      <c r="BD68" s="187" t="str" cm="1">
        <f t="array" ref="BD68">IF(OR(BA68="",Y68="",AY68="",W68="",AZ68="",X68=""),"",_xlfn.IFS((IFERROR(VALUE(TRIM(SUBSTITUTE(BA68,CHAR(160),""))),0))&gt;(IFERROR(VALUE(TRIM(SUBSTITUTE(Y68,CHAR(160),""))),0)),"KO : Le montant retenu TTC est supérieur au montant présenté TTC. Merci de revoir la ligne de dépense ou plafonner son montant.",(IFERROR(VALUE(TRIM(SUBSTITUTE(AY68,CHAR(160),""))),0))&gt;(IFERROR(VALUE(TRIM(SUBSTITUTE(W68,CHAR(160),""))),0)),"Attention : Le montant retenu HT est supérieur au montant HT présenté. Merci de revoir la ligne de dépense,plafonner son montant,ou justifier la reventillation HT/TVA.",(IFERROR(VALUE(TRIM(SUBSTITUTE(AZ68,CHAR(160),""))),0))&gt;(IFERROR(VALUE(TRIM(SUBSTITUTE(X68,CHAR(160),""))),0)),"Attention : Le montant TVA retenu est supérieur au montant TVA présenté. Merci de revoir la ligne de dépense,plafonner son montant,ou justifier la reventillation HT/TVA.",(IFERROR(VALUE(TRIM(SUBSTITUTE(Y68,CHAR(160),""))),0))=0,"",(IFERROR(VALUE(TRIM(SUBSTITUTE(BA68,CHAR(160),""))),0))=(IFERROR(VALUE(TRIM(SUBSTITUTE(Y68,CHAR(160),""))),0)),"OK",
OR((IFERROR(VALUE(TRIM(SUBSTITUTE(BA68,CHAR(160),""))),0))=0,(IFERROR(VALUE(TRIM(SUBSTITUTE(AY68,CHAR(160),""))),0))=0),"Attention : montant présenté entièrement écarté",(IFERROR(VALUE(TRIM(SUBSTITUTE(BA68,CHAR(160),""))),0))&lt;(IFERROR(VALUE(TRIM(SUBSTITUTE(Y68,CHAR(160),""))),0)),"Attention : montant présenté partiellement écarté",TRUE,""))</f>
        <v/>
      </c>
      <c r="BE68" s="44" t="str">
        <f t="shared" si="58"/>
        <v/>
      </c>
      <c r="BF68" s="44" t="str">
        <f t="shared" si="59"/>
        <v/>
      </c>
      <c r="BG68" s="21" t="str">
        <f t="shared" si="60"/>
        <v/>
      </c>
    </row>
    <row r="69" spans="1:59" ht="15" customHeight="1">
      <c r="A69" s="70">
        <v>60</v>
      </c>
      <c r="B69" s="784"/>
      <c r="C69" s="7"/>
      <c r="D69" s="11"/>
      <c r="E69" s="11"/>
      <c r="F69" s="7"/>
      <c r="G69" s="7"/>
      <c r="H69" s="7"/>
      <c r="I69" s="7"/>
      <c r="J69" s="17"/>
      <c r="K69" s="7"/>
      <c r="L69" s="132"/>
      <c r="M69" s="138"/>
      <c r="N69" s="8"/>
      <c r="O69" s="35" t="str">
        <f t="shared" si="32"/>
        <v/>
      </c>
      <c r="P69" s="9"/>
      <c r="Q69" s="8"/>
      <c r="R69" s="35" t="str">
        <f t="shared" si="33"/>
        <v/>
      </c>
      <c r="S69" s="10"/>
      <c r="T69" s="8"/>
      <c r="U69" s="139" t="str">
        <f t="shared" si="34"/>
        <v/>
      </c>
      <c r="V69" s="147"/>
      <c r="W69" s="770" t="str" cm="1">
        <f t="array" ref="W69">IF((_xlfn.IFS(TRIM(SUBSTITUTE(V69,CHAR(160),""))="Devis 1",IFERROR(VALUE(TRIM(SUBSTITUTE(M69,CHAR(160),""))),0),TRIM(SUBSTITUTE(V69,CHAR(160),""))="Devis 2",IFERROR(VALUE(TRIM(SUBSTITUTE(P69,CHAR(160),""))),0),TRIM(SUBSTITUTE(V69,CHAR(160),""))="Devis 3",IFERROR(VALUE(TRIM(SUBSTITUTE(S69,CHAR(160),""))),0),TRUE,0)*IFERROR(VALUE(TRIM(SUBSTITUTE(D69,CHAR(160),""))),0))=0,"",_xlfn.IFS(TRIM(SUBSTITUTE(V69,CHAR(160),""))="Devis 1",IFERROR(VALUE(TRIM(SUBSTITUTE(M69,CHAR(160),""))),0),TRIM(SUBSTITUTE(V69,CHAR(160),""))="Devis 2",IFERROR(VALUE(TRIM(SUBSTITUTE(P69,CHAR(160),""))),0),TRIM(SUBSTITUTE(V69,CHAR(160),""))="Devis 3",IFERROR(VALUE(TRIM(SUBSTITUTE(S69,CHAR(160),""))),0),TRUE,0)*IFERROR(VALUE(TRIM(SUBSTITUTE(D69,CHAR(160),""))),0))</f>
        <v/>
      </c>
      <c r="X69" s="73" t="str" cm="1">
        <f t="array" ref="X69">IF(_xlfn.IFS(TRIM(SUBSTITUTE(V69,CHAR(160),""))="Devis 1",IFERROR(VALUE(TRIM(SUBSTITUTE(N69,CHAR(160),""))),0),TRIM(SUBSTITUTE(V69,CHAR(160),""))="Devis 2",IFERROR(VALUE(TRIM(SUBSTITUTE(Q69,CHAR(160),""))),0),TRIM(SUBSTITUTE(V69,CHAR(160),""))="Devis 3",IFERROR(VALUE(TRIM(SUBSTITUTE(T69,CHAR(160),""))),0),TRUE,0)*IFERROR(VALUE(TRIM(SUBSTITUTE(D69,CHAR(160),""))),0)=0,IF(W69&lt;&gt;"",0,""),_xlfn.IFS(TRIM(SUBSTITUTE(V69,CHAR(160),""))="Devis 1",IFERROR(VALUE(TRIM(SUBSTITUTE(N69,CHAR(160),""))),0),TRIM(SUBSTITUTE(V69,CHAR(160),""))="Devis 2",IFERROR(VALUE(TRIM(SUBSTITUTE(Q69,CHAR(160),""))),0),TRIM(SUBSTITUTE(V69,CHAR(160),""))="Devis 3",IFERROR(VALUE(TRIM(SUBSTITUTE(T69,CHAR(160),""))),0),TRUE,0)*IFERROR(VALUE(TRIM(SUBSTITUTE(D69,CHAR(160),""))),0))</f>
        <v/>
      </c>
      <c r="Y69" s="149" t="str">
        <f t="shared" si="35"/>
        <v/>
      </c>
      <c r="Z69" s="150"/>
      <c r="AA69" s="36" t="str">
        <f t="shared" si="36"/>
        <v/>
      </c>
      <c r="AB69" s="37" t="str">
        <f t="shared" si="37"/>
        <v/>
      </c>
      <c r="AC69" s="37" t="str">
        <f t="shared" si="31"/>
        <v/>
      </c>
      <c r="AD69" s="14" t="str">
        <f t="shared" si="38"/>
        <v/>
      </c>
      <c r="AE69" s="14" t="str">
        <f t="shared" si="39"/>
        <v/>
      </c>
      <c r="AF69" s="14" t="str">
        <f t="shared" si="40"/>
        <v/>
      </c>
      <c r="AG69" s="14" t="str">
        <f t="shared" si="41"/>
        <v/>
      </c>
      <c r="AH69" s="38" t="str">
        <f t="shared" si="42"/>
        <v/>
      </c>
      <c r="AI69" s="14" t="str">
        <f t="shared" si="43"/>
        <v/>
      </c>
      <c r="AJ69" s="39" t="str">
        <f t="shared" si="44"/>
        <v/>
      </c>
      <c r="AK69" s="40" t="str">
        <f t="shared" si="45"/>
        <v/>
      </c>
      <c r="AL69" s="20" t="str">
        <f t="shared" si="46"/>
        <v/>
      </c>
      <c r="AM69" s="35" t="str">
        <f t="shared" si="47"/>
        <v/>
      </c>
      <c r="AN69" s="41" t="str">
        <f t="shared" si="48"/>
        <v/>
      </c>
      <c r="AO69" s="20" t="str">
        <f t="shared" si="49"/>
        <v/>
      </c>
      <c r="AP69" s="35" t="str">
        <f t="shared" si="50"/>
        <v/>
      </c>
      <c r="AQ69" s="42" t="str">
        <f t="shared" si="51"/>
        <v/>
      </c>
      <c r="AR69" s="20" t="str">
        <f t="shared" si="52"/>
        <v/>
      </c>
      <c r="AS69" s="43" t="str">
        <f t="shared" si="53"/>
        <v/>
      </c>
      <c r="AT69" s="36" t="str">
        <f t="shared" si="54"/>
        <v/>
      </c>
      <c r="AU69" s="184"/>
      <c r="AV69" s="44" t="str">
        <f t="shared" si="55"/>
        <v/>
      </c>
      <c r="AW69" s="44" t="str">
        <f t="shared" si="56"/>
        <v/>
      </c>
      <c r="AX69" s="44" t="str">
        <f t="shared" si="57"/>
        <v/>
      </c>
      <c r="AY69" s="74" t="str" cm="1">
        <f t="array" ref="AY69">IF($AB69="","",IF((IFERROR(_xlfn.IFS($AT69="Devis 1",(IFERROR(VALUE(TRIM(SUBSTITUTE(AK69,CHAR(160),""))),0)),$AT69="Devis 2",(IFERROR(VALUE(TRIM(SUBSTITUTE(AN69,CHAR(160),""))),0)),$AT69="Devis 3",(IFERROR(VALUE(TRIM(SUBSTITUTE(AQ69,CHAR(160),""))),0))),0))*(IFERROR(VALUE(TRIM(SUBSTITUTE($AB69,CHAR(160),""))),0))=0,"",(IFERROR(_xlfn.IFS($AT69="Devis 1",(IFERROR(VALUE(TRIM(SUBSTITUTE(AK69,CHAR(160),""))),0)),$AT69="Devis 2",(IFERROR(VALUE(TRIM(SUBSTITUTE(AN69,CHAR(160),""))),0)),$AT69="Devis 3",(IFERROR(VALUE(TRIM(SUBSTITUTE(AQ69,CHAR(160),""))),0))),0))*(IFERROR(VALUE(TRIM(SUBSTITUTE($AB69,CHAR(160),""))),0))))</f>
        <v/>
      </c>
      <c r="AZ69" s="74" t="str" cm="1">
        <f t="array" ref="AZ69">IF($AB69="","",IF((IFERROR(_xlfn.IFS(TRIM(SUBSTITUTE($AT69,CHAR(160),""))="Devis 1", IFERROR(VALUE(TRIM(SUBSTITUTE(AL69,CHAR(160),""))),0),TRIM(SUBSTITUTE($AT69,CHAR(160),""))="Devis 2", IFERROR(VALUE(TRIM(SUBSTITUTE(AO69,CHAR(160),""))),0),TRIM(SUBSTITUTE($AT69,CHAR(160),""))="Devis 3", IFERROR(VALUE(TRIM(SUBSTITUTE(AR69,CHAR(160),""))),0)),0) * IFERROR(VALUE(TRIM(SUBSTITUTE($AB69,CHAR(160),""))),0)) = 0,IF(AY69&lt;&gt;"",0,""),(IFERROR(_xlfn.IFS(TRIM(SUBSTITUTE($AT69,CHAR(160),""))="Devis 1", IFERROR(VALUE(TRIM(SUBSTITUTE(AL69,CHAR(160),""))),0),TRIM(SUBSTITUTE($AT69,CHAR(160),""))="Devis 2", IFERROR(VALUE(TRIM(SUBSTITUTE(AO69,CHAR(160),""))),0),TRIM(SUBSTITUTE($AT69,CHAR(160),""))="Devis 3", IFERROR(VALUE(TRIM(SUBSTITUTE(AR69,CHAR(160),""))),0)),0) * IFERROR(VALUE(TRIM(SUBSTITUTE($AB69,CHAR(160),""))),0))))</f>
        <v/>
      </c>
      <c r="BA69" s="74" t="str" cm="1">
        <f t="array" ref="BA69">IF($AB69="","",IF(IFERROR(_xlfn.IFS($AT69="Devis 1",IFERROR(VALUE(TRIM(SUBSTITUTE(AM69,CHAR(160),""))),0),$AT69="Devis 2",IFERROR(VALUE(TRIM(SUBSTITUTE(AP69,CHAR(160),""))),0),$AT69="Devis 3",IFERROR(VALUE(TRIM(SUBSTITUTE(AS69,CHAR(160),""))),0)),0)*IFERROR(VALUE(TRIM(SUBSTITUTE($AB69,CHAR(160),""))),0)=0,"",IFERROR(_xlfn.IFS($AT69="Devis 1",IFERROR(VALUE(TRIM(SUBSTITUTE(AM69,CHAR(160),""))),0),$AT69="Devis 2",IFERROR(VALUE(TRIM(SUBSTITUTE(AP69,CHAR(160),""))),0),$AT69="Devis 3",IFERROR(VALUE(TRIM(SUBSTITUTE(AS69,CHAR(160),""))),0)),0)*IFERROR(VALUE(TRIM(SUBSTITUTE($AB69,CHAR(160),""))),0)))</f>
        <v/>
      </c>
      <c r="BB69" s="45"/>
      <c r="BC69" s="13" t="str" cm="1">
        <f t="array" ref="BC69">IF(OR(BA69="",AX69="",AY69="",AV69="",AZ69="",AW69=""),"",_xlfn.IFS((IFERROR(VALUE(TRIM(SUBSTITUTE(BA69,CHAR(160),""))),0))&gt;(IFERROR(VALUE(TRIM(SUBSTITUTE(AX69,CHAR(160),""))),0)),"KO : Le montant retenu TTC est supérieur au montant raisonnable TTC. Merci de revoir la ligne de dépense ou plafonner son montant.",(IFERROR(VALUE(TRIM(SUBSTITUTE(AY69,CHAR(160),""))),0))&gt;(IFERROR(VALUE(TRIM(SUBSTITUTE(AV69,CHAR(160),""))),0)),"Attention : Le montant retenu HT est supérieur au montant HT raisonnable. Merci de revoir la ligne de dépense, plafonner son montant, ou justifier la reventillation HT / TVA.",(IFERROR(VALUE(TRIM(SUBSTITUTE(AZ69,CHAR(160),""))),0))&gt;(IFERROR(VALUE(TRIM(SUBSTITUTE(AW69,CHAR(160),""))),0)),"Attention : Le montant TVA retenu est supérieur au montant TVA raisonnable. Merci de revoir la ligne de dépense, plafonner son montant, ou justifier la reventillation HT / TVA.",(IFERROR(VALUE(TRIM(SUBSTITUTE(BA69,CHAR(160),""))),0))=0,"",(IFERROR(VALUE(TRIM(SUBSTITUTE(AX69,CHAR(160),""))),0))=(IFERROR(VALUE(TRIM(SUBSTITUTE(BA69,CHAR(160),""))),0)),"OK",(IFERROR(VALUE(TRIM(SUBSTITUTE(AX69,CHAR(160),""))),0))&gt;(IFERROR(VALUE(TRIM(SUBSTITUTE(BA69,CHAR(160),""))),0))," OK : Montant instruit inférieur au montant raisonnable.",TRUE,""))</f>
        <v/>
      </c>
      <c r="BD69" s="187" t="str" cm="1">
        <f t="array" ref="BD69">IF(OR(BA69="",Y69="",AY69="",W69="",AZ69="",X69=""),"",_xlfn.IFS((IFERROR(VALUE(TRIM(SUBSTITUTE(BA69,CHAR(160),""))),0))&gt;(IFERROR(VALUE(TRIM(SUBSTITUTE(Y69,CHAR(160),""))),0)),"KO : Le montant retenu TTC est supérieur au montant présenté TTC. Merci de revoir la ligne de dépense ou plafonner son montant.",(IFERROR(VALUE(TRIM(SUBSTITUTE(AY69,CHAR(160),""))),0))&gt;(IFERROR(VALUE(TRIM(SUBSTITUTE(W69,CHAR(160),""))),0)),"Attention : Le montant retenu HT est supérieur au montant HT présenté. Merci de revoir la ligne de dépense,plafonner son montant,ou justifier la reventillation HT/TVA.",(IFERROR(VALUE(TRIM(SUBSTITUTE(AZ69,CHAR(160),""))),0))&gt;(IFERROR(VALUE(TRIM(SUBSTITUTE(X69,CHAR(160),""))),0)),"Attention : Le montant TVA retenu est supérieur au montant TVA présenté. Merci de revoir la ligne de dépense,plafonner son montant,ou justifier la reventillation HT/TVA.",(IFERROR(VALUE(TRIM(SUBSTITUTE(Y69,CHAR(160),""))),0))=0,"",(IFERROR(VALUE(TRIM(SUBSTITUTE(BA69,CHAR(160),""))),0))=(IFERROR(VALUE(TRIM(SUBSTITUTE(Y69,CHAR(160),""))),0)),"OK",
OR((IFERROR(VALUE(TRIM(SUBSTITUTE(BA69,CHAR(160),""))),0))=0,(IFERROR(VALUE(TRIM(SUBSTITUTE(AY69,CHAR(160),""))),0))=0),"Attention : montant présenté entièrement écarté",(IFERROR(VALUE(TRIM(SUBSTITUTE(BA69,CHAR(160),""))),0))&lt;(IFERROR(VALUE(TRIM(SUBSTITUTE(Y69,CHAR(160),""))),0)),"Attention : montant présenté partiellement écarté",TRUE,""))</f>
        <v/>
      </c>
      <c r="BE69" s="44" t="str">
        <f t="shared" si="58"/>
        <v/>
      </c>
      <c r="BF69" s="44" t="str">
        <f t="shared" si="59"/>
        <v/>
      </c>
      <c r="BG69" s="21" t="str">
        <f t="shared" si="60"/>
        <v/>
      </c>
    </row>
    <row r="70" spans="1:59" ht="15" customHeight="1">
      <c r="A70" s="70">
        <v>61</v>
      </c>
      <c r="B70" s="784"/>
      <c r="C70" s="7"/>
      <c r="D70" s="11"/>
      <c r="E70" s="11"/>
      <c r="F70" s="7"/>
      <c r="G70" s="7"/>
      <c r="H70" s="7"/>
      <c r="I70" s="7"/>
      <c r="J70" s="17"/>
      <c r="K70" s="7"/>
      <c r="L70" s="132"/>
      <c r="M70" s="138"/>
      <c r="N70" s="8"/>
      <c r="O70" s="35" t="str">
        <f t="shared" si="32"/>
        <v/>
      </c>
      <c r="P70" s="9"/>
      <c r="Q70" s="8"/>
      <c r="R70" s="35" t="str">
        <f t="shared" si="33"/>
        <v/>
      </c>
      <c r="S70" s="10"/>
      <c r="T70" s="8"/>
      <c r="U70" s="139" t="str">
        <f t="shared" si="34"/>
        <v/>
      </c>
      <c r="V70" s="147"/>
      <c r="W70" s="770" t="str" cm="1">
        <f t="array" ref="W70">IF((_xlfn.IFS(TRIM(SUBSTITUTE(V70,CHAR(160),""))="Devis 1",IFERROR(VALUE(TRIM(SUBSTITUTE(M70,CHAR(160),""))),0),TRIM(SUBSTITUTE(V70,CHAR(160),""))="Devis 2",IFERROR(VALUE(TRIM(SUBSTITUTE(P70,CHAR(160),""))),0),TRIM(SUBSTITUTE(V70,CHAR(160),""))="Devis 3",IFERROR(VALUE(TRIM(SUBSTITUTE(S70,CHAR(160),""))),0),TRUE,0)*IFERROR(VALUE(TRIM(SUBSTITUTE(D70,CHAR(160),""))),0))=0,"",_xlfn.IFS(TRIM(SUBSTITUTE(V70,CHAR(160),""))="Devis 1",IFERROR(VALUE(TRIM(SUBSTITUTE(M70,CHAR(160),""))),0),TRIM(SUBSTITUTE(V70,CHAR(160),""))="Devis 2",IFERROR(VALUE(TRIM(SUBSTITUTE(P70,CHAR(160),""))),0),TRIM(SUBSTITUTE(V70,CHAR(160),""))="Devis 3",IFERROR(VALUE(TRIM(SUBSTITUTE(S70,CHAR(160),""))),0),TRUE,0)*IFERROR(VALUE(TRIM(SUBSTITUTE(D70,CHAR(160),""))),0))</f>
        <v/>
      </c>
      <c r="X70" s="73" t="str" cm="1">
        <f t="array" ref="X70">IF(_xlfn.IFS(TRIM(SUBSTITUTE(V70,CHAR(160),""))="Devis 1",IFERROR(VALUE(TRIM(SUBSTITUTE(N70,CHAR(160),""))),0),TRIM(SUBSTITUTE(V70,CHAR(160),""))="Devis 2",IFERROR(VALUE(TRIM(SUBSTITUTE(Q70,CHAR(160),""))),0),TRIM(SUBSTITUTE(V70,CHAR(160),""))="Devis 3",IFERROR(VALUE(TRIM(SUBSTITUTE(T70,CHAR(160),""))),0),TRUE,0)*IFERROR(VALUE(TRIM(SUBSTITUTE(D70,CHAR(160),""))),0)=0,IF(W70&lt;&gt;"",0,""),_xlfn.IFS(TRIM(SUBSTITUTE(V70,CHAR(160),""))="Devis 1",IFERROR(VALUE(TRIM(SUBSTITUTE(N70,CHAR(160),""))),0),TRIM(SUBSTITUTE(V70,CHAR(160),""))="Devis 2",IFERROR(VALUE(TRIM(SUBSTITUTE(Q70,CHAR(160),""))),0),TRIM(SUBSTITUTE(V70,CHAR(160),""))="Devis 3",IFERROR(VALUE(TRIM(SUBSTITUTE(T70,CHAR(160),""))),0),TRUE,0)*IFERROR(VALUE(TRIM(SUBSTITUTE(D70,CHAR(160),""))),0))</f>
        <v/>
      </c>
      <c r="Y70" s="149" t="str">
        <f t="shared" si="35"/>
        <v/>
      </c>
      <c r="Z70" s="150"/>
      <c r="AA70" s="36" t="str">
        <f t="shared" si="36"/>
        <v/>
      </c>
      <c r="AB70" s="37" t="str">
        <f t="shared" si="37"/>
        <v/>
      </c>
      <c r="AC70" s="37" t="str">
        <f t="shared" si="31"/>
        <v/>
      </c>
      <c r="AD70" s="14" t="str">
        <f t="shared" si="38"/>
        <v/>
      </c>
      <c r="AE70" s="14" t="str">
        <f t="shared" si="39"/>
        <v/>
      </c>
      <c r="AF70" s="14" t="str">
        <f t="shared" si="40"/>
        <v/>
      </c>
      <c r="AG70" s="14" t="str">
        <f t="shared" si="41"/>
        <v/>
      </c>
      <c r="AH70" s="38" t="str">
        <f t="shared" si="42"/>
        <v/>
      </c>
      <c r="AI70" s="14" t="str">
        <f t="shared" si="43"/>
        <v/>
      </c>
      <c r="AJ70" s="39" t="str">
        <f t="shared" si="44"/>
        <v/>
      </c>
      <c r="AK70" s="40" t="str">
        <f t="shared" si="45"/>
        <v/>
      </c>
      <c r="AL70" s="20" t="str">
        <f t="shared" si="46"/>
        <v/>
      </c>
      <c r="AM70" s="35" t="str">
        <f t="shared" si="47"/>
        <v/>
      </c>
      <c r="AN70" s="41" t="str">
        <f t="shared" si="48"/>
        <v/>
      </c>
      <c r="AO70" s="20" t="str">
        <f t="shared" si="49"/>
        <v/>
      </c>
      <c r="AP70" s="35" t="str">
        <f t="shared" si="50"/>
        <v/>
      </c>
      <c r="AQ70" s="42" t="str">
        <f t="shared" si="51"/>
        <v/>
      </c>
      <c r="AR70" s="20" t="str">
        <f t="shared" si="52"/>
        <v/>
      </c>
      <c r="AS70" s="43" t="str">
        <f t="shared" si="53"/>
        <v/>
      </c>
      <c r="AT70" s="36" t="str">
        <f t="shared" si="54"/>
        <v/>
      </c>
      <c r="AU70" s="184"/>
      <c r="AV70" s="44" t="str">
        <f t="shared" si="55"/>
        <v/>
      </c>
      <c r="AW70" s="44" t="str">
        <f t="shared" si="56"/>
        <v/>
      </c>
      <c r="AX70" s="44" t="str">
        <f t="shared" si="57"/>
        <v/>
      </c>
      <c r="AY70" s="74" t="str" cm="1">
        <f t="array" ref="AY70">IF($AB70="","",IF((IFERROR(_xlfn.IFS($AT70="Devis 1",(IFERROR(VALUE(TRIM(SUBSTITUTE(AK70,CHAR(160),""))),0)),$AT70="Devis 2",(IFERROR(VALUE(TRIM(SUBSTITUTE(AN70,CHAR(160),""))),0)),$AT70="Devis 3",(IFERROR(VALUE(TRIM(SUBSTITUTE(AQ70,CHAR(160),""))),0))),0))*(IFERROR(VALUE(TRIM(SUBSTITUTE($AB70,CHAR(160),""))),0))=0,"",(IFERROR(_xlfn.IFS($AT70="Devis 1",(IFERROR(VALUE(TRIM(SUBSTITUTE(AK70,CHAR(160),""))),0)),$AT70="Devis 2",(IFERROR(VALUE(TRIM(SUBSTITUTE(AN70,CHAR(160),""))),0)),$AT70="Devis 3",(IFERROR(VALUE(TRIM(SUBSTITUTE(AQ70,CHAR(160),""))),0))),0))*(IFERROR(VALUE(TRIM(SUBSTITUTE($AB70,CHAR(160),""))),0))))</f>
        <v/>
      </c>
      <c r="AZ70" s="74" t="str" cm="1">
        <f t="array" ref="AZ70">IF($AB70="","",IF((IFERROR(_xlfn.IFS(TRIM(SUBSTITUTE($AT70,CHAR(160),""))="Devis 1", IFERROR(VALUE(TRIM(SUBSTITUTE(AL70,CHAR(160),""))),0),TRIM(SUBSTITUTE($AT70,CHAR(160),""))="Devis 2", IFERROR(VALUE(TRIM(SUBSTITUTE(AO70,CHAR(160),""))),0),TRIM(SUBSTITUTE($AT70,CHAR(160),""))="Devis 3", IFERROR(VALUE(TRIM(SUBSTITUTE(AR70,CHAR(160),""))),0)),0) * IFERROR(VALUE(TRIM(SUBSTITUTE($AB70,CHAR(160),""))),0)) = 0,IF(AY70&lt;&gt;"",0,""),(IFERROR(_xlfn.IFS(TRIM(SUBSTITUTE($AT70,CHAR(160),""))="Devis 1", IFERROR(VALUE(TRIM(SUBSTITUTE(AL70,CHAR(160),""))),0),TRIM(SUBSTITUTE($AT70,CHAR(160),""))="Devis 2", IFERROR(VALUE(TRIM(SUBSTITUTE(AO70,CHAR(160),""))),0),TRIM(SUBSTITUTE($AT70,CHAR(160),""))="Devis 3", IFERROR(VALUE(TRIM(SUBSTITUTE(AR70,CHAR(160),""))),0)),0) * IFERROR(VALUE(TRIM(SUBSTITUTE($AB70,CHAR(160),""))),0))))</f>
        <v/>
      </c>
      <c r="BA70" s="74" t="str" cm="1">
        <f t="array" ref="BA70">IF($AB70="","",IF(IFERROR(_xlfn.IFS($AT70="Devis 1",IFERROR(VALUE(TRIM(SUBSTITUTE(AM70,CHAR(160),""))),0),$AT70="Devis 2",IFERROR(VALUE(TRIM(SUBSTITUTE(AP70,CHAR(160),""))),0),$AT70="Devis 3",IFERROR(VALUE(TRIM(SUBSTITUTE(AS70,CHAR(160),""))),0)),0)*IFERROR(VALUE(TRIM(SUBSTITUTE($AB70,CHAR(160),""))),0)=0,"",IFERROR(_xlfn.IFS($AT70="Devis 1",IFERROR(VALUE(TRIM(SUBSTITUTE(AM70,CHAR(160),""))),0),$AT70="Devis 2",IFERROR(VALUE(TRIM(SUBSTITUTE(AP70,CHAR(160),""))),0),$AT70="Devis 3",IFERROR(VALUE(TRIM(SUBSTITUTE(AS70,CHAR(160),""))),0)),0)*IFERROR(VALUE(TRIM(SUBSTITUTE($AB70,CHAR(160),""))),0)))</f>
        <v/>
      </c>
      <c r="BB70" s="45"/>
      <c r="BC70" s="13" t="str" cm="1">
        <f t="array" ref="BC70">IF(OR(BA70="",AX70="",AY70="",AV70="",AZ70="",AW70=""),"",_xlfn.IFS((IFERROR(VALUE(TRIM(SUBSTITUTE(BA70,CHAR(160),""))),0))&gt;(IFERROR(VALUE(TRIM(SUBSTITUTE(AX70,CHAR(160),""))),0)),"KO : Le montant retenu TTC est supérieur au montant raisonnable TTC. Merci de revoir la ligne de dépense ou plafonner son montant.",(IFERROR(VALUE(TRIM(SUBSTITUTE(AY70,CHAR(160),""))),0))&gt;(IFERROR(VALUE(TRIM(SUBSTITUTE(AV70,CHAR(160),""))),0)),"Attention : Le montant retenu HT est supérieur au montant HT raisonnable. Merci de revoir la ligne de dépense, plafonner son montant, ou justifier la reventillation HT / TVA.",(IFERROR(VALUE(TRIM(SUBSTITUTE(AZ70,CHAR(160),""))),0))&gt;(IFERROR(VALUE(TRIM(SUBSTITUTE(AW70,CHAR(160),""))),0)),"Attention : Le montant TVA retenu est supérieur au montant TVA raisonnable. Merci de revoir la ligne de dépense, plafonner son montant, ou justifier la reventillation HT / TVA.",(IFERROR(VALUE(TRIM(SUBSTITUTE(BA70,CHAR(160),""))),0))=0,"",(IFERROR(VALUE(TRIM(SUBSTITUTE(AX70,CHAR(160),""))),0))=(IFERROR(VALUE(TRIM(SUBSTITUTE(BA70,CHAR(160),""))),0)),"OK",(IFERROR(VALUE(TRIM(SUBSTITUTE(AX70,CHAR(160),""))),0))&gt;(IFERROR(VALUE(TRIM(SUBSTITUTE(BA70,CHAR(160),""))),0))," OK : Montant instruit inférieur au montant raisonnable.",TRUE,""))</f>
        <v/>
      </c>
      <c r="BD70" s="187" t="str" cm="1">
        <f t="array" ref="BD70">IF(OR(BA70="",Y70="",AY70="",W70="",AZ70="",X70=""),"",_xlfn.IFS((IFERROR(VALUE(TRIM(SUBSTITUTE(BA70,CHAR(160),""))),0))&gt;(IFERROR(VALUE(TRIM(SUBSTITUTE(Y70,CHAR(160),""))),0)),"KO : Le montant retenu TTC est supérieur au montant présenté TTC. Merci de revoir la ligne de dépense ou plafonner son montant.",(IFERROR(VALUE(TRIM(SUBSTITUTE(AY70,CHAR(160),""))),0))&gt;(IFERROR(VALUE(TRIM(SUBSTITUTE(W70,CHAR(160),""))),0)),"Attention : Le montant retenu HT est supérieur au montant HT présenté. Merci de revoir la ligne de dépense,plafonner son montant,ou justifier la reventillation HT/TVA.",(IFERROR(VALUE(TRIM(SUBSTITUTE(AZ70,CHAR(160),""))),0))&gt;(IFERROR(VALUE(TRIM(SUBSTITUTE(X70,CHAR(160),""))),0)),"Attention : Le montant TVA retenu est supérieur au montant TVA présenté. Merci de revoir la ligne de dépense,plafonner son montant,ou justifier la reventillation HT/TVA.",(IFERROR(VALUE(TRIM(SUBSTITUTE(Y70,CHAR(160),""))),0))=0,"",(IFERROR(VALUE(TRIM(SUBSTITUTE(BA70,CHAR(160),""))),0))=(IFERROR(VALUE(TRIM(SUBSTITUTE(Y70,CHAR(160),""))),0)),"OK",
OR((IFERROR(VALUE(TRIM(SUBSTITUTE(BA70,CHAR(160),""))),0))=0,(IFERROR(VALUE(TRIM(SUBSTITUTE(AY70,CHAR(160),""))),0))=0),"Attention : montant présenté entièrement écarté",(IFERROR(VALUE(TRIM(SUBSTITUTE(BA70,CHAR(160),""))),0))&lt;(IFERROR(VALUE(TRIM(SUBSTITUTE(Y70,CHAR(160),""))),0)),"Attention : montant présenté partiellement écarté",TRUE,""))</f>
        <v/>
      </c>
      <c r="BE70" s="44" t="str">
        <f t="shared" si="58"/>
        <v/>
      </c>
      <c r="BF70" s="44" t="str">
        <f t="shared" si="59"/>
        <v/>
      </c>
      <c r="BG70" s="21" t="str">
        <f t="shared" si="60"/>
        <v/>
      </c>
    </row>
    <row r="71" spans="1:59" ht="15" customHeight="1">
      <c r="A71" s="70">
        <v>62</v>
      </c>
      <c r="B71" s="784"/>
      <c r="C71" s="7"/>
      <c r="D71" s="11"/>
      <c r="E71" s="11"/>
      <c r="F71" s="7"/>
      <c r="G71" s="7"/>
      <c r="H71" s="7"/>
      <c r="I71" s="7"/>
      <c r="J71" s="17"/>
      <c r="K71" s="7"/>
      <c r="L71" s="132"/>
      <c r="M71" s="138"/>
      <c r="N71" s="8"/>
      <c r="O71" s="35" t="str">
        <f t="shared" si="32"/>
        <v/>
      </c>
      <c r="P71" s="9"/>
      <c r="Q71" s="8"/>
      <c r="R71" s="35" t="str">
        <f t="shared" si="33"/>
        <v/>
      </c>
      <c r="S71" s="10"/>
      <c r="T71" s="8"/>
      <c r="U71" s="139" t="str">
        <f t="shared" si="34"/>
        <v/>
      </c>
      <c r="V71" s="147"/>
      <c r="W71" s="770" t="str" cm="1">
        <f t="array" ref="W71">IF((_xlfn.IFS(TRIM(SUBSTITUTE(V71,CHAR(160),""))="Devis 1",IFERROR(VALUE(TRIM(SUBSTITUTE(M71,CHAR(160),""))),0),TRIM(SUBSTITUTE(V71,CHAR(160),""))="Devis 2",IFERROR(VALUE(TRIM(SUBSTITUTE(P71,CHAR(160),""))),0),TRIM(SUBSTITUTE(V71,CHAR(160),""))="Devis 3",IFERROR(VALUE(TRIM(SUBSTITUTE(S71,CHAR(160),""))),0),TRUE,0)*IFERROR(VALUE(TRIM(SUBSTITUTE(D71,CHAR(160),""))),0))=0,"",_xlfn.IFS(TRIM(SUBSTITUTE(V71,CHAR(160),""))="Devis 1",IFERROR(VALUE(TRIM(SUBSTITUTE(M71,CHAR(160),""))),0),TRIM(SUBSTITUTE(V71,CHAR(160),""))="Devis 2",IFERROR(VALUE(TRIM(SUBSTITUTE(P71,CHAR(160),""))),0),TRIM(SUBSTITUTE(V71,CHAR(160),""))="Devis 3",IFERROR(VALUE(TRIM(SUBSTITUTE(S71,CHAR(160),""))),0),TRUE,0)*IFERROR(VALUE(TRIM(SUBSTITUTE(D71,CHAR(160),""))),0))</f>
        <v/>
      </c>
      <c r="X71" s="73" t="str" cm="1">
        <f t="array" ref="X71">IF(_xlfn.IFS(TRIM(SUBSTITUTE(V71,CHAR(160),""))="Devis 1",IFERROR(VALUE(TRIM(SUBSTITUTE(N71,CHAR(160),""))),0),TRIM(SUBSTITUTE(V71,CHAR(160),""))="Devis 2",IFERROR(VALUE(TRIM(SUBSTITUTE(Q71,CHAR(160),""))),0),TRIM(SUBSTITUTE(V71,CHAR(160),""))="Devis 3",IFERROR(VALUE(TRIM(SUBSTITUTE(T71,CHAR(160),""))),0),TRUE,0)*IFERROR(VALUE(TRIM(SUBSTITUTE(D71,CHAR(160),""))),0)=0,IF(W71&lt;&gt;"",0,""),_xlfn.IFS(TRIM(SUBSTITUTE(V71,CHAR(160),""))="Devis 1",IFERROR(VALUE(TRIM(SUBSTITUTE(N71,CHAR(160),""))),0),TRIM(SUBSTITUTE(V71,CHAR(160),""))="Devis 2",IFERROR(VALUE(TRIM(SUBSTITUTE(Q71,CHAR(160),""))),0),TRIM(SUBSTITUTE(V71,CHAR(160),""))="Devis 3",IFERROR(VALUE(TRIM(SUBSTITUTE(T71,CHAR(160),""))),0),TRUE,0)*IFERROR(VALUE(TRIM(SUBSTITUTE(D71,CHAR(160),""))),0))</f>
        <v/>
      </c>
      <c r="Y71" s="149" t="str">
        <f t="shared" si="35"/>
        <v/>
      </c>
      <c r="Z71" s="150"/>
      <c r="AA71" s="36" t="str">
        <f t="shared" si="36"/>
        <v/>
      </c>
      <c r="AB71" s="37" t="str">
        <f t="shared" si="37"/>
        <v/>
      </c>
      <c r="AC71" s="37" t="str">
        <f t="shared" si="31"/>
        <v/>
      </c>
      <c r="AD71" s="14" t="str">
        <f t="shared" si="38"/>
        <v/>
      </c>
      <c r="AE71" s="14" t="str">
        <f t="shared" si="39"/>
        <v/>
      </c>
      <c r="AF71" s="14" t="str">
        <f t="shared" si="40"/>
        <v/>
      </c>
      <c r="AG71" s="14" t="str">
        <f t="shared" si="41"/>
        <v/>
      </c>
      <c r="AH71" s="38" t="str">
        <f t="shared" si="42"/>
        <v/>
      </c>
      <c r="AI71" s="14" t="str">
        <f t="shared" si="43"/>
        <v/>
      </c>
      <c r="AJ71" s="39" t="str">
        <f t="shared" si="44"/>
        <v/>
      </c>
      <c r="AK71" s="40" t="str">
        <f t="shared" si="45"/>
        <v/>
      </c>
      <c r="AL71" s="20" t="str">
        <f t="shared" si="46"/>
        <v/>
      </c>
      <c r="AM71" s="35" t="str">
        <f t="shared" si="47"/>
        <v/>
      </c>
      <c r="AN71" s="41" t="str">
        <f t="shared" si="48"/>
        <v/>
      </c>
      <c r="AO71" s="20" t="str">
        <f t="shared" si="49"/>
        <v/>
      </c>
      <c r="AP71" s="35" t="str">
        <f t="shared" si="50"/>
        <v/>
      </c>
      <c r="AQ71" s="42" t="str">
        <f t="shared" si="51"/>
        <v/>
      </c>
      <c r="AR71" s="20" t="str">
        <f t="shared" si="52"/>
        <v/>
      </c>
      <c r="AS71" s="43" t="str">
        <f t="shared" si="53"/>
        <v/>
      </c>
      <c r="AT71" s="36" t="str">
        <f t="shared" si="54"/>
        <v/>
      </c>
      <c r="AU71" s="184"/>
      <c r="AV71" s="44" t="str">
        <f t="shared" si="55"/>
        <v/>
      </c>
      <c r="AW71" s="44" t="str">
        <f t="shared" si="56"/>
        <v/>
      </c>
      <c r="AX71" s="44" t="str">
        <f t="shared" si="57"/>
        <v/>
      </c>
      <c r="AY71" s="74" t="str" cm="1">
        <f t="array" ref="AY71">IF($AB71="","",IF((IFERROR(_xlfn.IFS($AT71="Devis 1",(IFERROR(VALUE(TRIM(SUBSTITUTE(AK71,CHAR(160),""))),0)),$AT71="Devis 2",(IFERROR(VALUE(TRIM(SUBSTITUTE(AN71,CHAR(160),""))),0)),$AT71="Devis 3",(IFERROR(VALUE(TRIM(SUBSTITUTE(AQ71,CHAR(160),""))),0))),0))*(IFERROR(VALUE(TRIM(SUBSTITUTE($AB71,CHAR(160),""))),0))=0,"",(IFERROR(_xlfn.IFS($AT71="Devis 1",(IFERROR(VALUE(TRIM(SUBSTITUTE(AK71,CHAR(160),""))),0)),$AT71="Devis 2",(IFERROR(VALUE(TRIM(SUBSTITUTE(AN71,CHAR(160),""))),0)),$AT71="Devis 3",(IFERROR(VALUE(TRIM(SUBSTITUTE(AQ71,CHAR(160),""))),0))),0))*(IFERROR(VALUE(TRIM(SUBSTITUTE($AB71,CHAR(160),""))),0))))</f>
        <v/>
      </c>
      <c r="AZ71" s="74" t="str" cm="1">
        <f t="array" ref="AZ71">IF($AB71="","",IF((IFERROR(_xlfn.IFS(TRIM(SUBSTITUTE($AT71,CHAR(160),""))="Devis 1", IFERROR(VALUE(TRIM(SUBSTITUTE(AL71,CHAR(160),""))),0),TRIM(SUBSTITUTE($AT71,CHAR(160),""))="Devis 2", IFERROR(VALUE(TRIM(SUBSTITUTE(AO71,CHAR(160),""))),0),TRIM(SUBSTITUTE($AT71,CHAR(160),""))="Devis 3", IFERROR(VALUE(TRIM(SUBSTITUTE(AR71,CHAR(160),""))),0)),0) * IFERROR(VALUE(TRIM(SUBSTITUTE($AB71,CHAR(160),""))),0)) = 0,IF(AY71&lt;&gt;"",0,""),(IFERROR(_xlfn.IFS(TRIM(SUBSTITUTE($AT71,CHAR(160),""))="Devis 1", IFERROR(VALUE(TRIM(SUBSTITUTE(AL71,CHAR(160),""))),0),TRIM(SUBSTITUTE($AT71,CHAR(160),""))="Devis 2", IFERROR(VALUE(TRIM(SUBSTITUTE(AO71,CHAR(160),""))),0),TRIM(SUBSTITUTE($AT71,CHAR(160),""))="Devis 3", IFERROR(VALUE(TRIM(SUBSTITUTE(AR71,CHAR(160),""))),0)),0) * IFERROR(VALUE(TRIM(SUBSTITUTE($AB71,CHAR(160),""))),0))))</f>
        <v/>
      </c>
      <c r="BA71" s="74" t="str" cm="1">
        <f t="array" ref="BA71">IF($AB71="","",IF(IFERROR(_xlfn.IFS($AT71="Devis 1",IFERROR(VALUE(TRIM(SUBSTITUTE(AM71,CHAR(160),""))),0),$AT71="Devis 2",IFERROR(VALUE(TRIM(SUBSTITUTE(AP71,CHAR(160),""))),0),$AT71="Devis 3",IFERROR(VALUE(TRIM(SUBSTITUTE(AS71,CHAR(160),""))),0)),0)*IFERROR(VALUE(TRIM(SUBSTITUTE($AB71,CHAR(160),""))),0)=0,"",IFERROR(_xlfn.IFS($AT71="Devis 1",IFERROR(VALUE(TRIM(SUBSTITUTE(AM71,CHAR(160),""))),0),$AT71="Devis 2",IFERROR(VALUE(TRIM(SUBSTITUTE(AP71,CHAR(160),""))),0),$AT71="Devis 3",IFERROR(VALUE(TRIM(SUBSTITUTE(AS71,CHAR(160),""))),0)),0)*IFERROR(VALUE(TRIM(SUBSTITUTE($AB71,CHAR(160),""))),0)))</f>
        <v/>
      </c>
      <c r="BB71" s="45"/>
      <c r="BC71" s="13" t="str" cm="1">
        <f t="array" ref="BC71">IF(OR(BA71="",AX71="",AY71="",AV71="",AZ71="",AW71=""),"",_xlfn.IFS((IFERROR(VALUE(TRIM(SUBSTITUTE(BA71,CHAR(160),""))),0))&gt;(IFERROR(VALUE(TRIM(SUBSTITUTE(AX71,CHAR(160),""))),0)),"KO : Le montant retenu TTC est supérieur au montant raisonnable TTC. Merci de revoir la ligne de dépense ou plafonner son montant.",(IFERROR(VALUE(TRIM(SUBSTITUTE(AY71,CHAR(160),""))),0))&gt;(IFERROR(VALUE(TRIM(SUBSTITUTE(AV71,CHAR(160),""))),0)),"Attention : Le montant retenu HT est supérieur au montant HT raisonnable. Merci de revoir la ligne de dépense, plafonner son montant, ou justifier la reventillation HT / TVA.",(IFERROR(VALUE(TRIM(SUBSTITUTE(AZ71,CHAR(160),""))),0))&gt;(IFERROR(VALUE(TRIM(SUBSTITUTE(AW71,CHAR(160),""))),0)),"Attention : Le montant TVA retenu est supérieur au montant TVA raisonnable. Merci de revoir la ligne de dépense, plafonner son montant, ou justifier la reventillation HT / TVA.",(IFERROR(VALUE(TRIM(SUBSTITUTE(BA71,CHAR(160),""))),0))=0,"",(IFERROR(VALUE(TRIM(SUBSTITUTE(AX71,CHAR(160),""))),0))=(IFERROR(VALUE(TRIM(SUBSTITUTE(BA71,CHAR(160),""))),0)),"OK",(IFERROR(VALUE(TRIM(SUBSTITUTE(AX71,CHAR(160),""))),0))&gt;(IFERROR(VALUE(TRIM(SUBSTITUTE(BA71,CHAR(160),""))),0))," OK : Montant instruit inférieur au montant raisonnable.",TRUE,""))</f>
        <v/>
      </c>
      <c r="BD71" s="187" t="str" cm="1">
        <f t="array" ref="BD71">IF(OR(BA71="",Y71="",AY71="",W71="",AZ71="",X71=""),"",_xlfn.IFS((IFERROR(VALUE(TRIM(SUBSTITUTE(BA71,CHAR(160),""))),0))&gt;(IFERROR(VALUE(TRIM(SUBSTITUTE(Y71,CHAR(160),""))),0)),"KO : Le montant retenu TTC est supérieur au montant présenté TTC. Merci de revoir la ligne de dépense ou plafonner son montant.",(IFERROR(VALUE(TRIM(SUBSTITUTE(AY71,CHAR(160),""))),0))&gt;(IFERROR(VALUE(TRIM(SUBSTITUTE(W71,CHAR(160),""))),0)),"Attention : Le montant retenu HT est supérieur au montant HT présenté. Merci de revoir la ligne de dépense,plafonner son montant,ou justifier la reventillation HT/TVA.",(IFERROR(VALUE(TRIM(SUBSTITUTE(AZ71,CHAR(160),""))),0))&gt;(IFERROR(VALUE(TRIM(SUBSTITUTE(X71,CHAR(160),""))),0)),"Attention : Le montant TVA retenu est supérieur au montant TVA présenté. Merci de revoir la ligne de dépense,plafonner son montant,ou justifier la reventillation HT/TVA.",(IFERROR(VALUE(TRIM(SUBSTITUTE(Y71,CHAR(160),""))),0))=0,"",(IFERROR(VALUE(TRIM(SUBSTITUTE(BA71,CHAR(160),""))),0))=(IFERROR(VALUE(TRIM(SUBSTITUTE(Y71,CHAR(160),""))),0)),"OK",
OR((IFERROR(VALUE(TRIM(SUBSTITUTE(BA71,CHAR(160),""))),0))=0,(IFERROR(VALUE(TRIM(SUBSTITUTE(AY71,CHAR(160),""))),0))=0),"Attention : montant présenté entièrement écarté",(IFERROR(VALUE(TRIM(SUBSTITUTE(BA71,CHAR(160),""))),0))&lt;(IFERROR(VALUE(TRIM(SUBSTITUTE(Y71,CHAR(160),""))),0)),"Attention : montant présenté partiellement écarté",TRUE,""))</f>
        <v/>
      </c>
      <c r="BE71" s="44" t="str">
        <f t="shared" si="58"/>
        <v/>
      </c>
      <c r="BF71" s="44" t="str">
        <f t="shared" si="59"/>
        <v/>
      </c>
      <c r="BG71" s="21" t="str">
        <f t="shared" si="60"/>
        <v/>
      </c>
    </row>
    <row r="72" spans="1:59" ht="15" customHeight="1">
      <c r="A72" s="70">
        <v>63</v>
      </c>
      <c r="B72" s="784"/>
      <c r="C72" s="7"/>
      <c r="D72" s="11"/>
      <c r="E72" s="11"/>
      <c r="F72" s="7"/>
      <c r="G72" s="7"/>
      <c r="H72" s="7"/>
      <c r="I72" s="7"/>
      <c r="J72" s="17"/>
      <c r="K72" s="7"/>
      <c r="L72" s="132"/>
      <c r="M72" s="138"/>
      <c r="N72" s="8"/>
      <c r="O72" s="35" t="str">
        <f t="shared" si="32"/>
        <v/>
      </c>
      <c r="P72" s="9"/>
      <c r="Q72" s="8"/>
      <c r="R72" s="35" t="str">
        <f t="shared" si="33"/>
        <v/>
      </c>
      <c r="S72" s="10"/>
      <c r="T72" s="8"/>
      <c r="U72" s="139" t="str">
        <f t="shared" si="34"/>
        <v/>
      </c>
      <c r="V72" s="147"/>
      <c r="W72" s="770" t="str" cm="1">
        <f t="array" ref="W72">IF((_xlfn.IFS(TRIM(SUBSTITUTE(V72,CHAR(160),""))="Devis 1",IFERROR(VALUE(TRIM(SUBSTITUTE(M72,CHAR(160),""))),0),TRIM(SUBSTITUTE(V72,CHAR(160),""))="Devis 2",IFERROR(VALUE(TRIM(SUBSTITUTE(P72,CHAR(160),""))),0),TRIM(SUBSTITUTE(V72,CHAR(160),""))="Devis 3",IFERROR(VALUE(TRIM(SUBSTITUTE(S72,CHAR(160),""))),0),TRUE,0)*IFERROR(VALUE(TRIM(SUBSTITUTE(D72,CHAR(160),""))),0))=0,"",_xlfn.IFS(TRIM(SUBSTITUTE(V72,CHAR(160),""))="Devis 1",IFERROR(VALUE(TRIM(SUBSTITUTE(M72,CHAR(160),""))),0),TRIM(SUBSTITUTE(V72,CHAR(160),""))="Devis 2",IFERROR(VALUE(TRIM(SUBSTITUTE(P72,CHAR(160),""))),0),TRIM(SUBSTITUTE(V72,CHAR(160),""))="Devis 3",IFERROR(VALUE(TRIM(SUBSTITUTE(S72,CHAR(160),""))),0),TRUE,0)*IFERROR(VALUE(TRIM(SUBSTITUTE(D72,CHAR(160),""))),0))</f>
        <v/>
      </c>
      <c r="X72" s="73" t="str" cm="1">
        <f t="array" ref="X72">IF(_xlfn.IFS(TRIM(SUBSTITUTE(V72,CHAR(160),""))="Devis 1",IFERROR(VALUE(TRIM(SUBSTITUTE(N72,CHAR(160),""))),0),TRIM(SUBSTITUTE(V72,CHAR(160),""))="Devis 2",IFERROR(VALUE(TRIM(SUBSTITUTE(Q72,CHAR(160),""))),0),TRIM(SUBSTITUTE(V72,CHAR(160),""))="Devis 3",IFERROR(VALUE(TRIM(SUBSTITUTE(T72,CHAR(160),""))),0),TRUE,0)*IFERROR(VALUE(TRIM(SUBSTITUTE(D72,CHAR(160),""))),0)=0,IF(W72&lt;&gt;"",0,""),_xlfn.IFS(TRIM(SUBSTITUTE(V72,CHAR(160),""))="Devis 1",IFERROR(VALUE(TRIM(SUBSTITUTE(N72,CHAR(160),""))),0),TRIM(SUBSTITUTE(V72,CHAR(160),""))="Devis 2",IFERROR(VALUE(TRIM(SUBSTITUTE(Q72,CHAR(160),""))),0),TRIM(SUBSTITUTE(V72,CHAR(160),""))="Devis 3",IFERROR(VALUE(TRIM(SUBSTITUTE(T72,CHAR(160),""))),0),TRUE,0)*IFERROR(VALUE(TRIM(SUBSTITUTE(D72,CHAR(160),""))),0))</f>
        <v/>
      </c>
      <c r="Y72" s="149" t="str">
        <f t="shared" si="35"/>
        <v/>
      </c>
      <c r="Z72" s="150"/>
      <c r="AA72" s="36" t="str">
        <f t="shared" si="36"/>
        <v/>
      </c>
      <c r="AB72" s="37" t="str">
        <f t="shared" si="37"/>
        <v/>
      </c>
      <c r="AC72" s="37" t="str">
        <f t="shared" si="31"/>
        <v/>
      </c>
      <c r="AD72" s="14" t="str">
        <f t="shared" si="38"/>
        <v/>
      </c>
      <c r="AE72" s="14" t="str">
        <f t="shared" si="39"/>
        <v/>
      </c>
      <c r="AF72" s="14" t="str">
        <f t="shared" si="40"/>
        <v/>
      </c>
      <c r="AG72" s="14" t="str">
        <f t="shared" si="41"/>
        <v/>
      </c>
      <c r="AH72" s="38" t="str">
        <f t="shared" si="42"/>
        <v/>
      </c>
      <c r="AI72" s="14" t="str">
        <f t="shared" si="43"/>
        <v/>
      </c>
      <c r="AJ72" s="39" t="str">
        <f t="shared" si="44"/>
        <v/>
      </c>
      <c r="AK72" s="40" t="str">
        <f t="shared" si="45"/>
        <v/>
      </c>
      <c r="AL72" s="20" t="str">
        <f t="shared" si="46"/>
        <v/>
      </c>
      <c r="AM72" s="35" t="str">
        <f t="shared" si="47"/>
        <v/>
      </c>
      <c r="AN72" s="41" t="str">
        <f t="shared" si="48"/>
        <v/>
      </c>
      <c r="AO72" s="20" t="str">
        <f t="shared" si="49"/>
        <v/>
      </c>
      <c r="AP72" s="35" t="str">
        <f t="shared" si="50"/>
        <v/>
      </c>
      <c r="AQ72" s="42" t="str">
        <f t="shared" si="51"/>
        <v/>
      </c>
      <c r="AR72" s="20" t="str">
        <f t="shared" si="52"/>
        <v/>
      </c>
      <c r="AS72" s="43" t="str">
        <f t="shared" si="53"/>
        <v/>
      </c>
      <c r="AT72" s="36" t="str">
        <f t="shared" si="54"/>
        <v/>
      </c>
      <c r="AU72" s="184"/>
      <c r="AV72" s="44" t="str">
        <f t="shared" si="55"/>
        <v/>
      </c>
      <c r="AW72" s="44" t="str">
        <f t="shared" si="56"/>
        <v/>
      </c>
      <c r="AX72" s="44" t="str">
        <f t="shared" si="57"/>
        <v/>
      </c>
      <c r="AY72" s="74" t="str" cm="1">
        <f t="array" ref="AY72">IF($AB72="","",IF((IFERROR(_xlfn.IFS($AT72="Devis 1",(IFERROR(VALUE(TRIM(SUBSTITUTE(AK72,CHAR(160),""))),0)),$AT72="Devis 2",(IFERROR(VALUE(TRIM(SUBSTITUTE(AN72,CHAR(160),""))),0)),$AT72="Devis 3",(IFERROR(VALUE(TRIM(SUBSTITUTE(AQ72,CHAR(160),""))),0))),0))*(IFERROR(VALUE(TRIM(SUBSTITUTE($AB72,CHAR(160),""))),0))=0,"",(IFERROR(_xlfn.IFS($AT72="Devis 1",(IFERROR(VALUE(TRIM(SUBSTITUTE(AK72,CHAR(160),""))),0)),$AT72="Devis 2",(IFERROR(VALUE(TRIM(SUBSTITUTE(AN72,CHAR(160),""))),0)),$AT72="Devis 3",(IFERROR(VALUE(TRIM(SUBSTITUTE(AQ72,CHAR(160),""))),0))),0))*(IFERROR(VALUE(TRIM(SUBSTITUTE($AB72,CHAR(160),""))),0))))</f>
        <v/>
      </c>
      <c r="AZ72" s="74" t="str" cm="1">
        <f t="array" ref="AZ72">IF($AB72="","",IF((IFERROR(_xlfn.IFS(TRIM(SUBSTITUTE($AT72,CHAR(160),""))="Devis 1", IFERROR(VALUE(TRIM(SUBSTITUTE(AL72,CHAR(160),""))),0),TRIM(SUBSTITUTE($AT72,CHAR(160),""))="Devis 2", IFERROR(VALUE(TRIM(SUBSTITUTE(AO72,CHAR(160),""))),0),TRIM(SUBSTITUTE($AT72,CHAR(160),""))="Devis 3", IFERROR(VALUE(TRIM(SUBSTITUTE(AR72,CHAR(160),""))),0)),0) * IFERROR(VALUE(TRIM(SUBSTITUTE($AB72,CHAR(160),""))),0)) = 0,IF(AY72&lt;&gt;"",0,""),(IFERROR(_xlfn.IFS(TRIM(SUBSTITUTE($AT72,CHAR(160),""))="Devis 1", IFERROR(VALUE(TRIM(SUBSTITUTE(AL72,CHAR(160),""))),0),TRIM(SUBSTITUTE($AT72,CHAR(160),""))="Devis 2", IFERROR(VALUE(TRIM(SUBSTITUTE(AO72,CHAR(160),""))),0),TRIM(SUBSTITUTE($AT72,CHAR(160),""))="Devis 3", IFERROR(VALUE(TRIM(SUBSTITUTE(AR72,CHAR(160),""))),0)),0) * IFERROR(VALUE(TRIM(SUBSTITUTE($AB72,CHAR(160),""))),0))))</f>
        <v/>
      </c>
      <c r="BA72" s="74" t="str" cm="1">
        <f t="array" ref="BA72">IF($AB72="","",IF(IFERROR(_xlfn.IFS($AT72="Devis 1",IFERROR(VALUE(TRIM(SUBSTITUTE(AM72,CHAR(160),""))),0),$AT72="Devis 2",IFERROR(VALUE(TRIM(SUBSTITUTE(AP72,CHAR(160),""))),0),$AT72="Devis 3",IFERROR(VALUE(TRIM(SUBSTITUTE(AS72,CHAR(160),""))),0)),0)*IFERROR(VALUE(TRIM(SUBSTITUTE($AB72,CHAR(160),""))),0)=0,"",IFERROR(_xlfn.IFS($AT72="Devis 1",IFERROR(VALUE(TRIM(SUBSTITUTE(AM72,CHAR(160),""))),0),$AT72="Devis 2",IFERROR(VALUE(TRIM(SUBSTITUTE(AP72,CHAR(160),""))),0),$AT72="Devis 3",IFERROR(VALUE(TRIM(SUBSTITUTE(AS72,CHAR(160),""))),0)),0)*IFERROR(VALUE(TRIM(SUBSTITUTE($AB72,CHAR(160),""))),0)))</f>
        <v/>
      </c>
      <c r="BB72" s="45"/>
      <c r="BC72" s="13" t="str" cm="1">
        <f t="array" ref="BC72">IF(OR(BA72="",AX72="",AY72="",AV72="",AZ72="",AW72=""),"",_xlfn.IFS((IFERROR(VALUE(TRIM(SUBSTITUTE(BA72,CHAR(160),""))),0))&gt;(IFERROR(VALUE(TRIM(SUBSTITUTE(AX72,CHAR(160),""))),0)),"KO : Le montant retenu TTC est supérieur au montant raisonnable TTC. Merci de revoir la ligne de dépense ou plafonner son montant.",(IFERROR(VALUE(TRIM(SUBSTITUTE(AY72,CHAR(160),""))),0))&gt;(IFERROR(VALUE(TRIM(SUBSTITUTE(AV72,CHAR(160),""))),0)),"Attention : Le montant retenu HT est supérieur au montant HT raisonnable. Merci de revoir la ligne de dépense, plafonner son montant, ou justifier la reventillation HT / TVA.",(IFERROR(VALUE(TRIM(SUBSTITUTE(AZ72,CHAR(160),""))),0))&gt;(IFERROR(VALUE(TRIM(SUBSTITUTE(AW72,CHAR(160),""))),0)),"Attention : Le montant TVA retenu est supérieur au montant TVA raisonnable. Merci de revoir la ligne de dépense, plafonner son montant, ou justifier la reventillation HT / TVA.",(IFERROR(VALUE(TRIM(SUBSTITUTE(BA72,CHAR(160),""))),0))=0,"",(IFERROR(VALUE(TRIM(SUBSTITUTE(AX72,CHAR(160),""))),0))=(IFERROR(VALUE(TRIM(SUBSTITUTE(BA72,CHAR(160),""))),0)),"OK",(IFERROR(VALUE(TRIM(SUBSTITUTE(AX72,CHAR(160),""))),0))&gt;(IFERROR(VALUE(TRIM(SUBSTITUTE(BA72,CHAR(160),""))),0))," OK : Montant instruit inférieur au montant raisonnable.",TRUE,""))</f>
        <v/>
      </c>
      <c r="BD72" s="187" t="str" cm="1">
        <f t="array" ref="BD72">IF(OR(BA72="",Y72="",AY72="",W72="",AZ72="",X72=""),"",_xlfn.IFS((IFERROR(VALUE(TRIM(SUBSTITUTE(BA72,CHAR(160),""))),0))&gt;(IFERROR(VALUE(TRIM(SUBSTITUTE(Y72,CHAR(160),""))),0)),"KO : Le montant retenu TTC est supérieur au montant présenté TTC. Merci de revoir la ligne de dépense ou plafonner son montant.",(IFERROR(VALUE(TRIM(SUBSTITUTE(AY72,CHAR(160),""))),0))&gt;(IFERROR(VALUE(TRIM(SUBSTITUTE(W72,CHAR(160),""))),0)),"Attention : Le montant retenu HT est supérieur au montant HT présenté. Merci de revoir la ligne de dépense,plafonner son montant,ou justifier la reventillation HT/TVA.",(IFERROR(VALUE(TRIM(SUBSTITUTE(AZ72,CHAR(160),""))),0))&gt;(IFERROR(VALUE(TRIM(SUBSTITUTE(X72,CHAR(160),""))),0)),"Attention : Le montant TVA retenu est supérieur au montant TVA présenté. Merci de revoir la ligne de dépense,plafonner son montant,ou justifier la reventillation HT/TVA.",(IFERROR(VALUE(TRIM(SUBSTITUTE(Y72,CHAR(160),""))),0))=0,"",(IFERROR(VALUE(TRIM(SUBSTITUTE(BA72,CHAR(160),""))),0))=(IFERROR(VALUE(TRIM(SUBSTITUTE(Y72,CHAR(160),""))),0)),"OK",
OR((IFERROR(VALUE(TRIM(SUBSTITUTE(BA72,CHAR(160),""))),0))=0,(IFERROR(VALUE(TRIM(SUBSTITUTE(AY72,CHAR(160),""))),0))=0),"Attention : montant présenté entièrement écarté",(IFERROR(VALUE(TRIM(SUBSTITUTE(BA72,CHAR(160),""))),0))&lt;(IFERROR(VALUE(TRIM(SUBSTITUTE(Y72,CHAR(160),""))),0)),"Attention : montant présenté partiellement écarté",TRUE,""))</f>
        <v/>
      </c>
      <c r="BE72" s="44" t="str">
        <f t="shared" si="58"/>
        <v/>
      </c>
      <c r="BF72" s="44" t="str">
        <f t="shared" si="59"/>
        <v/>
      </c>
      <c r="BG72" s="21" t="str">
        <f t="shared" si="60"/>
        <v/>
      </c>
    </row>
    <row r="73" spans="1:59" ht="15" customHeight="1">
      <c r="A73" s="70">
        <v>64</v>
      </c>
      <c r="B73" s="784"/>
      <c r="C73" s="7"/>
      <c r="D73" s="11"/>
      <c r="E73" s="11"/>
      <c r="F73" s="7"/>
      <c r="G73" s="7"/>
      <c r="H73" s="7"/>
      <c r="I73" s="7"/>
      <c r="J73" s="17"/>
      <c r="K73" s="7"/>
      <c r="L73" s="132"/>
      <c r="M73" s="138"/>
      <c r="N73" s="8"/>
      <c r="O73" s="35" t="str">
        <f t="shared" ref="O73:O104" si="61">IF(OR(M73="", N73=""), "", IFERROR(VALUE(TRIM(SUBSTITUTE(M73,CHAR(160),""))),0) + IFERROR(VALUE(TRIM(SUBSTITUTE(N73,CHAR(160),""))),0))</f>
        <v/>
      </c>
      <c r="P73" s="9"/>
      <c r="Q73" s="8"/>
      <c r="R73" s="35" t="str">
        <f t="shared" ref="R73:R104" si="62">IF(OR(P73="", Q73=""), "", IFERROR(VALUE(TRIM(SUBSTITUTE(P73,CHAR(160),""))),0) + IFERROR(VALUE(TRIM(SUBSTITUTE(Q73,CHAR(160),""))),0))</f>
        <v/>
      </c>
      <c r="S73" s="10"/>
      <c r="T73" s="8"/>
      <c r="U73" s="139" t="str">
        <f t="shared" ref="U73:U104" si="63">IF(OR(S73="", T73=""), "", IFERROR(VALUE(TRIM(SUBSTITUTE(S73,CHAR(160),""))),0) + IFERROR(VALUE(TRIM(SUBSTITUTE(T73,CHAR(160),""))),0))</f>
        <v/>
      </c>
      <c r="V73" s="147"/>
      <c r="W73" s="770" t="str" cm="1">
        <f t="array" ref="W73">IF((_xlfn.IFS(TRIM(SUBSTITUTE(V73,CHAR(160),""))="Devis 1",IFERROR(VALUE(TRIM(SUBSTITUTE(M73,CHAR(160),""))),0),TRIM(SUBSTITUTE(V73,CHAR(160),""))="Devis 2",IFERROR(VALUE(TRIM(SUBSTITUTE(P73,CHAR(160),""))),0),TRIM(SUBSTITUTE(V73,CHAR(160),""))="Devis 3",IFERROR(VALUE(TRIM(SUBSTITUTE(S73,CHAR(160),""))),0),TRUE,0)*IFERROR(VALUE(TRIM(SUBSTITUTE(D73,CHAR(160),""))),0))=0,"",_xlfn.IFS(TRIM(SUBSTITUTE(V73,CHAR(160),""))="Devis 1",IFERROR(VALUE(TRIM(SUBSTITUTE(M73,CHAR(160),""))),0),TRIM(SUBSTITUTE(V73,CHAR(160),""))="Devis 2",IFERROR(VALUE(TRIM(SUBSTITUTE(P73,CHAR(160),""))),0),TRIM(SUBSTITUTE(V73,CHAR(160),""))="Devis 3",IFERROR(VALUE(TRIM(SUBSTITUTE(S73,CHAR(160),""))),0),TRUE,0)*IFERROR(VALUE(TRIM(SUBSTITUTE(D73,CHAR(160),""))),0))</f>
        <v/>
      </c>
      <c r="X73" s="73" t="str" cm="1">
        <f t="array" ref="X73">IF(_xlfn.IFS(TRIM(SUBSTITUTE(V73,CHAR(160),""))="Devis 1",IFERROR(VALUE(TRIM(SUBSTITUTE(N73,CHAR(160),""))),0),TRIM(SUBSTITUTE(V73,CHAR(160),""))="Devis 2",IFERROR(VALUE(TRIM(SUBSTITUTE(Q73,CHAR(160),""))),0),TRIM(SUBSTITUTE(V73,CHAR(160),""))="Devis 3",IFERROR(VALUE(TRIM(SUBSTITUTE(T73,CHAR(160),""))),0),TRUE,0)*IFERROR(VALUE(TRIM(SUBSTITUTE(D73,CHAR(160),""))),0)=0,IF(W73&lt;&gt;"",0,""),_xlfn.IFS(TRIM(SUBSTITUTE(V73,CHAR(160),""))="Devis 1",IFERROR(VALUE(TRIM(SUBSTITUTE(N73,CHAR(160),""))),0),TRIM(SUBSTITUTE(V73,CHAR(160),""))="Devis 2",IFERROR(VALUE(TRIM(SUBSTITUTE(Q73,CHAR(160),""))),0),TRIM(SUBSTITUTE(V73,CHAR(160),""))="Devis 3",IFERROR(VALUE(TRIM(SUBSTITUTE(T73,CHAR(160),""))),0),TRUE,0)*IFERROR(VALUE(TRIM(SUBSTITUTE(D73,CHAR(160),""))),0))</f>
        <v/>
      </c>
      <c r="Y73" s="149" t="str">
        <f t="shared" ref="Y73:Y104" si="64">IF(OR(W73="", X73=""), "", IFERROR(VALUE(TRIM(SUBSTITUTE(W73,CHAR(160),""))),0) + IFERROR(VALUE(TRIM(SUBSTITUTE(X73,CHAR(160),""))),0))</f>
        <v/>
      </c>
      <c r="Z73" s="150"/>
      <c r="AA73" s="36" t="str">
        <f t="shared" ref="AA73:AA109" si="65">IF(C73="","",C73)</f>
        <v/>
      </c>
      <c r="AB73" s="37" t="str">
        <f t="shared" ref="AB73:AB109" si="66">IF(D73="","",D73)</f>
        <v/>
      </c>
      <c r="AC73" s="37" t="str">
        <f t="shared" si="31"/>
        <v/>
      </c>
      <c r="AD73" s="14" t="str">
        <f t="shared" ref="AD73:AD109" si="67">IF(F73="","",F73)</f>
        <v/>
      </c>
      <c r="AE73" s="14" t="str">
        <f t="shared" ref="AE73:AE109" si="68">IF(G73="","",G73)</f>
        <v/>
      </c>
      <c r="AF73" s="14" t="str">
        <f t="shared" ref="AF73:AF109" si="69">IF(H73="","",H73)</f>
        <v/>
      </c>
      <c r="AG73" s="14" t="str">
        <f t="shared" ref="AG73:AG109" si="70">IF(I73="","",I73)</f>
        <v/>
      </c>
      <c r="AH73" s="38" t="str">
        <f t="shared" ref="AH73:AH109" si="71">IF(J73="","",J73)</f>
        <v/>
      </c>
      <c r="AI73" s="14" t="str">
        <f t="shared" ref="AI73:AI109" si="72">IF(K73="","",K73)</f>
        <v/>
      </c>
      <c r="AJ73" s="39" t="str">
        <f t="shared" ref="AJ73:AJ109" si="73">IF(L73="","",L73)</f>
        <v/>
      </c>
      <c r="AK73" s="40" t="str">
        <f t="shared" ref="AK73:AK109" si="74">IF(M73="","",M73)</f>
        <v/>
      </c>
      <c r="AL73" s="20" t="str">
        <f t="shared" ref="AL73:AL109" si="75">IF(N73="","",N73)</f>
        <v/>
      </c>
      <c r="AM73" s="35" t="str">
        <f t="shared" ref="AM73:AM104" si="76">IF(OR(AK73="", AL73=""), "", IFERROR(VALUE(TRIM(SUBSTITUTE(AK73,CHAR(160),""))),0) + IFERROR(VALUE(TRIM(SUBSTITUTE(AL73,CHAR(160),""))),0))</f>
        <v/>
      </c>
      <c r="AN73" s="41" t="str">
        <f t="shared" ref="AN73:AN109" si="77">IF(P73="","",P73)</f>
        <v/>
      </c>
      <c r="AO73" s="20" t="str">
        <f t="shared" ref="AO73:AO109" si="78">IF(Q73="","",Q73)</f>
        <v/>
      </c>
      <c r="AP73" s="35" t="str">
        <f t="shared" ref="AP73:AP104" si="79">IF(OR(AN73="",AO73=""),"",IFERROR(VALUE(TRIM(SUBSTITUTE(AN73,CHAR(160),""))),0)+IFERROR(VALUE(TRIM(SUBSTITUTE(AO73,CHAR(160),""))),0))</f>
        <v/>
      </c>
      <c r="AQ73" s="42" t="str">
        <f t="shared" ref="AQ73:AQ109" si="80">IF(S73="","",S73)</f>
        <v/>
      </c>
      <c r="AR73" s="20" t="str">
        <f t="shared" ref="AR73:AR109" si="81">IF(T73="","",T73)</f>
        <v/>
      </c>
      <c r="AS73" s="43" t="str">
        <f t="shared" ref="AS73:AS104" si="82">IF(OR(AQ73="",AR73=""),"",IFERROR(VALUE(TRIM(SUBSTITUTE(AQ73,CHAR(160),""))),0)+IFERROR(VALUE(TRIM(SUBSTITUTE(AR73,CHAR(160),""))),0))</f>
        <v/>
      </c>
      <c r="AT73" s="36" t="str">
        <f t="shared" ref="AT73:AT109" si="83">IF(V73="","",V73)</f>
        <v/>
      </c>
      <c r="AU73" s="184"/>
      <c r="AV73" s="44" t="str">
        <f t="shared" ref="AV73:AV109" si="84">IF((1.15*MIN(IF((IFERROR(VALUE(TRIM(SUBSTITUTE(AK73,CHAR(160),""))),0))=0,1E+30,(IFERROR(VALUE(TRIM(SUBSTITUTE(AK73,CHAR(160),""))),0))),IF((IFERROR(VALUE(TRIM(SUBSTITUTE(AN73,CHAR(160),""))),0))=0,1E+30,(IFERROR(VALUE(TRIM(SUBSTITUTE(AN73,CHAR(160),""))),0))),IF((IFERROR(VALUE(TRIM(SUBSTITUTE(AQ73,CHAR(160),""))),0))=0,1E+30,(IFERROR(VALUE(TRIM(SUBSTITUTE(AQ73,CHAR(160),""))),0))))*(IFERROR(VALUE(TRIM(SUBSTITUTE(AB73,CHAR(160),""))),0)))=0,"",(1.15*MIN(IF((IFERROR(VALUE(TRIM(SUBSTITUTE(AK73,CHAR(160),""))),0))=0,1E+30,(IFERROR(VALUE(TRIM(SUBSTITUTE(AK73,CHAR(160),""))),0))),IF((IFERROR(VALUE(TRIM(SUBSTITUTE(AN73,CHAR(160),""))),0))=0,1E+30,(IFERROR(VALUE(TRIM(SUBSTITUTE(AN73,CHAR(160),""))),0))),IF((IFERROR(VALUE(TRIM(SUBSTITUTE(AQ73,CHAR(160),""))),0))=0,1E+30,(IFERROR(VALUE(TRIM(SUBSTITUTE(AQ73,CHAR(160),""))),0))))*(IFERROR(VALUE(TRIM(SUBSTITUTE(AB73,CHAR(160),""))),0))))</f>
        <v/>
      </c>
      <c r="AW73" s="44" t="str">
        <f t="shared" ref="AW73:AW104" si="85">IF(AV73="","",IF( AND(IFERROR(VALUE(TRIM(SUBSTITUTE(AL73,CHAR(160),""))),0)=0,IFERROR(VALUE(TRIM(SUBSTITUTE(AO73,CHAR(160),""))),0)=0,IFERROR(VALUE(TRIM(SUBSTITUTE(AR73,CHAR(160),""))),0)=0),0,1.15*MIN(IF(IFERROR(VALUE(TRIM(SUBSTITUTE(AL73,CHAR(160),""))),0)=0, 1E+30, IFERROR(VALUE(TRIM(SUBSTITUTE(AL73,CHAR(160),""))),0)),IF(IFERROR(VALUE(TRIM(SUBSTITUTE(AO73,CHAR(160),""))),0)=0, 1E+30, IFERROR(VALUE(TRIM(SUBSTITUTE(AO73,CHAR(160),""))),0)),IF(IFERROR(VALUE(TRIM(SUBSTITUTE(AR73,CHAR(160),""))),0)=0, 1E+30, IFERROR(VALUE(TRIM(SUBSTITUTE(AR73,CHAR(160),""))),0))) *IFERROR(VALUE(TRIM(SUBSTITUTE(AB73,CHAR(160),""))),0)))</f>
        <v/>
      </c>
      <c r="AX73" s="44" t="str">
        <f t="shared" ref="AX73:AX104" si="86">IF(AV73="","",AV73+AW73)</f>
        <v/>
      </c>
      <c r="AY73" s="74" t="str" cm="1">
        <f t="array" ref="AY73">IF($AB73="","",IF((IFERROR(_xlfn.IFS($AT73="Devis 1",(IFERROR(VALUE(TRIM(SUBSTITUTE(AK73,CHAR(160),""))),0)),$AT73="Devis 2",(IFERROR(VALUE(TRIM(SUBSTITUTE(AN73,CHAR(160),""))),0)),$AT73="Devis 3",(IFERROR(VALUE(TRIM(SUBSTITUTE(AQ73,CHAR(160),""))),0))),0))*(IFERROR(VALUE(TRIM(SUBSTITUTE($AB73,CHAR(160),""))),0))=0,"",(IFERROR(_xlfn.IFS($AT73="Devis 1",(IFERROR(VALUE(TRIM(SUBSTITUTE(AK73,CHAR(160),""))),0)),$AT73="Devis 2",(IFERROR(VALUE(TRIM(SUBSTITUTE(AN73,CHAR(160),""))),0)),$AT73="Devis 3",(IFERROR(VALUE(TRIM(SUBSTITUTE(AQ73,CHAR(160),""))),0))),0))*(IFERROR(VALUE(TRIM(SUBSTITUTE($AB73,CHAR(160),""))),0))))</f>
        <v/>
      </c>
      <c r="AZ73" s="74" t="str" cm="1">
        <f t="array" ref="AZ73">IF($AB73="","",IF((IFERROR(_xlfn.IFS(TRIM(SUBSTITUTE($AT73,CHAR(160),""))="Devis 1", IFERROR(VALUE(TRIM(SUBSTITUTE(AL73,CHAR(160),""))),0),TRIM(SUBSTITUTE($AT73,CHAR(160),""))="Devis 2", IFERROR(VALUE(TRIM(SUBSTITUTE(AO73,CHAR(160),""))),0),TRIM(SUBSTITUTE($AT73,CHAR(160),""))="Devis 3", IFERROR(VALUE(TRIM(SUBSTITUTE(AR73,CHAR(160),""))),0)),0) * IFERROR(VALUE(TRIM(SUBSTITUTE($AB73,CHAR(160),""))),0)) = 0,IF(AY73&lt;&gt;"",0,""),(IFERROR(_xlfn.IFS(TRIM(SUBSTITUTE($AT73,CHAR(160),""))="Devis 1", IFERROR(VALUE(TRIM(SUBSTITUTE(AL73,CHAR(160),""))),0),TRIM(SUBSTITUTE($AT73,CHAR(160),""))="Devis 2", IFERROR(VALUE(TRIM(SUBSTITUTE(AO73,CHAR(160),""))),0),TRIM(SUBSTITUTE($AT73,CHAR(160),""))="Devis 3", IFERROR(VALUE(TRIM(SUBSTITUTE(AR73,CHAR(160),""))),0)),0) * IFERROR(VALUE(TRIM(SUBSTITUTE($AB73,CHAR(160),""))),0))))</f>
        <v/>
      </c>
      <c r="BA73" s="74" t="str" cm="1">
        <f t="array" ref="BA73">IF($AB73="","",IF(IFERROR(_xlfn.IFS($AT73="Devis 1",IFERROR(VALUE(TRIM(SUBSTITUTE(AM73,CHAR(160),""))),0),$AT73="Devis 2",IFERROR(VALUE(TRIM(SUBSTITUTE(AP73,CHAR(160),""))),0),$AT73="Devis 3",IFERROR(VALUE(TRIM(SUBSTITUTE(AS73,CHAR(160),""))),0)),0)*IFERROR(VALUE(TRIM(SUBSTITUTE($AB73,CHAR(160),""))),0)=0,"",IFERROR(_xlfn.IFS($AT73="Devis 1",IFERROR(VALUE(TRIM(SUBSTITUTE(AM73,CHAR(160),""))),0),$AT73="Devis 2",IFERROR(VALUE(TRIM(SUBSTITUTE(AP73,CHAR(160),""))),0),$AT73="Devis 3",IFERROR(VALUE(TRIM(SUBSTITUTE(AS73,CHAR(160),""))),0)),0)*IFERROR(VALUE(TRIM(SUBSTITUTE($AB73,CHAR(160),""))),0)))</f>
        <v/>
      </c>
      <c r="BB73" s="45"/>
      <c r="BC73" s="13" t="str" cm="1">
        <f t="array" ref="BC73">IF(OR(BA73="",AX73="",AY73="",AV73="",AZ73="",AW73=""),"",_xlfn.IFS((IFERROR(VALUE(TRIM(SUBSTITUTE(BA73,CHAR(160),""))),0))&gt;(IFERROR(VALUE(TRIM(SUBSTITUTE(AX73,CHAR(160),""))),0)),"KO : Le montant retenu TTC est supérieur au montant raisonnable TTC. Merci de revoir la ligne de dépense ou plafonner son montant.",(IFERROR(VALUE(TRIM(SUBSTITUTE(AY73,CHAR(160),""))),0))&gt;(IFERROR(VALUE(TRIM(SUBSTITUTE(AV73,CHAR(160),""))),0)),"Attention : Le montant retenu HT est supérieur au montant HT raisonnable. Merci de revoir la ligne de dépense, plafonner son montant, ou justifier la reventillation HT / TVA.",(IFERROR(VALUE(TRIM(SUBSTITUTE(AZ73,CHAR(160),""))),0))&gt;(IFERROR(VALUE(TRIM(SUBSTITUTE(AW73,CHAR(160),""))),0)),"Attention : Le montant TVA retenu est supérieur au montant TVA raisonnable. Merci de revoir la ligne de dépense, plafonner son montant, ou justifier la reventillation HT / TVA.",(IFERROR(VALUE(TRIM(SUBSTITUTE(BA73,CHAR(160),""))),0))=0,"",(IFERROR(VALUE(TRIM(SUBSTITUTE(AX73,CHAR(160),""))),0))=(IFERROR(VALUE(TRIM(SUBSTITUTE(BA73,CHAR(160),""))),0)),"OK",(IFERROR(VALUE(TRIM(SUBSTITUTE(AX73,CHAR(160),""))),0))&gt;(IFERROR(VALUE(TRIM(SUBSTITUTE(BA73,CHAR(160),""))),0))," OK : Montant instruit inférieur au montant raisonnable.",TRUE,""))</f>
        <v/>
      </c>
      <c r="BD73" s="187" t="str" cm="1">
        <f t="array" ref="BD73">IF(OR(BA73="",Y73="",AY73="",W73="",AZ73="",X73=""),"",_xlfn.IFS((IFERROR(VALUE(TRIM(SUBSTITUTE(BA73,CHAR(160),""))),0))&gt;(IFERROR(VALUE(TRIM(SUBSTITUTE(Y73,CHAR(160),""))),0)),"KO : Le montant retenu TTC est supérieur au montant présenté TTC. Merci de revoir la ligne de dépense ou plafonner son montant.",(IFERROR(VALUE(TRIM(SUBSTITUTE(AY73,CHAR(160),""))),0))&gt;(IFERROR(VALUE(TRIM(SUBSTITUTE(W73,CHAR(160),""))),0)),"Attention : Le montant retenu HT est supérieur au montant HT présenté. Merci de revoir la ligne de dépense,plafonner son montant,ou justifier la reventillation HT/TVA.",(IFERROR(VALUE(TRIM(SUBSTITUTE(AZ73,CHAR(160),""))),0))&gt;(IFERROR(VALUE(TRIM(SUBSTITUTE(X73,CHAR(160),""))),0)),"Attention : Le montant TVA retenu est supérieur au montant TVA présenté. Merci de revoir la ligne de dépense,plafonner son montant,ou justifier la reventillation HT/TVA.",(IFERROR(VALUE(TRIM(SUBSTITUTE(Y73,CHAR(160),""))),0))=0,"",(IFERROR(VALUE(TRIM(SUBSTITUTE(BA73,CHAR(160),""))),0))=(IFERROR(VALUE(TRIM(SUBSTITUTE(Y73,CHAR(160),""))),0)),"OK",
OR((IFERROR(VALUE(TRIM(SUBSTITUTE(BA73,CHAR(160),""))),0))=0,(IFERROR(VALUE(TRIM(SUBSTITUTE(AY73,CHAR(160),""))),0))=0),"Attention : montant présenté entièrement écarté",(IFERROR(VALUE(TRIM(SUBSTITUTE(BA73,CHAR(160),""))),0))&lt;(IFERROR(VALUE(TRIM(SUBSTITUTE(Y73,CHAR(160),""))),0)),"Attention : montant présenté partiellement écarté",TRUE,""))</f>
        <v/>
      </c>
      <c r="BE73" s="44" t="str">
        <f t="shared" ref="BE73:BE109" si="87">IF(OR(W73="",AY73=""),"",(IFERROR(VALUE(TRIM(SUBSTITUTE(W73,CHAR(160),""))),0))-(IFERROR(VALUE(TRIM(SUBSTITUTE(AY73,CHAR(160),""))),0)))</f>
        <v/>
      </c>
      <c r="BF73" s="44" t="str">
        <f t="shared" ref="BF73:BF109" si="88">IF(OR(X73="",AZ73=""),"",(IFERROR(VALUE(TRIM(SUBSTITUTE(X73,CHAR(160),""))),0))-(IFERROR(VALUE(TRIM(SUBSTITUTE(AZ73,CHAR(160),""))),0)))</f>
        <v/>
      </c>
      <c r="BG73" s="21" t="str">
        <f t="shared" ref="BG73:BG109" si="89">IF(OR(Y73="",BA73=""),"",(IFERROR(VALUE(TRIM(SUBSTITUTE(Y73,CHAR(160),""))),0))-(IFERROR(VALUE(TRIM(SUBSTITUTE(BA73,CHAR(160),""))),0)))</f>
        <v/>
      </c>
    </row>
    <row r="74" spans="1:59" ht="15" customHeight="1">
      <c r="A74" s="70">
        <v>65</v>
      </c>
      <c r="B74" s="784"/>
      <c r="C74" s="7"/>
      <c r="D74" s="11"/>
      <c r="E74" s="11"/>
      <c r="F74" s="7"/>
      <c r="G74" s="7"/>
      <c r="H74" s="7"/>
      <c r="I74" s="7"/>
      <c r="J74" s="17"/>
      <c r="K74" s="7"/>
      <c r="L74" s="132"/>
      <c r="M74" s="138"/>
      <c r="N74" s="8"/>
      <c r="O74" s="35" t="str">
        <f t="shared" si="61"/>
        <v/>
      </c>
      <c r="P74" s="9"/>
      <c r="Q74" s="8"/>
      <c r="R74" s="35" t="str">
        <f t="shared" si="62"/>
        <v/>
      </c>
      <c r="S74" s="10"/>
      <c r="T74" s="8"/>
      <c r="U74" s="139" t="str">
        <f t="shared" si="63"/>
        <v/>
      </c>
      <c r="V74" s="147"/>
      <c r="W74" s="770" t="str" cm="1">
        <f t="array" ref="W74">IF((_xlfn.IFS(TRIM(SUBSTITUTE(V74,CHAR(160),""))="Devis 1",IFERROR(VALUE(TRIM(SUBSTITUTE(M74,CHAR(160),""))),0),TRIM(SUBSTITUTE(V74,CHAR(160),""))="Devis 2",IFERROR(VALUE(TRIM(SUBSTITUTE(P74,CHAR(160),""))),0),TRIM(SUBSTITUTE(V74,CHAR(160),""))="Devis 3",IFERROR(VALUE(TRIM(SUBSTITUTE(S74,CHAR(160),""))),0),TRUE,0)*IFERROR(VALUE(TRIM(SUBSTITUTE(D74,CHAR(160),""))),0))=0,"",_xlfn.IFS(TRIM(SUBSTITUTE(V74,CHAR(160),""))="Devis 1",IFERROR(VALUE(TRIM(SUBSTITUTE(M74,CHAR(160),""))),0),TRIM(SUBSTITUTE(V74,CHAR(160),""))="Devis 2",IFERROR(VALUE(TRIM(SUBSTITUTE(P74,CHAR(160),""))),0),TRIM(SUBSTITUTE(V74,CHAR(160),""))="Devis 3",IFERROR(VALUE(TRIM(SUBSTITUTE(S74,CHAR(160),""))),0),TRUE,0)*IFERROR(VALUE(TRIM(SUBSTITUTE(D74,CHAR(160),""))),0))</f>
        <v/>
      </c>
      <c r="X74" s="73" t="str" cm="1">
        <f t="array" ref="X74">IF(_xlfn.IFS(TRIM(SUBSTITUTE(V74,CHAR(160),""))="Devis 1",IFERROR(VALUE(TRIM(SUBSTITUTE(N74,CHAR(160),""))),0),TRIM(SUBSTITUTE(V74,CHAR(160),""))="Devis 2",IFERROR(VALUE(TRIM(SUBSTITUTE(Q74,CHAR(160),""))),0),TRIM(SUBSTITUTE(V74,CHAR(160),""))="Devis 3",IFERROR(VALUE(TRIM(SUBSTITUTE(T74,CHAR(160),""))),0),TRUE,0)*IFERROR(VALUE(TRIM(SUBSTITUTE(D74,CHAR(160),""))),0)=0,IF(W74&lt;&gt;"",0,""),_xlfn.IFS(TRIM(SUBSTITUTE(V74,CHAR(160),""))="Devis 1",IFERROR(VALUE(TRIM(SUBSTITUTE(N74,CHAR(160),""))),0),TRIM(SUBSTITUTE(V74,CHAR(160),""))="Devis 2",IFERROR(VALUE(TRIM(SUBSTITUTE(Q74,CHAR(160),""))),0),TRIM(SUBSTITUTE(V74,CHAR(160),""))="Devis 3",IFERROR(VALUE(TRIM(SUBSTITUTE(T74,CHAR(160),""))),0),TRUE,0)*IFERROR(VALUE(TRIM(SUBSTITUTE(D74,CHAR(160),""))),0))</f>
        <v/>
      </c>
      <c r="Y74" s="149" t="str">
        <f t="shared" si="64"/>
        <v/>
      </c>
      <c r="Z74" s="150"/>
      <c r="AA74" s="36" t="str">
        <f t="shared" si="65"/>
        <v/>
      </c>
      <c r="AB74" s="37" t="str">
        <f t="shared" si="66"/>
        <v/>
      </c>
      <c r="AC74" s="37" t="str">
        <f t="shared" si="31"/>
        <v/>
      </c>
      <c r="AD74" s="14" t="str">
        <f t="shared" si="67"/>
        <v/>
      </c>
      <c r="AE74" s="14" t="str">
        <f t="shared" si="68"/>
        <v/>
      </c>
      <c r="AF74" s="14" t="str">
        <f t="shared" si="69"/>
        <v/>
      </c>
      <c r="AG74" s="14" t="str">
        <f t="shared" si="70"/>
        <v/>
      </c>
      <c r="AH74" s="38" t="str">
        <f t="shared" si="71"/>
        <v/>
      </c>
      <c r="AI74" s="14" t="str">
        <f t="shared" si="72"/>
        <v/>
      </c>
      <c r="AJ74" s="39" t="str">
        <f t="shared" si="73"/>
        <v/>
      </c>
      <c r="AK74" s="40" t="str">
        <f t="shared" si="74"/>
        <v/>
      </c>
      <c r="AL74" s="20" t="str">
        <f t="shared" si="75"/>
        <v/>
      </c>
      <c r="AM74" s="35" t="str">
        <f t="shared" si="76"/>
        <v/>
      </c>
      <c r="AN74" s="41" t="str">
        <f t="shared" si="77"/>
        <v/>
      </c>
      <c r="AO74" s="20" t="str">
        <f t="shared" si="78"/>
        <v/>
      </c>
      <c r="AP74" s="35" t="str">
        <f t="shared" si="79"/>
        <v/>
      </c>
      <c r="AQ74" s="42" t="str">
        <f t="shared" si="80"/>
        <v/>
      </c>
      <c r="AR74" s="20" t="str">
        <f t="shared" si="81"/>
        <v/>
      </c>
      <c r="AS74" s="43" t="str">
        <f t="shared" si="82"/>
        <v/>
      </c>
      <c r="AT74" s="36" t="str">
        <f t="shared" si="83"/>
        <v/>
      </c>
      <c r="AU74" s="184"/>
      <c r="AV74" s="44" t="str">
        <f t="shared" si="84"/>
        <v/>
      </c>
      <c r="AW74" s="44" t="str">
        <f t="shared" si="85"/>
        <v/>
      </c>
      <c r="AX74" s="44" t="str">
        <f t="shared" si="86"/>
        <v/>
      </c>
      <c r="AY74" s="74" t="str" cm="1">
        <f t="array" ref="AY74">IF($AB74="","",IF((IFERROR(_xlfn.IFS($AT74="Devis 1",(IFERROR(VALUE(TRIM(SUBSTITUTE(AK74,CHAR(160),""))),0)),$AT74="Devis 2",(IFERROR(VALUE(TRIM(SUBSTITUTE(AN74,CHAR(160),""))),0)),$AT74="Devis 3",(IFERROR(VALUE(TRIM(SUBSTITUTE(AQ74,CHAR(160),""))),0))),0))*(IFERROR(VALUE(TRIM(SUBSTITUTE($AB74,CHAR(160),""))),0))=0,"",(IFERROR(_xlfn.IFS($AT74="Devis 1",(IFERROR(VALUE(TRIM(SUBSTITUTE(AK74,CHAR(160),""))),0)),$AT74="Devis 2",(IFERROR(VALUE(TRIM(SUBSTITUTE(AN74,CHAR(160),""))),0)),$AT74="Devis 3",(IFERROR(VALUE(TRIM(SUBSTITUTE(AQ74,CHAR(160),""))),0))),0))*(IFERROR(VALUE(TRIM(SUBSTITUTE($AB74,CHAR(160),""))),0))))</f>
        <v/>
      </c>
      <c r="AZ74" s="74" t="str" cm="1">
        <f t="array" ref="AZ74">IF($AB74="","",IF((IFERROR(_xlfn.IFS(TRIM(SUBSTITUTE($AT74,CHAR(160),""))="Devis 1", IFERROR(VALUE(TRIM(SUBSTITUTE(AL74,CHAR(160),""))),0),TRIM(SUBSTITUTE($AT74,CHAR(160),""))="Devis 2", IFERROR(VALUE(TRIM(SUBSTITUTE(AO74,CHAR(160),""))),0),TRIM(SUBSTITUTE($AT74,CHAR(160),""))="Devis 3", IFERROR(VALUE(TRIM(SUBSTITUTE(AR74,CHAR(160),""))),0)),0) * IFERROR(VALUE(TRIM(SUBSTITUTE($AB74,CHAR(160),""))),0)) = 0,IF(AY74&lt;&gt;"",0,""),(IFERROR(_xlfn.IFS(TRIM(SUBSTITUTE($AT74,CHAR(160),""))="Devis 1", IFERROR(VALUE(TRIM(SUBSTITUTE(AL74,CHAR(160),""))),0),TRIM(SUBSTITUTE($AT74,CHAR(160),""))="Devis 2", IFERROR(VALUE(TRIM(SUBSTITUTE(AO74,CHAR(160),""))),0),TRIM(SUBSTITUTE($AT74,CHAR(160),""))="Devis 3", IFERROR(VALUE(TRIM(SUBSTITUTE(AR74,CHAR(160),""))),0)),0) * IFERROR(VALUE(TRIM(SUBSTITUTE($AB74,CHAR(160),""))),0))))</f>
        <v/>
      </c>
      <c r="BA74" s="74" t="str" cm="1">
        <f t="array" ref="BA74">IF($AB74="","",IF(IFERROR(_xlfn.IFS($AT74="Devis 1",IFERROR(VALUE(TRIM(SUBSTITUTE(AM74,CHAR(160),""))),0),$AT74="Devis 2",IFERROR(VALUE(TRIM(SUBSTITUTE(AP74,CHAR(160),""))),0),$AT74="Devis 3",IFERROR(VALUE(TRIM(SUBSTITUTE(AS74,CHAR(160),""))),0)),0)*IFERROR(VALUE(TRIM(SUBSTITUTE($AB74,CHAR(160),""))),0)=0,"",IFERROR(_xlfn.IFS($AT74="Devis 1",IFERROR(VALUE(TRIM(SUBSTITUTE(AM74,CHAR(160),""))),0),$AT74="Devis 2",IFERROR(VALUE(TRIM(SUBSTITUTE(AP74,CHAR(160),""))),0),$AT74="Devis 3",IFERROR(VALUE(TRIM(SUBSTITUTE(AS74,CHAR(160),""))),0)),0)*IFERROR(VALUE(TRIM(SUBSTITUTE($AB74,CHAR(160),""))),0)))</f>
        <v/>
      </c>
      <c r="BB74" s="45"/>
      <c r="BC74" s="13" t="str" cm="1">
        <f t="array" ref="BC74">IF(OR(BA74="",AX74="",AY74="",AV74="",AZ74="",AW74=""),"",_xlfn.IFS((IFERROR(VALUE(TRIM(SUBSTITUTE(BA74,CHAR(160),""))),0))&gt;(IFERROR(VALUE(TRIM(SUBSTITUTE(AX74,CHAR(160),""))),0)),"KO : Le montant retenu TTC est supérieur au montant raisonnable TTC. Merci de revoir la ligne de dépense ou plafonner son montant.",(IFERROR(VALUE(TRIM(SUBSTITUTE(AY74,CHAR(160),""))),0))&gt;(IFERROR(VALUE(TRIM(SUBSTITUTE(AV74,CHAR(160),""))),0)),"Attention : Le montant retenu HT est supérieur au montant HT raisonnable. Merci de revoir la ligne de dépense, plafonner son montant, ou justifier la reventillation HT / TVA.",(IFERROR(VALUE(TRIM(SUBSTITUTE(AZ74,CHAR(160),""))),0))&gt;(IFERROR(VALUE(TRIM(SUBSTITUTE(AW74,CHAR(160),""))),0)),"Attention : Le montant TVA retenu est supérieur au montant TVA raisonnable. Merci de revoir la ligne de dépense, plafonner son montant, ou justifier la reventillation HT / TVA.",(IFERROR(VALUE(TRIM(SUBSTITUTE(BA74,CHAR(160),""))),0))=0,"",(IFERROR(VALUE(TRIM(SUBSTITUTE(AX74,CHAR(160),""))),0))=(IFERROR(VALUE(TRIM(SUBSTITUTE(BA74,CHAR(160),""))),0)),"OK",(IFERROR(VALUE(TRIM(SUBSTITUTE(AX74,CHAR(160),""))),0))&gt;(IFERROR(VALUE(TRIM(SUBSTITUTE(BA74,CHAR(160),""))),0))," OK : Montant instruit inférieur au montant raisonnable.",TRUE,""))</f>
        <v/>
      </c>
      <c r="BD74" s="187" t="str" cm="1">
        <f t="array" ref="BD74">IF(OR(BA74="",Y74="",AY74="",W74="",AZ74="",X74=""),"",_xlfn.IFS((IFERROR(VALUE(TRIM(SUBSTITUTE(BA74,CHAR(160),""))),0))&gt;(IFERROR(VALUE(TRIM(SUBSTITUTE(Y74,CHAR(160),""))),0)),"KO : Le montant retenu TTC est supérieur au montant présenté TTC. Merci de revoir la ligne de dépense ou plafonner son montant.",(IFERROR(VALUE(TRIM(SUBSTITUTE(AY74,CHAR(160),""))),0))&gt;(IFERROR(VALUE(TRIM(SUBSTITUTE(W74,CHAR(160),""))),0)),"Attention : Le montant retenu HT est supérieur au montant HT présenté. Merci de revoir la ligne de dépense,plafonner son montant,ou justifier la reventillation HT/TVA.",(IFERROR(VALUE(TRIM(SUBSTITUTE(AZ74,CHAR(160),""))),0))&gt;(IFERROR(VALUE(TRIM(SUBSTITUTE(X74,CHAR(160),""))),0)),"Attention : Le montant TVA retenu est supérieur au montant TVA présenté. Merci de revoir la ligne de dépense,plafonner son montant,ou justifier la reventillation HT/TVA.",(IFERROR(VALUE(TRIM(SUBSTITUTE(Y74,CHAR(160),""))),0))=0,"",(IFERROR(VALUE(TRIM(SUBSTITUTE(BA74,CHAR(160),""))),0))=(IFERROR(VALUE(TRIM(SUBSTITUTE(Y74,CHAR(160),""))),0)),"OK",
OR((IFERROR(VALUE(TRIM(SUBSTITUTE(BA74,CHAR(160),""))),0))=0,(IFERROR(VALUE(TRIM(SUBSTITUTE(AY74,CHAR(160),""))),0))=0),"Attention : montant présenté entièrement écarté",(IFERROR(VALUE(TRIM(SUBSTITUTE(BA74,CHAR(160),""))),0))&lt;(IFERROR(VALUE(TRIM(SUBSTITUTE(Y74,CHAR(160),""))),0)),"Attention : montant présenté partiellement écarté",TRUE,""))</f>
        <v/>
      </c>
      <c r="BE74" s="44" t="str">
        <f t="shared" si="87"/>
        <v/>
      </c>
      <c r="BF74" s="44" t="str">
        <f t="shared" si="88"/>
        <v/>
      </c>
      <c r="BG74" s="21" t="str">
        <f t="shared" si="89"/>
        <v/>
      </c>
    </row>
    <row r="75" spans="1:59" ht="15" customHeight="1">
      <c r="A75" s="70">
        <v>66</v>
      </c>
      <c r="B75" s="784"/>
      <c r="C75" s="7"/>
      <c r="D75" s="11"/>
      <c r="E75" s="11"/>
      <c r="F75" s="7"/>
      <c r="G75" s="7"/>
      <c r="H75" s="7"/>
      <c r="I75" s="7"/>
      <c r="J75" s="17"/>
      <c r="K75" s="7"/>
      <c r="L75" s="132"/>
      <c r="M75" s="138"/>
      <c r="N75" s="8"/>
      <c r="O75" s="35" t="str">
        <f t="shared" si="61"/>
        <v/>
      </c>
      <c r="P75" s="9"/>
      <c r="Q75" s="8"/>
      <c r="R75" s="35" t="str">
        <f t="shared" si="62"/>
        <v/>
      </c>
      <c r="S75" s="10"/>
      <c r="T75" s="8"/>
      <c r="U75" s="139" t="str">
        <f t="shared" si="63"/>
        <v/>
      </c>
      <c r="V75" s="147"/>
      <c r="W75" s="770" t="str" cm="1">
        <f t="array" ref="W75">IF((_xlfn.IFS(TRIM(SUBSTITUTE(V75,CHAR(160),""))="Devis 1",IFERROR(VALUE(TRIM(SUBSTITUTE(M75,CHAR(160),""))),0),TRIM(SUBSTITUTE(V75,CHAR(160),""))="Devis 2",IFERROR(VALUE(TRIM(SUBSTITUTE(P75,CHAR(160),""))),0),TRIM(SUBSTITUTE(V75,CHAR(160),""))="Devis 3",IFERROR(VALUE(TRIM(SUBSTITUTE(S75,CHAR(160),""))),0),TRUE,0)*IFERROR(VALUE(TRIM(SUBSTITUTE(D75,CHAR(160),""))),0))=0,"",_xlfn.IFS(TRIM(SUBSTITUTE(V75,CHAR(160),""))="Devis 1",IFERROR(VALUE(TRIM(SUBSTITUTE(M75,CHAR(160),""))),0),TRIM(SUBSTITUTE(V75,CHAR(160),""))="Devis 2",IFERROR(VALUE(TRIM(SUBSTITUTE(P75,CHAR(160),""))),0),TRIM(SUBSTITUTE(V75,CHAR(160),""))="Devis 3",IFERROR(VALUE(TRIM(SUBSTITUTE(S75,CHAR(160),""))),0),TRUE,0)*IFERROR(VALUE(TRIM(SUBSTITUTE(D75,CHAR(160),""))),0))</f>
        <v/>
      </c>
      <c r="X75" s="73" t="str" cm="1">
        <f t="array" ref="X75">IF(_xlfn.IFS(TRIM(SUBSTITUTE(V75,CHAR(160),""))="Devis 1",IFERROR(VALUE(TRIM(SUBSTITUTE(N75,CHAR(160),""))),0),TRIM(SUBSTITUTE(V75,CHAR(160),""))="Devis 2",IFERROR(VALUE(TRIM(SUBSTITUTE(Q75,CHAR(160),""))),0),TRIM(SUBSTITUTE(V75,CHAR(160),""))="Devis 3",IFERROR(VALUE(TRIM(SUBSTITUTE(T75,CHAR(160),""))),0),TRUE,0)*IFERROR(VALUE(TRIM(SUBSTITUTE(D75,CHAR(160),""))),0)=0,IF(W75&lt;&gt;"",0,""),_xlfn.IFS(TRIM(SUBSTITUTE(V75,CHAR(160),""))="Devis 1",IFERROR(VALUE(TRIM(SUBSTITUTE(N75,CHAR(160),""))),0),TRIM(SUBSTITUTE(V75,CHAR(160),""))="Devis 2",IFERROR(VALUE(TRIM(SUBSTITUTE(Q75,CHAR(160),""))),0),TRIM(SUBSTITUTE(V75,CHAR(160),""))="Devis 3",IFERROR(VALUE(TRIM(SUBSTITUTE(T75,CHAR(160),""))),0),TRUE,0)*IFERROR(VALUE(TRIM(SUBSTITUTE(D75,CHAR(160),""))),0))</f>
        <v/>
      </c>
      <c r="Y75" s="149" t="str">
        <f t="shared" si="64"/>
        <v/>
      </c>
      <c r="Z75" s="150"/>
      <c r="AA75" s="36" t="str">
        <f t="shared" si="65"/>
        <v/>
      </c>
      <c r="AB75" s="37" t="str">
        <f t="shared" si="66"/>
        <v/>
      </c>
      <c r="AC75" s="37" t="str">
        <f t="shared" ref="AC75:AC109" si="90">IF(E75="","",E75)</f>
        <v/>
      </c>
      <c r="AD75" s="14" t="str">
        <f t="shared" si="67"/>
        <v/>
      </c>
      <c r="AE75" s="14" t="str">
        <f t="shared" si="68"/>
        <v/>
      </c>
      <c r="AF75" s="14" t="str">
        <f t="shared" si="69"/>
        <v/>
      </c>
      <c r="AG75" s="14" t="str">
        <f t="shared" si="70"/>
        <v/>
      </c>
      <c r="AH75" s="38" t="str">
        <f t="shared" si="71"/>
        <v/>
      </c>
      <c r="AI75" s="14" t="str">
        <f t="shared" si="72"/>
        <v/>
      </c>
      <c r="AJ75" s="39" t="str">
        <f t="shared" si="73"/>
        <v/>
      </c>
      <c r="AK75" s="40" t="str">
        <f t="shared" si="74"/>
        <v/>
      </c>
      <c r="AL75" s="20" t="str">
        <f t="shared" si="75"/>
        <v/>
      </c>
      <c r="AM75" s="35" t="str">
        <f t="shared" si="76"/>
        <v/>
      </c>
      <c r="AN75" s="41" t="str">
        <f t="shared" si="77"/>
        <v/>
      </c>
      <c r="AO75" s="20" t="str">
        <f t="shared" si="78"/>
        <v/>
      </c>
      <c r="AP75" s="35" t="str">
        <f t="shared" si="79"/>
        <v/>
      </c>
      <c r="AQ75" s="42" t="str">
        <f t="shared" si="80"/>
        <v/>
      </c>
      <c r="AR75" s="20" t="str">
        <f t="shared" si="81"/>
        <v/>
      </c>
      <c r="AS75" s="43" t="str">
        <f t="shared" si="82"/>
        <v/>
      </c>
      <c r="AT75" s="36" t="str">
        <f t="shared" si="83"/>
        <v/>
      </c>
      <c r="AU75" s="184"/>
      <c r="AV75" s="44" t="str">
        <f t="shared" si="84"/>
        <v/>
      </c>
      <c r="AW75" s="44" t="str">
        <f t="shared" si="85"/>
        <v/>
      </c>
      <c r="AX75" s="44" t="str">
        <f t="shared" si="86"/>
        <v/>
      </c>
      <c r="AY75" s="74" t="str" cm="1">
        <f t="array" ref="AY75">IF($AB75="","",IF((IFERROR(_xlfn.IFS($AT75="Devis 1",(IFERROR(VALUE(TRIM(SUBSTITUTE(AK75,CHAR(160),""))),0)),$AT75="Devis 2",(IFERROR(VALUE(TRIM(SUBSTITUTE(AN75,CHAR(160),""))),0)),$AT75="Devis 3",(IFERROR(VALUE(TRIM(SUBSTITUTE(AQ75,CHAR(160),""))),0))),0))*(IFERROR(VALUE(TRIM(SUBSTITUTE($AB75,CHAR(160),""))),0))=0,"",(IFERROR(_xlfn.IFS($AT75="Devis 1",(IFERROR(VALUE(TRIM(SUBSTITUTE(AK75,CHAR(160),""))),0)),$AT75="Devis 2",(IFERROR(VALUE(TRIM(SUBSTITUTE(AN75,CHAR(160),""))),0)),$AT75="Devis 3",(IFERROR(VALUE(TRIM(SUBSTITUTE(AQ75,CHAR(160),""))),0))),0))*(IFERROR(VALUE(TRIM(SUBSTITUTE($AB75,CHAR(160),""))),0))))</f>
        <v/>
      </c>
      <c r="AZ75" s="74" t="str" cm="1">
        <f t="array" ref="AZ75">IF($AB75="","",IF((IFERROR(_xlfn.IFS(TRIM(SUBSTITUTE($AT75,CHAR(160),""))="Devis 1", IFERROR(VALUE(TRIM(SUBSTITUTE(AL75,CHAR(160),""))),0),TRIM(SUBSTITUTE($AT75,CHAR(160),""))="Devis 2", IFERROR(VALUE(TRIM(SUBSTITUTE(AO75,CHAR(160),""))),0),TRIM(SUBSTITUTE($AT75,CHAR(160),""))="Devis 3", IFERROR(VALUE(TRIM(SUBSTITUTE(AR75,CHAR(160),""))),0)),0) * IFERROR(VALUE(TRIM(SUBSTITUTE($AB75,CHAR(160),""))),0)) = 0,IF(AY75&lt;&gt;"",0,""),(IFERROR(_xlfn.IFS(TRIM(SUBSTITUTE($AT75,CHAR(160),""))="Devis 1", IFERROR(VALUE(TRIM(SUBSTITUTE(AL75,CHAR(160),""))),0),TRIM(SUBSTITUTE($AT75,CHAR(160),""))="Devis 2", IFERROR(VALUE(TRIM(SUBSTITUTE(AO75,CHAR(160),""))),0),TRIM(SUBSTITUTE($AT75,CHAR(160),""))="Devis 3", IFERROR(VALUE(TRIM(SUBSTITUTE(AR75,CHAR(160),""))),0)),0) * IFERROR(VALUE(TRIM(SUBSTITUTE($AB75,CHAR(160),""))),0))))</f>
        <v/>
      </c>
      <c r="BA75" s="74" t="str" cm="1">
        <f t="array" ref="BA75">IF($AB75="","",IF(IFERROR(_xlfn.IFS($AT75="Devis 1",IFERROR(VALUE(TRIM(SUBSTITUTE(AM75,CHAR(160),""))),0),$AT75="Devis 2",IFERROR(VALUE(TRIM(SUBSTITUTE(AP75,CHAR(160),""))),0),$AT75="Devis 3",IFERROR(VALUE(TRIM(SUBSTITUTE(AS75,CHAR(160),""))),0)),0)*IFERROR(VALUE(TRIM(SUBSTITUTE($AB75,CHAR(160),""))),0)=0,"",IFERROR(_xlfn.IFS($AT75="Devis 1",IFERROR(VALUE(TRIM(SUBSTITUTE(AM75,CHAR(160),""))),0),$AT75="Devis 2",IFERROR(VALUE(TRIM(SUBSTITUTE(AP75,CHAR(160),""))),0),$AT75="Devis 3",IFERROR(VALUE(TRIM(SUBSTITUTE(AS75,CHAR(160),""))),0)),0)*IFERROR(VALUE(TRIM(SUBSTITUTE($AB75,CHAR(160),""))),0)))</f>
        <v/>
      </c>
      <c r="BB75" s="45"/>
      <c r="BC75" s="13" t="str" cm="1">
        <f t="array" ref="BC75">IF(OR(BA75="",AX75="",AY75="",AV75="",AZ75="",AW75=""),"",_xlfn.IFS((IFERROR(VALUE(TRIM(SUBSTITUTE(BA75,CHAR(160),""))),0))&gt;(IFERROR(VALUE(TRIM(SUBSTITUTE(AX75,CHAR(160),""))),0)),"KO : Le montant retenu TTC est supérieur au montant raisonnable TTC. Merci de revoir la ligne de dépense ou plafonner son montant.",(IFERROR(VALUE(TRIM(SUBSTITUTE(AY75,CHAR(160),""))),0))&gt;(IFERROR(VALUE(TRIM(SUBSTITUTE(AV75,CHAR(160),""))),0)),"Attention : Le montant retenu HT est supérieur au montant HT raisonnable. Merci de revoir la ligne de dépense, plafonner son montant, ou justifier la reventillation HT / TVA.",(IFERROR(VALUE(TRIM(SUBSTITUTE(AZ75,CHAR(160),""))),0))&gt;(IFERROR(VALUE(TRIM(SUBSTITUTE(AW75,CHAR(160),""))),0)),"Attention : Le montant TVA retenu est supérieur au montant TVA raisonnable. Merci de revoir la ligne de dépense, plafonner son montant, ou justifier la reventillation HT / TVA.",(IFERROR(VALUE(TRIM(SUBSTITUTE(BA75,CHAR(160),""))),0))=0,"",(IFERROR(VALUE(TRIM(SUBSTITUTE(AX75,CHAR(160),""))),0))=(IFERROR(VALUE(TRIM(SUBSTITUTE(BA75,CHAR(160),""))),0)),"OK",(IFERROR(VALUE(TRIM(SUBSTITUTE(AX75,CHAR(160),""))),0))&gt;(IFERROR(VALUE(TRIM(SUBSTITUTE(BA75,CHAR(160),""))),0))," OK : Montant instruit inférieur au montant raisonnable.",TRUE,""))</f>
        <v/>
      </c>
      <c r="BD75" s="187" t="str" cm="1">
        <f t="array" ref="BD75">IF(OR(BA75="",Y75="",AY75="",W75="",AZ75="",X75=""),"",_xlfn.IFS((IFERROR(VALUE(TRIM(SUBSTITUTE(BA75,CHAR(160),""))),0))&gt;(IFERROR(VALUE(TRIM(SUBSTITUTE(Y75,CHAR(160),""))),0)),"KO : Le montant retenu TTC est supérieur au montant présenté TTC. Merci de revoir la ligne de dépense ou plafonner son montant.",(IFERROR(VALUE(TRIM(SUBSTITUTE(AY75,CHAR(160),""))),0))&gt;(IFERROR(VALUE(TRIM(SUBSTITUTE(W75,CHAR(160),""))),0)),"Attention : Le montant retenu HT est supérieur au montant HT présenté. Merci de revoir la ligne de dépense,plafonner son montant,ou justifier la reventillation HT/TVA.",(IFERROR(VALUE(TRIM(SUBSTITUTE(AZ75,CHAR(160),""))),0))&gt;(IFERROR(VALUE(TRIM(SUBSTITUTE(X75,CHAR(160),""))),0)),"Attention : Le montant TVA retenu est supérieur au montant TVA présenté. Merci de revoir la ligne de dépense,plafonner son montant,ou justifier la reventillation HT/TVA.",(IFERROR(VALUE(TRIM(SUBSTITUTE(Y75,CHAR(160),""))),0))=0,"",(IFERROR(VALUE(TRIM(SUBSTITUTE(BA75,CHAR(160),""))),0))=(IFERROR(VALUE(TRIM(SUBSTITUTE(Y75,CHAR(160),""))),0)),"OK",
OR((IFERROR(VALUE(TRIM(SUBSTITUTE(BA75,CHAR(160),""))),0))=0,(IFERROR(VALUE(TRIM(SUBSTITUTE(AY75,CHAR(160),""))),0))=0),"Attention : montant présenté entièrement écarté",(IFERROR(VALUE(TRIM(SUBSTITUTE(BA75,CHAR(160),""))),0))&lt;(IFERROR(VALUE(TRIM(SUBSTITUTE(Y75,CHAR(160),""))),0)),"Attention : montant présenté partiellement écarté",TRUE,""))</f>
        <v/>
      </c>
      <c r="BE75" s="44" t="str">
        <f t="shared" si="87"/>
        <v/>
      </c>
      <c r="BF75" s="44" t="str">
        <f t="shared" si="88"/>
        <v/>
      </c>
      <c r="BG75" s="21" t="str">
        <f t="shared" si="89"/>
        <v/>
      </c>
    </row>
    <row r="76" spans="1:59" ht="15" customHeight="1">
      <c r="A76" s="70">
        <v>67</v>
      </c>
      <c r="B76" s="784"/>
      <c r="C76" s="7"/>
      <c r="D76" s="11"/>
      <c r="E76" s="11"/>
      <c r="F76" s="7"/>
      <c r="G76" s="7"/>
      <c r="H76" s="7"/>
      <c r="I76" s="7"/>
      <c r="J76" s="17"/>
      <c r="K76" s="7"/>
      <c r="L76" s="132"/>
      <c r="M76" s="138"/>
      <c r="N76" s="8"/>
      <c r="O76" s="35" t="str">
        <f t="shared" si="61"/>
        <v/>
      </c>
      <c r="P76" s="9"/>
      <c r="Q76" s="8"/>
      <c r="R76" s="35" t="str">
        <f t="shared" si="62"/>
        <v/>
      </c>
      <c r="S76" s="10"/>
      <c r="T76" s="8"/>
      <c r="U76" s="139" t="str">
        <f t="shared" si="63"/>
        <v/>
      </c>
      <c r="V76" s="147"/>
      <c r="W76" s="770" t="str" cm="1">
        <f t="array" ref="W76">IF((_xlfn.IFS(TRIM(SUBSTITUTE(V76,CHAR(160),""))="Devis 1",IFERROR(VALUE(TRIM(SUBSTITUTE(M76,CHAR(160),""))),0),TRIM(SUBSTITUTE(V76,CHAR(160),""))="Devis 2",IFERROR(VALUE(TRIM(SUBSTITUTE(P76,CHAR(160),""))),0),TRIM(SUBSTITUTE(V76,CHAR(160),""))="Devis 3",IFERROR(VALUE(TRIM(SUBSTITUTE(S76,CHAR(160),""))),0),TRUE,0)*IFERROR(VALUE(TRIM(SUBSTITUTE(D76,CHAR(160),""))),0))=0,"",_xlfn.IFS(TRIM(SUBSTITUTE(V76,CHAR(160),""))="Devis 1",IFERROR(VALUE(TRIM(SUBSTITUTE(M76,CHAR(160),""))),0),TRIM(SUBSTITUTE(V76,CHAR(160),""))="Devis 2",IFERROR(VALUE(TRIM(SUBSTITUTE(P76,CHAR(160),""))),0),TRIM(SUBSTITUTE(V76,CHAR(160),""))="Devis 3",IFERROR(VALUE(TRIM(SUBSTITUTE(S76,CHAR(160),""))),0),TRUE,0)*IFERROR(VALUE(TRIM(SUBSTITUTE(D76,CHAR(160),""))),0))</f>
        <v/>
      </c>
      <c r="X76" s="73" t="str" cm="1">
        <f t="array" ref="X76">IF(_xlfn.IFS(TRIM(SUBSTITUTE(V76,CHAR(160),""))="Devis 1",IFERROR(VALUE(TRIM(SUBSTITUTE(N76,CHAR(160),""))),0),TRIM(SUBSTITUTE(V76,CHAR(160),""))="Devis 2",IFERROR(VALUE(TRIM(SUBSTITUTE(Q76,CHAR(160),""))),0),TRIM(SUBSTITUTE(V76,CHAR(160),""))="Devis 3",IFERROR(VALUE(TRIM(SUBSTITUTE(T76,CHAR(160),""))),0),TRUE,0)*IFERROR(VALUE(TRIM(SUBSTITUTE(D76,CHAR(160),""))),0)=0,IF(W76&lt;&gt;"",0,""),_xlfn.IFS(TRIM(SUBSTITUTE(V76,CHAR(160),""))="Devis 1",IFERROR(VALUE(TRIM(SUBSTITUTE(N76,CHAR(160),""))),0),TRIM(SUBSTITUTE(V76,CHAR(160),""))="Devis 2",IFERROR(VALUE(TRIM(SUBSTITUTE(Q76,CHAR(160),""))),0),TRIM(SUBSTITUTE(V76,CHAR(160),""))="Devis 3",IFERROR(VALUE(TRIM(SUBSTITUTE(T76,CHAR(160),""))),0),TRUE,0)*IFERROR(VALUE(TRIM(SUBSTITUTE(D76,CHAR(160),""))),0))</f>
        <v/>
      </c>
      <c r="Y76" s="149" t="str">
        <f t="shared" si="64"/>
        <v/>
      </c>
      <c r="Z76" s="150"/>
      <c r="AA76" s="36" t="str">
        <f t="shared" si="65"/>
        <v/>
      </c>
      <c r="AB76" s="37" t="str">
        <f t="shared" si="66"/>
        <v/>
      </c>
      <c r="AC76" s="37" t="str">
        <f t="shared" si="90"/>
        <v/>
      </c>
      <c r="AD76" s="14" t="str">
        <f t="shared" si="67"/>
        <v/>
      </c>
      <c r="AE76" s="14" t="str">
        <f t="shared" si="68"/>
        <v/>
      </c>
      <c r="AF76" s="14" t="str">
        <f t="shared" si="69"/>
        <v/>
      </c>
      <c r="AG76" s="14" t="str">
        <f t="shared" si="70"/>
        <v/>
      </c>
      <c r="AH76" s="38" t="str">
        <f t="shared" si="71"/>
        <v/>
      </c>
      <c r="AI76" s="14" t="str">
        <f t="shared" si="72"/>
        <v/>
      </c>
      <c r="AJ76" s="39" t="str">
        <f t="shared" si="73"/>
        <v/>
      </c>
      <c r="AK76" s="40" t="str">
        <f t="shared" si="74"/>
        <v/>
      </c>
      <c r="AL76" s="20" t="str">
        <f t="shared" si="75"/>
        <v/>
      </c>
      <c r="AM76" s="35" t="str">
        <f t="shared" si="76"/>
        <v/>
      </c>
      <c r="AN76" s="41" t="str">
        <f t="shared" si="77"/>
        <v/>
      </c>
      <c r="AO76" s="20" t="str">
        <f t="shared" si="78"/>
        <v/>
      </c>
      <c r="AP76" s="35" t="str">
        <f t="shared" si="79"/>
        <v/>
      </c>
      <c r="AQ76" s="42" t="str">
        <f t="shared" si="80"/>
        <v/>
      </c>
      <c r="AR76" s="20" t="str">
        <f t="shared" si="81"/>
        <v/>
      </c>
      <c r="AS76" s="43" t="str">
        <f t="shared" si="82"/>
        <v/>
      </c>
      <c r="AT76" s="36" t="str">
        <f t="shared" si="83"/>
        <v/>
      </c>
      <c r="AU76" s="184"/>
      <c r="AV76" s="44" t="str">
        <f t="shared" si="84"/>
        <v/>
      </c>
      <c r="AW76" s="44" t="str">
        <f t="shared" si="85"/>
        <v/>
      </c>
      <c r="AX76" s="44" t="str">
        <f t="shared" si="86"/>
        <v/>
      </c>
      <c r="AY76" s="74" t="str" cm="1">
        <f t="array" ref="AY76">IF($AB76="","",IF((IFERROR(_xlfn.IFS($AT76="Devis 1",(IFERROR(VALUE(TRIM(SUBSTITUTE(AK76,CHAR(160),""))),0)),$AT76="Devis 2",(IFERROR(VALUE(TRIM(SUBSTITUTE(AN76,CHAR(160),""))),0)),$AT76="Devis 3",(IFERROR(VALUE(TRIM(SUBSTITUTE(AQ76,CHAR(160),""))),0))),0))*(IFERROR(VALUE(TRIM(SUBSTITUTE($AB76,CHAR(160),""))),0))=0,"",(IFERROR(_xlfn.IFS($AT76="Devis 1",(IFERROR(VALUE(TRIM(SUBSTITUTE(AK76,CHAR(160),""))),0)),$AT76="Devis 2",(IFERROR(VALUE(TRIM(SUBSTITUTE(AN76,CHAR(160),""))),0)),$AT76="Devis 3",(IFERROR(VALUE(TRIM(SUBSTITUTE(AQ76,CHAR(160),""))),0))),0))*(IFERROR(VALUE(TRIM(SUBSTITUTE($AB76,CHAR(160),""))),0))))</f>
        <v/>
      </c>
      <c r="AZ76" s="74" t="str" cm="1">
        <f t="array" ref="AZ76">IF($AB76="","",IF((IFERROR(_xlfn.IFS(TRIM(SUBSTITUTE($AT76,CHAR(160),""))="Devis 1", IFERROR(VALUE(TRIM(SUBSTITUTE(AL76,CHAR(160),""))),0),TRIM(SUBSTITUTE($AT76,CHAR(160),""))="Devis 2", IFERROR(VALUE(TRIM(SUBSTITUTE(AO76,CHAR(160),""))),0),TRIM(SUBSTITUTE($AT76,CHAR(160),""))="Devis 3", IFERROR(VALUE(TRIM(SUBSTITUTE(AR76,CHAR(160),""))),0)),0) * IFERROR(VALUE(TRIM(SUBSTITUTE($AB76,CHAR(160),""))),0)) = 0,IF(AY76&lt;&gt;"",0,""),(IFERROR(_xlfn.IFS(TRIM(SUBSTITUTE($AT76,CHAR(160),""))="Devis 1", IFERROR(VALUE(TRIM(SUBSTITUTE(AL76,CHAR(160),""))),0),TRIM(SUBSTITUTE($AT76,CHAR(160),""))="Devis 2", IFERROR(VALUE(TRIM(SUBSTITUTE(AO76,CHAR(160),""))),0),TRIM(SUBSTITUTE($AT76,CHAR(160),""))="Devis 3", IFERROR(VALUE(TRIM(SUBSTITUTE(AR76,CHAR(160),""))),0)),0) * IFERROR(VALUE(TRIM(SUBSTITUTE($AB76,CHAR(160),""))),0))))</f>
        <v/>
      </c>
      <c r="BA76" s="74" t="str" cm="1">
        <f t="array" ref="BA76">IF($AB76="","",IF(IFERROR(_xlfn.IFS($AT76="Devis 1",IFERROR(VALUE(TRIM(SUBSTITUTE(AM76,CHAR(160),""))),0),$AT76="Devis 2",IFERROR(VALUE(TRIM(SUBSTITUTE(AP76,CHAR(160),""))),0),$AT76="Devis 3",IFERROR(VALUE(TRIM(SUBSTITUTE(AS76,CHAR(160),""))),0)),0)*IFERROR(VALUE(TRIM(SUBSTITUTE($AB76,CHAR(160),""))),0)=0,"",IFERROR(_xlfn.IFS($AT76="Devis 1",IFERROR(VALUE(TRIM(SUBSTITUTE(AM76,CHAR(160),""))),0),$AT76="Devis 2",IFERROR(VALUE(TRIM(SUBSTITUTE(AP76,CHAR(160),""))),0),$AT76="Devis 3",IFERROR(VALUE(TRIM(SUBSTITUTE(AS76,CHAR(160),""))),0)),0)*IFERROR(VALUE(TRIM(SUBSTITUTE($AB76,CHAR(160),""))),0)))</f>
        <v/>
      </c>
      <c r="BB76" s="45"/>
      <c r="BC76" s="13" t="str" cm="1">
        <f t="array" ref="BC76">IF(OR(BA76="",AX76="",AY76="",AV76="",AZ76="",AW76=""),"",_xlfn.IFS((IFERROR(VALUE(TRIM(SUBSTITUTE(BA76,CHAR(160),""))),0))&gt;(IFERROR(VALUE(TRIM(SUBSTITUTE(AX76,CHAR(160),""))),0)),"KO : Le montant retenu TTC est supérieur au montant raisonnable TTC. Merci de revoir la ligne de dépense ou plafonner son montant.",(IFERROR(VALUE(TRIM(SUBSTITUTE(AY76,CHAR(160),""))),0))&gt;(IFERROR(VALUE(TRIM(SUBSTITUTE(AV76,CHAR(160),""))),0)),"Attention : Le montant retenu HT est supérieur au montant HT raisonnable. Merci de revoir la ligne de dépense, plafonner son montant, ou justifier la reventillation HT / TVA.",(IFERROR(VALUE(TRIM(SUBSTITUTE(AZ76,CHAR(160),""))),0))&gt;(IFERROR(VALUE(TRIM(SUBSTITUTE(AW76,CHAR(160),""))),0)),"Attention : Le montant TVA retenu est supérieur au montant TVA raisonnable. Merci de revoir la ligne de dépense, plafonner son montant, ou justifier la reventillation HT / TVA.",(IFERROR(VALUE(TRIM(SUBSTITUTE(BA76,CHAR(160),""))),0))=0,"",(IFERROR(VALUE(TRIM(SUBSTITUTE(AX76,CHAR(160),""))),0))=(IFERROR(VALUE(TRIM(SUBSTITUTE(BA76,CHAR(160),""))),0)),"OK",(IFERROR(VALUE(TRIM(SUBSTITUTE(AX76,CHAR(160),""))),0))&gt;(IFERROR(VALUE(TRIM(SUBSTITUTE(BA76,CHAR(160),""))),0))," OK : Montant instruit inférieur au montant raisonnable.",TRUE,""))</f>
        <v/>
      </c>
      <c r="BD76" s="187" t="str" cm="1">
        <f t="array" ref="BD76">IF(OR(BA76="",Y76="",AY76="",W76="",AZ76="",X76=""),"",_xlfn.IFS((IFERROR(VALUE(TRIM(SUBSTITUTE(BA76,CHAR(160),""))),0))&gt;(IFERROR(VALUE(TRIM(SUBSTITUTE(Y76,CHAR(160),""))),0)),"KO : Le montant retenu TTC est supérieur au montant présenté TTC. Merci de revoir la ligne de dépense ou plafonner son montant.",(IFERROR(VALUE(TRIM(SUBSTITUTE(AY76,CHAR(160),""))),0))&gt;(IFERROR(VALUE(TRIM(SUBSTITUTE(W76,CHAR(160),""))),0)),"Attention : Le montant retenu HT est supérieur au montant HT présenté. Merci de revoir la ligne de dépense,plafonner son montant,ou justifier la reventillation HT/TVA.",(IFERROR(VALUE(TRIM(SUBSTITUTE(AZ76,CHAR(160),""))),0))&gt;(IFERROR(VALUE(TRIM(SUBSTITUTE(X76,CHAR(160),""))),0)),"Attention : Le montant TVA retenu est supérieur au montant TVA présenté. Merci de revoir la ligne de dépense,plafonner son montant,ou justifier la reventillation HT/TVA.",(IFERROR(VALUE(TRIM(SUBSTITUTE(Y76,CHAR(160),""))),0))=0,"",(IFERROR(VALUE(TRIM(SUBSTITUTE(BA76,CHAR(160),""))),0))=(IFERROR(VALUE(TRIM(SUBSTITUTE(Y76,CHAR(160),""))),0)),"OK",
OR((IFERROR(VALUE(TRIM(SUBSTITUTE(BA76,CHAR(160),""))),0))=0,(IFERROR(VALUE(TRIM(SUBSTITUTE(AY76,CHAR(160),""))),0))=0),"Attention : montant présenté entièrement écarté",(IFERROR(VALUE(TRIM(SUBSTITUTE(BA76,CHAR(160),""))),0))&lt;(IFERROR(VALUE(TRIM(SUBSTITUTE(Y76,CHAR(160),""))),0)),"Attention : montant présenté partiellement écarté",TRUE,""))</f>
        <v/>
      </c>
      <c r="BE76" s="44" t="str">
        <f t="shared" si="87"/>
        <v/>
      </c>
      <c r="BF76" s="44" t="str">
        <f t="shared" si="88"/>
        <v/>
      </c>
      <c r="BG76" s="21" t="str">
        <f t="shared" si="89"/>
        <v/>
      </c>
    </row>
    <row r="77" spans="1:59" ht="15" customHeight="1">
      <c r="A77" s="70">
        <v>68</v>
      </c>
      <c r="B77" s="784"/>
      <c r="C77" s="7"/>
      <c r="D77" s="11"/>
      <c r="E77" s="11"/>
      <c r="F77" s="7"/>
      <c r="G77" s="7"/>
      <c r="H77" s="7"/>
      <c r="I77" s="7"/>
      <c r="J77" s="17"/>
      <c r="K77" s="7"/>
      <c r="L77" s="132"/>
      <c r="M77" s="138"/>
      <c r="N77" s="8"/>
      <c r="O77" s="35" t="str">
        <f t="shared" si="61"/>
        <v/>
      </c>
      <c r="P77" s="9"/>
      <c r="Q77" s="8"/>
      <c r="R77" s="35" t="str">
        <f t="shared" si="62"/>
        <v/>
      </c>
      <c r="S77" s="10"/>
      <c r="T77" s="8"/>
      <c r="U77" s="139" t="str">
        <f t="shared" si="63"/>
        <v/>
      </c>
      <c r="V77" s="147"/>
      <c r="W77" s="770" t="str" cm="1">
        <f t="array" ref="W77">IF((_xlfn.IFS(TRIM(SUBSTITUTE(V77,CHAR(160),""))="Devis 1",IFERROR(VALUE(TRIM(SUBSTITUTE(M77,CHAR(160),""))),0),TRIM(SUBSTITUTE(V77,CHAR(160),""))="Devis 2",IFERROR(VALUE(TRIM(SUBSTITUTE(P77,CHAR(160),""))),0),TRIM(SUBSTITUTE(V77,CHAR(160),""))="Devis 3",IFERROR(VALUE(TRIM(SUBSTITUTE(S77,CHAR(160),""))),0),TRUE,0)*IFERROR(VALUE(TRIM(SUBSTITUTE(D77,CHAR(160),""))),0))=0,"",_xlfn.IFS(TRIM(SUBSTITUTE(V77,CHAR(160),""))="Devis 1",IFERROR(VALUE(TRIM(SUBSTITUTE(M77,CHAR(160),""))),0),TRIM(SUBSTITUTE(V77,CHAR(160),""))="Devis 2",IFERROR(VALUE(TRIM(SUBSTITUTE(P77,CHAR(160),""))),0),TRIM(SUBSTITUTE(V77,CHAR(160),""))="Devis 3",IFERROR(VALUE(TRIM(SUBSTITUTE(S77,CHAR(160),""))),0),TRUE,0)*IFERROR(VALUE(TRIM(SUBSTITUTE(D77,CHAR(160),""))),0))</f>
        <v/>
      </c>
      <c r="X77" s="73" t="str" cm="1">
        <f t="array" ref="X77">IF(_xlfn.IFS(TRIM(SUBSTITUTE(V77,CHAR(160),""))="Devis 1",IFERROR(VALUE(TRIM(SUBSTITUTE(N77,CHAR(160),""))),0),TRIM(SUBSTITUTE(V77,CHAR(160),""))="Devis 2",IFERROR(VALUE(TRIM(SUBSTITUTE(Q77,CHAR(160),""))),0),TRIM(SUBSTITUTE(V77,CHAR(160),""))="Devis 3",IFERROR(VALUE(TRIM(SUBSTITUTE(T77,CHAR(160),""))),0),TRUE,0)*IFERROR(VALUE(TRIM(SUBSTITUTE(D77,CHAR(160),""))),0)=0,IF(W77&lt;&gt;"",0,""),_xlfn.IFS(TRIM(SUBSTITUTE(V77,CHAR(160),""))="Devis 1",IFERROR(VALUE(TRIM(SUBSTITUTE(N77,CHAR(160),""))),0),TRIM(SUBSTITUTE(V77,CHAR(160),""))="Devis 2",IFERROR(VALUE(TRIM(SUBSTITUTE(Q77,CHAR(160),""))),0),TRIM(SUBSTITUTE(V77,CHAR(160),""))="Devis 3",IFERROR(VALUE(TRIM(SUBSTITUTE(T77,CHAR(160),""))),0),TRUE,0)*IFERROR(VALUE(TRIM(SUBSTITUTE(D77,CHAR(160),""))),0))</f>
        <v/>
      </c>
      <c r="Y77" s="149" t="str">
        <f t="shared" si="64"/>
        <v/>
      </c>
      <c r="Z77" s="150"/>
      <c r="AA77" s="36" t="str">
        <f t="shared" si="65"/>
        <v/>
      </c>
      <c r="AB77" s="37" t="str">
        <f t="shared" si="66"/>
        <v/>
      </c>
      <c r="AC77" s="37" t="str">
        <f t="shared" si="90"/>
        <v/>
      </c>
      <c r="AD77" s="14" t="str">
        <f t="shared" si="67"/>
        <v/>
      </c>
      <c r="AE77" s="14" t="str">
        <f t="shared" si="68"/>
        <v/>
      </c>
      <c r="AF77" s="14" t="str">
        <f t="shared" si="69"/>
        <v/>
      </c>
      <c r="AG77" s="14" t="str">
        <f t="shared" si="70"/>
        <v/>
      </c>
      <c r="AH77" s="38" t="str">
        <f t="shared" si="71"/>
        <v/>
      </c>
      <c r="AI77" s="14" t="str">
        <f t="shared" si="72"/>
        <v/>
      </c>
      <c r="AJ77" s="39" t="str">
        <f t="shared" si="73"/>
        <v/>
      </c>
      <c r="AK77" s="40" t="str">
        <f t="shared" si="74"/>
        <v/>
      </c>
      <c r="AL77" s="20" t="str">
        <f t="shared" si="75"/>
        <v/>
      </c>
      <c r="AM77" s="35" t="str">
        <f t="shared" si="76"/>
        <v/>
      </c>
      <c r="AN77" s="41" t="str">
        <f t="shared" si="77"/>
        <v/>
      </c>
      <c r="AO77" s="20" t="str">
        <f t="shared" si="78"/>
        <v/>
      </c>
      <c r="AP77" s="35" t="str">
        <f t="shared" si="79"/>
        <v/>
      </c>
      <c r="AQ77" s="42" t="str">
        <f t="shared" si="80"/>
        <v/>
      </c>
      <c r="AR77" s="20" t="str">
        <f t="shared" si="81"/>
        <v/>
      </c>
      <c r="AS77" s="43" t="str">
        <f t="shared" si="82"/>
        <v/>
      </c>
      <c r="AT77" s="36" t="str">
        <f t="shared" si="83"/>
        <v/>
      </c>
      <c r="AU77" s="184"/>
      <c r="AV77" s="44" t="str">
        <f t="shared" si="84"/>
        <v/>
      </c>
      <c r="AW77" s="44" t="str">
        <f t="shared" si="85"/>
        <v/>
      </c>
      <c r="AX77" s="44" t="str">
        <f t="shared" si="86"/>
        <v/>
      </c>
      <c r="AY77" s="74" t="str" cm="1">
        <f t="array" ref="AY77">IF($AB77="","",IF((IFERROR(_xlfn.IFS($AT77="Devis 1",(IFERROR(VALUE(TRIM(SUBSTITUTE(AK77,CHAR(160),""))),0)),$AT77="Devis 2",(IFERROR(VALUE(TRIM(SUBSTITUTE(AN77,CHAR(160),""))),0)),$AT77="Devis 3",(IFERROR(VALUE(TRIM(SUBSTITUTE(AQ77,CHAR(160),""))),0))),0))*(IFERROR(VALUE(TRIM(SUBSTITUTE($AB77,CHAR(160),""))),0))=0,"",(IFERROR(_xlfn.IFS($AT77="Devis 1",(IFERROR(VALUE(TRIM(SUBSTITUTE(AK77,CHAR(160),""))),0)),$AT77="Devis 2",(IFERROR(VALUE(TRIM(SUBSTITUTE(AN77,CHAR(160),""))),0)),$AT77="Devis 3",(IFERROR(VALUE(TRIM(SUBSTITUTE(AQ77,CHAR(160),""))),0))),0))*(IFERROR(VALUE(TRIM(SUBSTITUTE($AB77,CHAR(160),""))),0))))</f>
        <v/>
      </c>
      <c r="AZ77" s="74" t="str" cm="1">
        <f t="array" ref="AZ77">IF($AB77="","",IF((IFERROR(_xlfn.IFS(TRIM(SUBSTITUTE($AT77,CHAR(160),""))="Devis 1", IFERROR(VALUE(TRIM(SUBSTITUTE(AL77,CHAR(160),""))),0),TRIM(SUBSTITUTE($AT77,CHAR(160),""))="Devis 2", IFERROR(VALUE(TRIM(SUBSTITUTE(AO77,CHAR(160),""))),0),TRIM(SUBSTITUTE($AT77,CHAR(160),""))="Devis 3", IFERROR(VALUE(TRIM(SUBSTITUTE(AR77,CHAR(160),""))),0)),0) * IFERROR(VALUE(TRIM(SUBSTITUTE($AB77,CHAR(160),""))),0)) = 0,IF(AY77&lt;&gt;"",0,""),(IFERROR(_xlfn.IFS(TRIM(SUBSTITUTE($AT77,CHAR(160),""))="Devis 1", IFERROR(VALUE(TRIM(SUBSTITUTE(AL77,CHAR(160),""))),0),TRIM(SUBSTITUTE($AT77,CHAR(160),""))="Devis 2", IFERROR(VALUE(TRIM(SUBSTITUTE(AO77,CHAR(160),""))),0),TRIM(SUBSTITUTE($AT77,CHAR(160),""))="Devis 3", IFERROR(VALUE(TRIM(SUBSTITUTE(AR77,CHAR(160),""))),0)),0) * IFERROR(VALUE(TRIM(SUBSTITUTE($AB77,CHAR(160),""))),0))))</f>
        <v/>
      </c>
      <c r="BA77" s="74" t="str" cm="1">
        <f t="array" ref="BA77">IF($AB77="","",IF(IFERROR(_xlfn.IFS($AT77="Devis 1",IFERROR(VALUE(TRIM(SUBSTITUTE(AM77,CHAR(160),""))),0),$AT77="Devis 2",IFERROR(VALUE(TRIM(SUBSTITUTE(AP77,CHAR(160),""))),0),$AT77="Devis 3",IFERROR(VALUE(TRIM(SUBSTITUTE(AS77,CHAR(160),""))),0)),0)*IFERROR(VALUE(TRIM(SUBSTITUTE($AB77,CHAR(160),""))),0)=0,"",IFERROR(_xlfn.IFS($AT77="Devis 1",IFERROR(VALUE(TRIM(SUBSTITUTE(AM77,CHAR(160),""))),0),$AT77="Devis 2",IFERROR(VALUE(TRIM(SUBSTITUTE(AP77,CHAR(160),""))),0),$AT77="Devis 3",IFERROR(VALUE(TRIM(SUBSTITUTE(AS77,CHAR(160),""))),0)),0)*IFERROR(VALUE(TRIM(SUBSTITUTE($AB77,CHAR(160),""))),0)))</f>
        <v/>
      </c>
      <c r="BB77" s="45"/>
      <c r="BC77" s="13" t="str" cm="1">
        <f t="array" ref="BC77">IF(OR(BA77="",AX77="",AY77="",AV77="",AZ77="",AW77=""),"",_xlfn.IFS((IFERROR(VALUE(TRIM(SUBSTITUTE(BA77,CHAR(160),""))),0))&gt;(IFERROR(VALUE(TRIM(SUBSTITUTE(AX77,CHAR(160),""))),0)),"KO : Le montant retenu TTC est supérieur au montant raisonnable TTC. Merci de revoir la ligne de dépense ou plafonner son montant.",(IFERROR(VALUE(TRIM(SUBSTITUTE(AY77,CHAR(160),""))),0))&gt;(IFERROR(VALUE(TRIM(SUBSTITUTE(AV77,CHAR(160),""))),0)),"Attention : Le montant retenu HT est supérieur au montant HT raisonnable. Merci de revoir la ligne de dépense, plafonner son montant, ou justifier la reventillation HT / TVA.",(IFERROR(VALUE(TRIM(SUBSTITUTE(AZ77,CHAR(160),""))),0))&gt;(IFERROR(VALUE(TRIM(SUBSTITUTE(AW77,CHAR(160),""))),0)),"Attention : Le montant TVA retenu est supérieur au montant TVA raisonnable. Merci de revoir la ligne de dépense, plafonner son montant, ou justifier la reventillation HT / TVA.",(IFERROR(VALUE(TRIM(SUBSTITUTE(BA77,CHAR(160),""))),0))=0,"",(IFERROR(VALUE(TRIM(SUBSTITUTE(AX77,CHAR(160),""))),0))=(IFERROR(VALUE(TRIM(SUBSTITUTE(BA77,CHAR(160),""))),0)),"OK",(IFERROR(VALUE(TRIM(SUBSTITUTE(AX77,CHAR(160),""))),0))&gt;(IFERROR(VALUE(TRIM(SUBSTITUTE(BA77,CHAR(160),""))),0))," OK : Montant instruit inférieur au montant raisonnable.",TRUE,""))</f>
        <v/>
      </c>
      <c r="BD77" s="187" t="str" cm="1">
        <f t="array" ref="BD77">IF(OR(BA77="",Y77="",AY77="",W77="",AZ77="",X77=""),"",_xlfn.IFS((IFERROR(VALUE(TRIM(SUBSTITUTE(BA77,CHAR(160),""))),0))&gt;(IFERROR(VALUE(TRIM(SUBSTITUTE(Y77,CHAR(160),""))),0)),"KO : Le montant retenu TTC est supérieur au montant présenté TTC. Merci de revoir la ligne de dépense ou plafonner son montant.",(IFERROR(VALUE(TRIM(SUBSTITUTE(AY77,CHAR(160),""))),0))&gt;(IFERROR(VALUE(TRIM(SUBSTITUTE(W77,CHAR(160),""))),0)),"Attention : Le montant retenu HT est supérieur au montant HT présenté. Merci de revoir la ligne de dépense,plafonner son montant,ou justifier la reventillation HT/TVA.",(IFERROR(VALUE(TRIM(SUBSTITUTE(AZ77,CHAR(160),""))),0))&gt;(IFERROR(VALUE(TRIM(SUBSTITUTE(X77,CHAR(160),""))),0)),"Attention : Le montant TVA retenu est supérieur au montant TVA présenté. Merci de revoir la ligne de dépense,plafonner son montant,ou justifier la reventillation HT/TVA.",(IFERROR(VALUE(TRIM(SUBSTITUTE(Y77,CHAR(160),""))),0))=0,"",(IFERROR(VALUE(TRIM(SUBSTITUTE(BA77,CHAR(160),""))),0))=(IFERROR(VALUE(TRIM(SUBSTITUTE(Y77,CHAR(160),""))),0)),"OK",
OR((IFERROR(VALUE(TRIM(SUBSTITUTE(BA77,CHAR(160),""))),0))=0,(IFERROR(VALUE(TRIM(SUBSTITUTE(AY77,CHAR(160),""))),0))=0),"Attention : montant présenté entièrement écarté",(IFERROR(VALUE(TRIM(SUBSTITUTE(BA77,CHAR(160),""))),0))&lt;(IFERROR(VALUE(TRIM(SUBSTITUTE(Y77,CHAR(160),""))),0)),"Attention : montant présenté partiellement écarté",TRUE,""))</f>
        <v/>
      </c>
      <c r="BE77" s="44" t="str">
        <f t="shared" si="87"/>
        <v/>
      </c>
      <c r="BF77" s="44" t="str">
        <f t="shared" si="88"/>
        <v/>
      </c>
      <c r="BG77" s="21" t="str">
        <f t="shared" si="89"/>
        <v/>
      </c>
    </row>
    <row r="78" spans="1:59" ht="15" customHeight="1">
      <c r="A78" s="70">
        <v>69</v>
      </c>
      <c r="B78" s="784"/>
      <c r="C78" s="7"/>
      <c r="D78" s="11"/>
      <c r="E78" s="11"/>
      <c r="F78" s="7"/>
      <c r="G78" s="7"/>
      <c r="H78" s="7"/>
      <c r="I78" s="7"/>
      <c r="J78" s="17"/>
      <c r="K78" s="7"/>
      <c r="L78" s="132"/>
      <c r="M78" s="138"/>
      <c r="N78" s="8"/>
      <c r="O78" s="35" t="str">
        <f t="shared" si="61"/>
        <v/>
      </c>
      <c r="P78" s="9"/>
      <c r="Q78" s="8"/>
      <c r="R78" s="35" t="str">
        <f t="shared" si="62"/>
        <v/>
      </c>
      <c r="S78" s="10"/>
      <c r="T78" s="8"/>
      <c r="U78" s="139" t="str">
        <f t="shared" si="63"/>
        <v/>
      </c>
      <c r="V78" s="147"/>
      <c r="W78" s="770" t="str" cm="1">
        <f t="array" ref="W78">IF((_xlfn.IFS(TRIM(SUBSTITUTE(V78,CHAR(160),""))="Devis 1",IFERROR(VALUE(TRIM(SUBSTITUTE(M78,CHAR(160),""))),0),TRIM(SUBSTITUTE(V78,CHAR(160),""))="Devis 2",IFERROR(VALUE(TRIM(SUBSTITUTE(P78,CHAR(160),""))),0),TRIM(SUBSTITUTE(V78,CHAR(160),""))="Devis 3",IFERROR(VALUE(TRIM(SUBSTITUTE(S78,CHAR(160),""))),0),TRUE,0)*IFERROR(VALUE(TRIM(SUBSTITUTE(D78,CHAR(160),""))),0))=0,"",_xlfn.IFS(TRIM(SUBSTITUTE(V78,CHAR(160),""))="Devis 1",IFERROR(VALUE(TRIM(SUBSTITUTE(M78,CHAR(160),""))),0),TRIM(SUBSTITUTE(V78,CHAR(160),""))="Devis 2",IFERROR(VALUE(TRIM(SUBSTITUTE(P78,CHAR(160),""))),0),TRIM(SUBSTITUTE(V78,CHAR(160),""))="Devis 3",IFERROR(VALUE(TRIM(SUBSTITUTE(S78,CHAR(160),""))),0),TRUE,0)*IFERROR(VALUE(TRIM(SUBSTITUTE(D78,CHAR(160),""))),0))</f>
        <v/>
      </c>
      <c r="X78" s="73" t="str" cm="1">
        <f t="array" ref="X78">IF(_xlfn.IFS(TRIM(SUBSTITUTE(V78,CHAR(160),""))="Devis 1",IFERROR(VALUE(TRIM(SUBSTITUTE(N78,CHAR(160),""))),0),TRIM(SUBSTITUTE(V78,CHAR(160),""))="Devis 2",IFERROR(VALUE(TRIM(SUBSTITUTE(Q78,CHAR(160),""))),0),TRIM(SUBSTITUTE(V78,CHAR(160),""))="Devis 3",IFERROR(VALUE(TRIM(SUBSTITUTE(T78,CHAR(160),""))),0),TRUE,0)*IFERROR(VALUE(TRIM(SUBSTITUTE(D78,CHAR(160),""))),0)=0,IF(W78&lt;&gt;"",0,""),_xlfn.IFS(TRIM(SUBSTITUTE(V78,CHAR(160),""))="Devis 1",IFERROR(VALUE(TRIM(SUBSTITUTE(N78,CHAR(160),""))),0),TRIM(SUBSTITUTE(V78,CHAR(160),""))="Devis 2",IFERROR(VALUE(TRIM(SUBSTITUTE(Q78,CHAR(160),""))),0),TRIM(SUBSTITUTE(V78,CHAR(160),""))="Devis 3",IFERROR(VALUE(TRIM(SUBSTITUTE(T78,CHAR(160),""))),0),TRUE,0)*IFERROR(VALUE(TRIM(SUBSTITUTE(D78,CHAR(160),""))),0))</f>
        <v/>
      </c>
      <c r="Y78" s="149" t="str">
        <f t="shared" si="64"/>
        <v/>
      </c>
      <c r="Z78" s="150"/>
      <c r="AA78" s="36" t="str">
        <f t="shared" si="65"/>
        <v/>
      </c>
      <c r="AB78" s="37" t="str">
        <f t="shared" si="66"/>
        <v/>
      </c>
      <c r="AC78" s="37" t="str">
        <f t="shared" si="90"/>
        <v/>
      </c>
      <c r="AD78" s="14" t="str">
        <f t="shared" si="67"/>
        <v/>
      </c>
      <c r="AE78" s="14" t="str">
        <f t="shared" si="68"/>
        <v/>
      </c>
      <c r="AF78" s="14" t="str">
        <f t="shared" si="69"/>
        <v/>
      </c>
      <c r="AG78" s="14" t="str">
        <f t="shared" si="70"/>
        <v/>
      </c>
      <c r="AH78" s="38" t="str">
        <f t="shared" si="71"/>
        <v/>
      </c>
      <c r="AI78" s="14" t="str">
        <f t="shared" si="72"/>
        <v/>
      </c>
      <c r="AJ78" s="39" t="str">
        <f t="shared" si="73"/>
        <v/>
      </c>
      <c r="AK78" s="40" t="str">
        <f t="shared" si="74"/>
        <v/>
      </c>
      <c r="AL78" s="20" t="str">
        <f t="shared" si="75"/>
        <v/>
      </c>
      <c r="AM78" s="35" t="str">
        <f t="shared" si="76"/>
        <v/>
      </c>
      <c r="AN78" s="41" t="str">
        <f t="shared" si="77"/>
        <v/>
      </c>
      <c r="AO78" s="20" t="str">
        <f t="shared" si="78"/>
        <v/>
      </c>
      <c r="AP78" s="35" t="str">
        <f t="shared" si="79"/>
        <v/>
      </c>
      <c r="AQ78" s="42" t="str">
        <f t="shared" si="80"/>
        <v/>
      </c>
      <c r="AR78" s="20" t="str">
        <f t="shared" si="81"/>
        <v/>
      </c>
      <c r="AS78" s="43" t="str">
        <f t="shared" si="82"/>
        <v/>
      </c>
      <c r="AT78" s="36" t="str">
        <f t="shared" si="83"/>
        <v/>
      </c>
      <c r="AU78" s="184"/>
      <c r="AV78" s="44" t="str">
        <f t="shared" si="84"/>
        <v/>
      </c>
      <c r="AW78" s="44" t="str">
        <f t="shared" si="85"/>
        <v/>
      </c>
      <c r="AX78" s="44" t="str">
        <f t="shared" si="86"/>
        <v/>
      </c>
      <c r="AY78" s="74" t="str" cm="1">
        <f t="array" ref="AY78">IF($AB78="","",IF((IFERROR(_xlfn.IFS($AT78="Devis 1",(IFERROR(VALUE(TRIM(SUBSTITUTE(AK78,CHAR(160),""))),0)),$AT78="Devis 2",(IFERROR(VALUE(TRIM(SUBSTITUTE(AN78,CHAR(160),""))),0)),$AT78="Devis 3",(IFERROR(VALUE(TRIM(SUBSTITUTE(AQ78,CHAR(160),""))),0))),0))*(IFERROR(VALUE(TRIM(SUBSTITUTE($AB78,CHAR(160),""))),0))=0,"",(IFERROR(_xlfn.IFS($AT78="Devis 1",(IFERROR(VALUE(TRIM(SUBSTITUTE(AK78,CHAR(160),""))),0)),$AT78="Devis 2",(IFERROR(VALUE(TRIM(SUBSTITUTE(AN78,CHAR(160),""))),0)),$AT78="Devis 3",(IFERROR(VALUE(TRIM(SUBSTITUTE(AQ78,CHAR(160),""))),0))),0))*(IFERROR(VALUE(TRIM(SUBSTITUTE($AB78,CHAR(160),""))),0))))</f>
        <v/>
      </c>
      <c r="AZ78" s="74" t="str" cm="1">
        <f t="array" ref="AZ78">IF($AB78="","",IF((IFERROR(_xlfn.IFS(TRIM(SUBSTITUTE($AT78,CHAR(160),""))="Devis 1", IFERROR(VALUE(TRIM(SUBSTITUTE(AL78,CHAR(160),""))),0),TRIM(SUBSTITUTE($AT78,CHAR(160),""))="Devis 2", IFERROR(VALUE(TRIM(SUBSTITUTE(AO78,CHAR(160),""))),0),TRIM(SUBSTITUTE($AT78,CHAR(160),""))="Devis 3", IFERROR(VALUE(TRIM(SUBSTITUTE(AR78,CHAR(160),""))),0)),0) * IFERROR(VALUE(TRIM(SUBSTITUTE($AB78,CHAR(160),""))),0)) = 0,IF(AY78&lt;&gt;"",0,""),(IFERROR(_xlfn.IFS(TRIM(SUBSTITUTE($AT78,CHAR(160),""))="Devis 1", IFERROR(VALUE(TRIM(SUBSTITUTE(AL78,CHAR(160),""))),0),TRIM(SUBSTITUTE($AT78,CHAR(160),""))="Devis 2", IFERROR(VALUE(TRIM(SUBSTITUTE(AO78,CHAR(160),""))),0),TRIM(SUBSTITUTE($AT78,CHAR(160),""))="Devis 3", IFERROR(VALUE(TRIM(SUBSTITUTE(AR78,CHAR(160),""))),0)),0) * IFERROR(VALUE(TRIM(SUBSTITUTE($AB78,CHAR(160),""))),0))))</f>
        <v/>
      </c>
      <c r="BA78" s="74" t="str" cm="1">
        <f t="array" ref="BA78">IF($AB78="","",IF(IFERROR(_xlfn.IFS($AT78="Devis 1",IFERROR(VALUE(TRIM(SUBSTITUTE(AM78,CHAR(160),""))),0),$AT78="Devis 2",IFERROR(VALUE(TRIM(SUBSTITUTE(AP78,CHAR(160),""))),0),$AT78="Devis 3",IFERROR(VALUE(TRIM(SUBSTITUTE(AS78,CHAR(160),""))),0)),0)*IFERROR(VALUE(TRIM(SUBSTITUTE($AB78,CHAR(160),""))),0)=0,"",IFERROR(_xlfn.IFS($AT78="Devis 1",IFERROR(VALUE(TRIM(SUBSTITUTE(AM78,CHAR(160),""))),0),$AT78="Devis 2",IFERROR(VALUE(TRIM(SUBSTITUTE(AP78,CHAR(160),""))),0),$AT78="Devis 3",IFERROR(VALUE(TRIM(SUBSTITUTE(AS78,CHAR(160),""))),0)),0)*IFERROR(VALUE(TRIM(SUBSTITUTE($AB78,CHAR(160),""))),0)))</f>
        <v/>
      </c>
      <c r="BB78" s="45"/>
      <c r="BC78" s="13" t="str" cm="1">
        <f t="array" ref="BC78">IF(OR(BA78="",AX78="",AY78="",AV78="",AZ78="",AW78=""),"",_xlfn.IFS((IFERROR(VALUE(TRIM(SUBSTITUTE(BA78,CHAR(160),""))),0))&gt;(IFERROR(VALUE(TRIM(SUBSTITUTE(AX78,CHAR(160),""))),0)),"KO : Le montant retenu TTC est supérieur au montant raisonnable TTC. Merci de revoir la ligne de dépense ou plafonner son montant.",(IFERROR(VALUE(TRIM(SUBSTITUTE(AY78,CHAR(160),""))),0))&gt;(IFERROR(VALUE(TRIM(SUBSTITUTE(AV78,CHAR(160),""))),0)),"Attention : Le montant retenu HT est supérieur au montant HT raisonnable. Merci de revoir la ligne de dépense, plafonner son montant, ou justifier la reventillation HT / TVA.",(IFERROR(VALUE(TRIM(SUBSTITUTE(AZ78,CHAR(160),""))),0))&gt;(IFERROR(VALUE(TRIM(SUBSTITUTE(AW78,CHAR(160),""))),0)),"Attention : Le montant TVA retenu est supérieur au montant TVA raisonnable. Merci de revoir la ligne de dépense, plafonner son montant, ou justifier la reventillation HT / TVA.",(IFERROR(VALUE(TRIM(SUBSTITUTE(BA78,CHAR(160),""))),0))=0,"",(IFERROR(VALUE(TRIM(SUBSTITUTE(AX78,CHAR(160),""))),0))=(IFERROR(VALUE(TRIM(SUBSTITUTE(BA78,CHAR(160),""))),0)),"OK",(IFERROR(VALUE(TRIM(SUBSTITUTE(AX78,CHAR(160),""))),0))&gt;(IFERROR(VALUE(TRIM(SUBSTITUTE(BA78,CHAR(160),""))),0))," OK : Montant instruit inférieur au montant raisonnable.",TRUE,""))</f>
        <v/>
      </c>
      <c r="BD78" s="187" t="str" cm="1">
        <f t="array" ref="BD78">IF(OR(BA78="",Y78="",AY78="",W78="",AZ78="",X78=""),"",_xlfn.IFS((IFERROR(VALUE(TRIM(SUBSTITUTE(BA78,CHAR(160),""))),0))&gt;(IFERROR(VALUE(TRIM(SUBSTITUTE(Y78,CHAR(160),""))),0)),"KO : Le montant retenu TTC est supérieur au montant présenté TTC. Merci de revoir la ligne de dépense ou plafonner son montant.",(IFERROR(VALUE(TRIM(SUBSTITUTE(AY78,CHAR(160),""))),0))&gt;(IFERROR(VALUE(TRIM(SUBSTITUTE(W78,CHAR(160),""))),0)),"Attention : Le montant retenu HT est supérieur au montant HT présenté. Merci de revoir la ligne de dépense,plafonner son montant,ou justifier la reventillation HT/TVA.",(IFERROR(VALUE(TRIM(SUBSTITUTE(AZ78,CHAR(160),""))),0))&gt;(IFERROR(VALUE(TRIM(SUBSTITUTE(X78,CHAR(160),""))),0)),"Attention : Le montant TVA retenu est supérieur au montant TVA présenté. Merci de revoir la ligne de dépense,plafonner son montant,ou justifier la reventillation HT/TVA.",(IFERROR(VALUE(TRIM(SUBSTITUTE(Y78,CHAR(160),""))),0))=0,"",(IFERROR(VALUE(TRIM(SUBSTITUTE(BA78,CHAR(160),""))),0))=(IFERROR(VALUE(TRIM(SUBSTITUTE(Y78,CHAR(160),""))),0)),"OK",
OR((IFERROR(VALUE(TRIM(SUBSTITUTE(BA78,CHAR(160),""))),0))=0,(IFERROR(VALUE(TRIM(SUBSTITUTE(AY78,CHAR(160),""))),0))=0),"Attention : montant présenté entièrement écarté",(IFERROR(VALUE(TRIM(SUBSTITUTE(BA78,CHAR(160),""))),0))&lt;(IFERROR(VALUE(TRIM(SUBSTITUTE(Y78,CHAR(160),""))),0)),"Attention : montant présenté partiellement écarté",TRUE,""))</f>
        <v/>
      </c>
      <c r="BE78" s="44" t="str">
        <f t="shared" si="87"/>
        <v/>
      </c>
      <c r="BF78" s="44" t="str">
        <f t="shared" si="88"/>
        <v/>
      </c>
      <c r="BG78" s="21" t="str">
        <f t="shared" si="89"/>
        <v/>
      </c>
    </row>
    <row r="79" spans="1:59" ht="15" customHeight="1">
      <c r="A79" s="70">
        <v>70</v>
      </c>
      <c r="B79" s="784"/>
      <c r="C79" s="7"/>
      <c r="D79" s="11"/>
      <c r="E79" s="11"/>
      <c r="F79" s="7"/>
      <c r="G79" s="7"/>
      <c r="H79" s="7"/>
      <c r="I79" s="7"/>
      <c r="J79" s="17"/>
      <c r="K79" s="7"/>
      <c r="L79" s="132"/>
      <c r="M79" s="138"/>
      <c r="N79" s="8"/>
      <c r="O79" s="35" t="str">
        <f t="shared" si="61"/>
        <v/>
      </c>
      <c r="P79" s="9"/>
      <c r="Q79" s="8"/>
      <c r="R79" s="35" t="str">
        <f t="shared" si="62"/>
        <v/>
      </c>
      <c r="S79" s="10"/>
      <c r="T79" s="8"/>
      <c r="U79" s="139" t="str">
        <f t="shared" si="63"/>
        <v/>
      </c>
      <c r="V79" s="147"/>
      <c r="W79" s="770" t="str" cm="1">
        <f t="array" ref="W79">IF((_xlfn.IFS(TRIM(SUBSTITUTE(V79,CHAR(160),""))="Devis 1",IFERROR(VALUE(TRIM(SUBSTITUTE(M79,CHAR(160),""))),0),TRIM(SUBSTITUTE(V79,CHAR(160),""))="Devis 2",IFERROR(VALUE(TRIM(SUBSTITUTE(P79,CHAR(160),""))),0),TRIM(SUBSTITUTE(V79,CHAR(160),""))="Devis 3",IFERROR(VALUE(TRIM(SUBSTITUTE(S79,CHAR(160),""))),0),TRUE,0)*IFERROR(VALUE(TRIM(SUBSTITUTE(D79,CHAR(160),""))),0))=0,"",_xlfn.IFS(TRIM(SUBSTITUTE(V79,CHAR(160),""))="Devis 1",IFERROR(VALUE(TRIM(SUBSTITUTE(M79,CHAR(160),""))),0),TRIM(SUBSTITUTE(V79,CHAR(160),""))="Devis 2",IFERROR(VALUE(TRIM(SUBSTITUTE(P79,CHAR(160),""))),0),TRIM(SUBSTITUTE(V79,CHAR(160),""))="Devis 3",IFERROR(VALUE(TRIM(SUBSTITUTE(S79,CHAR(160),""))),0),TRUE,0)*IFERROR(VALUE(TRIM(SUBSTITUTE(D79,CHAR(160),""))),0))</f>
        <v/>
      </c>
      <c r="X79" s="73" t="str" cm="1">
        <f t="array" ref="X79">IF(_xlfn.IFS(TRIM(SUBSTITUTE(V79,CHAR(160),""))="Devis 1",IFERROR(VALUE(TRIM(SUBSTITUTE(N79,CHAR(160),""))),0),TRIM(SUBSTITUTE(V79,CHAR(160),""))="Devis 2",IFERROR(VALUE(TRIM(SUBSTITUTE(Q79,CHAR(160),""))),0),TRIM(SUBSTITUTE(V79,CHAR(160),""))="Devis 3",IFERROR(VALUE(TRIM(SUBSTITUTE(T79,CHAR(160),""))),0),TRUE,0)*IFERROR(VALUE(TRIM(SUBSTITUTE(D79,CHAR(160),""))),0)=0,IF(W79&lt;&gt;"",0,""),_xlfn.IFS(TRIM(SUBSTITUTE(V79,CHAR(160),""))="Devis 1",IFERROR(VALUE(TRIM(SUBSTITUTE(N79,CHAR(160),""))),0),TRIM(SUBSTITUTE(V79,CHAR(160),""))="Devis 2",IFERROR(VALUE(TRIM(SUBSTITUTE(Q79,CHAR(160),""))),0),TRIM(SUBSTITUTE(V79,CHAR(160),""))="Devis 3",IFERROR(VALUE(TRIM(SUBSTITUTE(T79,CHAR(160),""))),0),TRUE,0)*IFERROR(VALUE(TRIM(SUBSTITUTE(D79,CHAR(160),""))),0))</f>
        <v/>
      </c>
      <c r="Y79" s="149" t="str">
        <f t="shared" si="64"/>
        <v/>
      </c>
      <c r="Z79" s="150"/>
      <c r="AA79" s="36" t="str">
        <f t="shared" si="65"/>
        <v/>
      </c>
      <c r="AB79" s="37" t="str">
        <f t="shared" si="66"/>
        <v/>
      </c>
      <c r="AC79" s="37" t="str">
        <f t="shared" si="90"/>
        <v/>
      </c>
      <c r="AD79" s="14" t="str">
        <f t="shared" si="67"/>
        <v/>
      </c>
      <c r="AE79" s="14" t="str">
        <f t="shared" si="68"/>
        <v/>
      </c>
      <c r="AF79" s="14" t="str">
        <f t="shared" si="69"/>
        <v/>
      </c>
      <c r="AG79" s="14" t="str">
        <f t="shared" si="70"/>
        <v/>
      </c>
      <c r="AH79" s="38" t="str">
        <f t="shared" si="71"/>
        <v/>
      </c>
      <c r="AI79" s="14" t="str">
        <f t="shared" si="72"/>
        <v/>
      </c>
      <c r="AJ79" s="39" t="str">
        <f t="shared" si="73"/>
        <v/>
      </c>
      <c r="AK79" s="40" t="str">
        <f t="shared" si="74"/>
        <v/>
      </c>
      <c r="AL79" s="20" t="str">
        <f t="shared" si="75"/>
        <v/>
      </c>
      <c r="AM79" s="35" t="str">
        <f t="shared" si="76"/>
        <v/>
      </c>
      <c r="AN79" s="41" t="str">
        <f t="shared" si="77"/>
        <v/>
      </c>
      <c r="AO79" s="20" t="str">
        <f t="shared" si="78"/>
        <v/>
      </c>
      <c r="AP79" s="35" t="str">
        <f t="shared" si="79"/>
        <v/>
      </c>
      <c r="AQ79" s="42" t="str">
        <f t="shared" si="80"/>
        <v/>
      </c>
      <c r="AR79" s="20" t="str">
        <f t="shared" si="81"/>
        <v/>
      </c>
      <c r="AS79" s="43" t="str">
        <f t="shared" si="82"/>
        <v/>
      </c>
      <c r="AT79" s="36" t="str">
        <f t="shared" si="83"/>
        <v/>
      </c>
      <c r="AU79" s="184"/>
      <c r="AV79" s="44" t="str">
        <f t="shared" si="84"/>
        <v/>
      </c>
      <c r="AW79" s="44" t="str">
        <f t="shared" si="85"/>
        <v/>
      </c>
      <c r="AX79" s="44" t="str">
        <f t="shared" si="86"/>
        <v/>
      </c>
      <c r="AY79" s="74" t="str" cm="1">
        <f t="array" ref="AY79">IF($AB79="","",IF((IFERROR(_xlfn.IFS($AT79="Devis 1",(IFERROR(VALUE(TRIM(SUBSTITUTE(AK79,CHAR(160),""))),0)),$AT79="Devis 2",(IFERROR(VALUE(TRIM(SUBSTITUTE(AN79,CHAR(160),""))),0)),$AT79="Devis 3",(IFERROR(VALUE(TRIM(SUBSTITUTE(AQ79,CHAR(160),""))),0))),0))*(IFERROR(VALUE(TRIM(SUBSTITUTE($AB79,CHAR(160),""))),0))=0,"",(IFERROR(_xlfn.IFS($AT79="Devis 1",(IFERROR(VALUE(TRIM(SUBSTITUTE(AK79,CHAR(160),""))),0)),$AT79="Devis 2",(IFERROR(VALUE(TRIM(SUBSTITUTE(AN79,CHAR(160),""))),0)),$AT79="Devis 3",(IFERROR(VALUE(TRIM(SUBSTITUTE(AQ79,CHAR(160),""))),0))),0))*(IFERROR(VALUE(TRIM(SUBSTITUTE($AB79,CHAR(160),""))),0))))</f>
        <v/>
      </c>
      <c r="AZ79" s="74" t="str" cm="1">
        <f t="array" ref="AZ79">IF($AB79="","",IF((IFERROR(_xlfn.IFS(TRIM(SUBSTITUTE($AT79,CHAR(160),""))="Devis 1", IFERROR(VALUE(TRIM(SUBSTITUTE(AL79,CHAR(160),""))),0),TRIM(SUBSTITUTE($AT79,CHAR(160),""))="Devis 2", IFERROR(VALUE(TRIM(SUBSTITUTE(AO79,CHAR(160),""))),0),TRIM(SUBSTITUTE($AT79,CHAR(160),""))="Devis 3", IFERROR(VALUE(TRIM(SUBSTITUTE(AR79,CHAR(160),""))),0)),0) * IFERROR(VALUE(TRIM(SUBSTITUTE($AB79,CHAR(160),""))),0)) = 0,IF(AY79&lt;&gt;"",0,""),(IFERROR(_xlfn.IFS(TRIM(SUBSTITUTE($AT79,CHAR(160),""))="Devis 1", IFERROR(VALUE(TRIM(SUBSTITUTE(AL79,CHAR(160),""))),0),TRIM(SUBSTITUTE($AT79,CHAR(160),""))="Devis 2", IFERROR(VALUE(TRIM(SUBSTITUTE(AO79,CHAR(160),""))),0),TRIM(SUBSTITUTE($AT79,CHAR(160),""))="Devis 3", IFERROR(VALUE(TRIM(SUBSTITUTE(AR79,CHAR(160),""))),0)),0) * IFERROR(VALUE(TRIM(SUBSTITUTE($AB79,CHAR(160),""))),0))))</f>
        <v/>
      </c>
      <c r="BA79" s="74" t="str" cm="1">
        <f t="array" ref="BA79">IF($AB79="","",IF(IFERROR(_xlfn.IFS($AT79="Devis 1",IFERROR(VALUE(TRIM(SUBSTITUTE(AM79,CHAR(160),""))),0),$AT79="Devis 2",IFERROR(VALUE(TRIM(SUBSTITUTE(AP79,CHAR(160),""))),0),$AT79="Devis 3",IFERROR(VALUE(TRIM(SUBSTITUTE(AS79,CHAR(160),""))),0)),0)*IFERROR(VALUE(TRIM(SUBSTITUTE($AB79,CHAR(160),""))),0)=0,"",IFERROR(_xlfn.IFS($AT79="Devis 1",IFERROR(VALUE(TRIM(SUBSTITUTE(AM79,CHAR(160),""))),0),$AT79="Devis 2",IFERROR(VALUE(TRIM(SUBSTITUTE(AP79,CHAR(160),""))),0),$AT79="Devis 3",IFERROR(VALUE(TRIM(SUBSTITUTE(AS79,CHAR(160),""))),0)),0)*IFERROR(VALUE(TRIM(SUBSTITUTE($AB79,CHAR(160),""))),0)))</f>
        <v/>
      </c>
      <c r="BB79" s="45"/>
      <c r="BC79" s="13" t="str" cm="1">
        <f t="array" ref="BC79">IF(OR(BA79="",AX79="",AY79="",AV79="",AZ79="",AW79=""),"",_xlfn.IFS((IFERROR(VALUE(TRIM(SUBSTITUTE(BA79,CHAR(160),""))),0))&gt;(IFERROR(VALUE(TRIM(SUBSTITUTE(AX79,CHAR(160),""))),0)),"KO : Le montant retenu TTC est supérieur au montant raisonnable TTC. Merci de revoir la ligne de dépense ou plafonner son montant.",(IFERROR(VALUE(TRIM(SUBSTITUTE(AY79,CHAR(160),""))),0))&gt;(IFERROR(VALUE(TRIM(SUBSTITUTE(AV79,CHAR(160),""))),0)),"Attention : Le montant retenu HT est supérieur au montant HT raisonnable. Merci de revoir la ligne de dépense, plafonner son montant, ou justifier la reventillation HT / TVA.",(IFERROR(VALUE(TRIM(SUBSTITUTE(AZ79,CHAR(160),""))),0))&gt;(IFERROR(VALUE(TRIM(SUBSTITUTE(AW79,CHAR(160),""))),0)),"Attention : Le montant TVA retenu est supérieur au montant TVA raisonnable. Merci de revoir la ligne de dépense, plafonner son montant, ou justifier la reventillation HT / TVA.",(IFERROR(VALUE(TRIM(SUBSTITUTE(BA79,CHAR(160),""))),0))=0,"",(IFERROR(VALUE(TRIM(SUBSTITUTE(AX79,CHAR(160),""))),0))=(IFERROR(VALUE(TRIM(SUBSTITUTE(BA79,CHAR(160),""))),0)),"OK",(IFERROR(VALUE(TRIM(SUBSTITUTE(AX79,CHAR(160),""))),0))&gt;(IFERROR(VALUE(TRIM(SUBSTITUTE(BA79,CHAR(160),""))),0))," OK : Montant instruit inférieur au montant raisonnable.",TRUE,""))</f>
        <v/>
      </c>
      <c r="BD79" s="187" t="str" cm="1">
        <f t="array" ref="BD79">IF(OR(BA79="",Y79="",AY79="",W79="",AZ79="",X79=""),"",_xlfn.IFS((IFERROR(VALUE(TRIM(SUBSTITUTE(BA79,CHAR(160),""))),0))&gt;(IFERROR(VALUE(TRIM(SUBSTITUTE(Y79,CHAR(160),""))),0)),"KO : Le montant retenu TTC est supérieur au montant présenté TTC. Merci de revoir la ligne de dépense ou plafonner son montant.",(IFERROR(VALUE(TRIM(SUBSTITUTE(AY79,CHAR(160),""))),0))&gt;(IFERROR(VALUE(TRIM(SUBSTITUTE(W79,CHAR(160),""))),0)),"Attention : Le montant retenu HT est supérieur au montant HT présenté. Merci de revoir la ligne de dépense,plafonner son montant,ou justifier la reventillation HT/TVA.",(IFERROR(VALUE(TRIM(SUBSTITUTE(AZ79,CHAR(160),""))),0))&gt;(IFERROR(VALUE(TRIM(SUBSTITUTE(X79,CHAR(160),""))),0)),"Attention : Le montant TVA retenu est supérieur au montant TVA présenté. Merci de revoir la ligne de dépense,plafonner son montant,ou justifier la reventillation HT/TVA.",(IFERROR(VALUE(TRIM(SUBSTITUTE(Y79,CHAR(160),""))),0))=0,"",(IFERROR(VALUE(TRIM(SUBSTITUTE(BA79,CHAR(160),""))),0))=(IFERROR(VALUE(TRIM(SUBSTITUTE(Y79,CHAR(160),""))),0)),"OK",
OR((IFERROR(VALUE(TRIM(SUBSTITUTE(BA79,CHAR(160),""))),0))=0,(IFERROR(VALUE(TRIM(SUBSTITUTE(AY79,CHAR(160),""))),0))=0),"Attention : montant présenté entièrement écarté",(IFERROR(VALUE(TRIM(SUBSTITUTE(BA79,CHAR(160),""))),0))&lt;(IFERROR(VALUE(TRIM(SUBSTITUTE(Y79,CHAR(160),""))),0)),"Attention : montant présenté partiellement écarté",TRUE,""))</f>
        <v/>
      </c>
      <c r="BE79" s="44" t="str">
        <f t="shared" si="87"/>
        <v/>
      </c>
      <c r="BF79" s="44" t="str">
        <f t="shared" si="88"/>
        <v/>
      </c>
      <c r="BG79" s="21" t="str">
        <f t="shared" si="89"/>
        <v/>
      </c>
    </row>
    <row r="80" spans="1:59" ht="15" customHeight="1">
      <c r="A80" s="70">
        <v>71</v>
      </c>
      <c r="B80" s="784"/>
      <c r="C80" s="7"/>
      <c r="D80" s="11"/>
      <c r="E80" s="11"/>
      <c r="F80" s="7"/>
      <c r="G80" s="7"/>
      <c r="H80" s="7"/>
      <c r="I80" s="7"/>
      <c r="J80" s="17"/>
      <c r="K80" s="7"/>
      <c r="L80" s="132"/>
      <c r="M80" s="138"/>
      <c r="N80" s="8"/>
      <c r="O80" s="35" t="str">
        <f t="shared" si="61"/>
        <v/>
      </c>
      <c r="P80" s="9"/>
      <c r="Q80" s="8"/>
      <c r="R80" s="35" t="str">
        <f t="shared" si="62"/>
        <v/>
      </c>
      <c r="S80" s="10"/>
      <c r="T80" s="8"/>
      <c r="U80" s="139" t="str">
        <f t="shared" si="63"/>
        <v/>
      </c>
      <c r="V80" s="147"/>
      <c r="W80" s="770" t="str" cm="1">
        <f t="array" ref="W80">IF((_xlfn.IFS(TRIM(SUBSTITUTE(V80,CHAR(160),""))="Devis 1",IFERROR(VALUE(TRIM(SUBSTITUTE(M80,CHAR(160),""))),0),TRIM(SUBSTITUTE(V80,CHAR(160),""))="Devis 2",IFERROR(VALUE(TRIM(SUBSTITUTE(P80,CHAR(160),""))),0),TRIM(SUBSTITUTE(V80,CHAR(160),""))="Devis 3",IFERROR(VALUE(TRIM(SUBSTITUTE(S80,CHAR(160),""))),0),TRUE,0)*IFERROR(VALUE(TRIM(SUBSTITUTE(D80,CHAR(160),""))),0))=0,"",_xlfn.IFS(TRIM(SUBSTITUTE(V80,CHAR(160),""))="Devis 1",IFERROR(VALUE(TRIM(SUBSTITUTE(M80,CHAR(160),""))),0),TRIM(SUBSTITUTE(V80,CHAR(160),""))="Devis 2",IFERROR(VALUE(TRIM(SUBSTITUTE(P80,CHAR(160),""))),0),TRIM(SUBSTITUTE(V80,CHAR(160),""))="Devis 3",IFERROR(VALUE(TRIM(SUBSTITUTE(S80,CHAR(160),""))),0),TRUE,0)*IFERROR(VALUE(TRIM(SUBSTITUTE(D80,CHAR(160),""))),0))</f>
        <v/>
      </c>
      <c r="X80" s="73" t="str" cm="1">
        <f t="array" ref="X80">IF(_xlfn.IFS(TRIM(SUBSTITUTE(V80,CHAR(160),""))="Devis 1",IFERROR(VALUE(TRIM(SUBSTITUTE(N80,CHAR(160),""))),0),TRIM(SUBSTITUTE(V80,CHAR(160),""))="Devis 2",IFERROR(VALUE(TRIM(SUBSTITUTE(Q80,CHAR(160),""))),0),TRIM(SUBSTITUTE(V80,CHAR(160),""))="Devis 3",IFERROR(VALUE(TRIM(SUBSTITUTE(T80,CHAR(160),""))),0),TRUE,0)*IFERROR(VALUE(TRIM(SUBSTITUTE(D80,CHAR(160),""))),0)=0,IF(W80&lt;&gt;"",0,""),_xlfn.IFS(TRIM(SUBSTITUTE(V80,CHAR(160),""))="Devis 1",IFERROR(VALUE(TRIM(SUBSTITUTE(N80,CHAR(160),""))),0),TRIM(SUBSTITUTE(V80,CHAR(160),""))="Devis 2",IFERROR(VALUE(TRIM(SUBSTITUTE(Q80,CHAR(160),""))),0),TRIM(SUBSTITUTE(V80,CHAR(160),""))="Devis 3",IFERROR(VALUE(TRIM(SUBSTITUTE(T80,CHAR(160),""))),0),TRUE,0)*IFERROR(VALUE(TRIM(SUBSTITUTE(D80,CHAR(160),""))),0))</f>
        <v/>
      </c>
      <c r="Y80" s="149" t="str">
        <f t="shared" si="64"/>
        <v/>
      </c>
      <c r="Z80" s="150"/>
      <c r="AA80" s="36" t="str">
        <f t="shared" si="65"/>
        <v/>
      </c>
      <c r="AB80" s="37" t="str">
        <f t="shared" si="66"/>
        <v/>
      </c>
      <c r="AC80" s="37" t="str">
        <f t="shared" si="90"/>
        <v/>
      </c>
      <c r="AD80" s="14" t="str">
        <f t="shared" si="67"/>
        <v/>
      </c>
      <c r="AE80" s="14" t="str">
        <f t="shared" si="68"/>
        <v/>
      </c>
      <c r="AF80" s="14" t="str">
        <f t="shared" si="69"/>
        <v/>
      </c>
      <c r="AG80" s="14" t="str">
        <f t="shared" si="70"/>
        <v/>
      </c>
      <c r="AH80" s="38" t="str">
        <f t="shared" si="71"/>
        <v/>
      </c>
      <c r="AI80" s="14" t="str">
        <f t="shared" si="72"/>
        <v/>
      </c>
      <c r="AJ80" s="39" t="str">
        <f t="shared" si="73"/>
        <v/>
      </c>
      <c r="AK80" s="40" t="str">
        <f t="shared" si="74"/>
        <v/>
      </c>
      <c r="AL80" s="20" t="str">
        <f t="shared" si="75"/>
        <v/>
      </c>
      <c r="AM80" s="35" t="str">
        <f t="shared" si="76"/>
        <v/>
      </c>
      <c r="AN80" s="41" t="str">
        <f t="shared" si="77"/>
        <v/>
      </c>
      <c r="AO80" s="20" t="str">
        <f t="shared" si="78"/>
        <v/>
      </c>
      <c r="AP80" s="35" t="str">
        <f t="shared" si="79"/>
        <v/>
      </c>
      <c r="AQ80" s="42" t="str">
        <f t="shared" si="80"/>
        <v/>
      </c>
      <c r="AR80" s="20" t="str">
        <f t="shared" si="81"/>
        <v/>
      </c>
      <c r="AS80" s="43" t="str">
        <f t="shared" si="82"/>
        <v/>
      </c>
      <c r="AT80" s="36" t="str">
        <f t="shared" si="83"/>
        <v/>
      </c>
      <c r="AU80" s="184"/>
      <c r="AV80" s="44" t="str">
        <f t="shared" si="84"/>
        <v/>
      </c>
      <c r="AW80" s="44" t="str">
        <f t="shared" si="85"/>
        <v/>
      </c>
      <c r="AX80" s="44" t="str">
        <f t="shared" si="86"/>
        <v/>
      </c>
      <c r="AY80" s="74" t="str" cm="1">
        <f t="array" ref="AY80">IF($AB80="","",IF((IFERROR(_xlfn.IFS($AT80="Devis 1",(IFERROR(VALUE(TRIM(SUBSTITUTE(AK80,CHAR(160),""))),0)),$AT80="Devis 2",(IFERROR(VALUE(TRIM(SUBSTITUTE(AN80,CHAR(160),""))),0)),$AT80="Devis 3",(IFERROR(VALUE(TRIM(SUBSTITUTE(AQ80,CHAR(160),""))),0))),0))*(IFERROR(VALUE(TRIM(SUBSTITUTE($AB80,CHAR(160),""))),0))=0,"",(IFERROR(_xlfn.IFS($AT80="Devis 1",(IFERROR(VALUE(TRIM(SUBSTITUTE(AK80,CHAR(160),""))),0)),$AT80="Devis 2",(IFERROR(VALUE(TRIM(SUBSTITUTE(AN80,CHAR(160),""))),0)),$AT80="Devis 3",(IFERROR(VALUE(TRIM(SUBSTITUTE(AQ80,CHAR(160),""))),0))),0))*(IFERROR(VALUE(TRIM(SUBSTITUTE($AB80,CHAR(160),""))),0))))</f>
        <v/>
      </c>
      <c r="AZ80" s="74" t="str" cm="1">
        <f t="array" ref="AZ80">IF($AB80="","",IF((IFERROR(_xlfn.IFS(TRIM(SUBSTITUTE($AT80,CHAR(160),""))="Devis 1", IFERROR(VALUE(TRIM(SUBSTITUTE(AL80,CHAR(160),""))),0),TRIM(SUBSTITUTE($AT80,CHAR(160),""))="Devis 2", IFERROR(VALUE(TRIM(SUBSTITUTE(AO80,CHAR(160),""))),0),TRIM(SUBSTITUTE($AT80,CHAR(160),""))="Devis 3", IFERROR(VALUE(TRIM(SUBSTITUTE(AR80,CHAR(160),""))),0)),0) * IFERROR(VALUE(TRIM(SUBSTITUTE($AB80,CHAR(160),""))),0)) = 0,IF(AY80&lt;&gt;"",0,""),(IFERROR(_xlfn.IFS(TRIM(SUBSTITUTE($AT80,CHAR(160),""))="Devis 1", IFERROR(VALUE(TRIM(SUBSTITUTE(AL80,CHAR(160),""))),0),TRIM(SUBSTITUTE($AT80,CHAR(160),""))="Devis 2", IFERROR(VALUE(TRIM(SUBSTITUTE(AO80,CHAR(160),""))),0),TRIM(SUBSTITUTE($AT80,CHAR(160),""))="Devis 3", IFERROR(VALUE(TRIM(SUBSTITUTE(AR80,CHAR(160),""))),0)),0) * IFERROR(VALUE(TRIM(SUBSTITUTE($AB80,CHAR(160),""))),0))))</f>
        <v/>
      </c>
      <c r="BA80" s="74" t="str" cm="1">
        <f t="array" ref="BA80">IF($AB80="","",IF(IFERROR(_xlfn.IFS($AT80="Devis 1",IFERROR(VALUE(TRIM(SUBSTITUTE(AM80,CHAR(160),""))),0),$AT80="Devis 2",IFERROR(VALUE(TRIM(SUBSTITUTE(AP80,CHAR(160),""))),0),$AT80="Devis 3",IFERROR(VALUE(TRIM(SUBSTITUTE(AS80,CHAR(160),""))),0)),0)*IFERROR(VALUE(TRIM(SUBSTITUTE($AB80,CHAR(160),""))),0)=0,"",IFERROR(_xlfn.IFS($AT80="Devis 1",IFERROR(VALUE(TRIM(SUBSTITUTE(AM80,CHAR(160),""))),0),$AT80="Devis 2",IFERROR(VALUE(TRIM(SUBSTITUTE(AP80,CHAR(160),""))),0),$AT80="Devis 3",IFERROR(VALUE(TRIM(SUBSTITUTE(AS80,CHAR(160),""))),0)),0)*IFERROR(VALUE(TRIM(SUBSTITUTE($AB80,CHAR(160),""))),0)))</f>
        <v/>
      </c>
      <c r="BB80" s="45"/>
      <c r="BC80" s="13" t="str" cm="1">
        <f t="array" ref="BC80">IF(OR(BA80="",AX80="",AY80="",AV80="",AZ80="",AW80=""),"",_xlfn.IFS((IFERROR(VALUE(TRIM(SUBSTITUTE(BA80,CHAR(160),""))),0))&gt;(IFERROR(VALUE(TRIM(SUBSTITUTE(AX80,CHAR(160),""))),0)),"KO : Le montant retenu TTC est supérieur au montant raisonnable TTC. Merci de revoir la ligne de dépense ou plafonner son montant.",(IFERROR(VALUE(TRIM(SUBSTITUTE(AY80,CHAR(160),""))),0))&gt;(IFERROR(VALUE(TRIM(SUBSTITUTE(AV80,CHAR(160),""))),0)),"Attention : Le montant retenu HT est supérieur au montant HT raisonnable. Merci de revoir la ligne de dépense, plafonner son montant, ou justifier la reventillation HT / TVA.",(IFERROR(VALUE(TRIM(SUBSTITUTE(AZ80,CHAR(160),""))),0))&gt;(IFERROR(VALUE(TRIM(SUBSTITUTE(AW80,CHAR(160),""))),0)),"Attention : Le montant TVA retenu est supérieur au montant TVA raisonnable. Merci de revoir la ligne de dépense, plafonner son montant, ou justifier la reventillation HT / TVA.",(IFERROR(VALUE(TRIM(SUBSTITUTE(BA80,CHAR(160),""))),0))=0,"",(IFERROR(VALUE(TRIM(SUBSTITUTE(AX80,CHAR(160),""))),0))=(IFERROR(VALUE(TRIM(SUBSTITUTE(BA80,CHAR(160),""))),0)),"OK",(IFERROR(VALUE(TRIM(SUBSTITUTE(AX80,CHAR(160),""))),0))&gt;(IFERROR(VALUE(TRIM(SUBSTITUTE(BA80,CHAR(160),""))),0))," OK : Montant instruit inférieur au montant raisonnable.",TRUE,""))</f>
        <v/>
      </c>
      <c r="BD80" s="187" t="str" cm="1">
        <f t="array" ref="BD80">IF(OR(BA80="",Y80="",AY80="",W80="",AZ80="",X80=""),"",_xlfn.IFS((IFERROR(VALUE(TRIM(SUBSTITUTE(BA80,CHAR(160),""))),0))&gt;(IFERROR(VALUE(TRIM(SUBSTITUTE(Y80,CHAR(160),""))),0)),"KO : Le montant retenu TTC est supérieur au montant présenté TTC. Merci de revoir la ligne de dépense ou plafonner son montant.",(IFERROR(VALUE(TRIM(SUBSTITUTE(AY80,CHAR(160),""))),0))&gt;(IFERROR(VALUE(TRIM(SUBSTITUTE(W80,CHAR(160),""))),0)),"Attention : Le montant retenu HT est supérieur au montant HT présenté. Merci de revoir la ligne de dépense,plafonner son montant,ou justifier la reventillation HT/TVA.",(IFERROR(VALUE(TRIM(SUBSTITUTE(AZ80,CHAR(160),""))),0))&gt;(IFERROR(VALUE(TRIM(SUBSTITUTE(X80,CHAR(160),""))),0)),"Attention : Le montant TVA retenu est supérieur au montant TVA présenté. Merci de revoir la ligne de dépense,plafonner son montant,ou justifier la reventillation HT/TVA.",(IFERROR(VALUE(TRIM(SUBSTITUTE(Y80,CHAR(160),""))),0))=0,"",(IFERROR(VALUE(TRIM(SUBSTITUTE(BA80,CHAR(160),""))),0))=(IFERROR(VALUE(TRIM(SUBSTITUTE(Y80,CHAR(160),""))),0)),"OK",
OR((IFERROR(VALUE(TRIM(SUBSTITUTE(BA80,CHAR(160),""))),0))=0,(IFERROR(VALUE(TRIM(SUBSTITUTE(AY80,CHAR(160),""))),0))=0),"Attention : montant présenté entièrement écarté",(IFERROR(VALUE(TRIM(SUBSTITUTE(BA80,CHAR(160),""))),0))&lt;(IFERROR(VALUE(TRIM(SUBSTITUTE(Y80,CHAR(160),""))),0)),"Attention : montant présenté partiellement écarté",TRUE,""))</f>
        <v/>
      </c>
      <c r="BE80" s="44" t="str">
        <f t="shared" si="87"/>
        <v/>
      </c>
      <c r="BF80" s="44" t="str">
        <f t="shared" si="88"/>
        <v/>
      </c>
      <c r="BG80" s="21" t="str">
        <f t="shared" si="89"/>
        <v/>
      </c>
    </row>
    <row r="81" spans="1:59" ht="15" customHeight="1">
      <c r="A81" s="70">
        <v>72</v>
      </c>
      <c r="B81" s="784"/>
      <c r="C81" s="7"/>
      <c r="D81" s="11"/>
      <c r="E81" s="11"/>
      <c r="F81" s="7"/>
      <c r="G81" s="7"/>
      <c r="H81" s="7"/>
      <c r="I81" s="7"/>
      <c r="J81" s="17"/>
      <c r="K81" s="7"/>
      <c r="L81" s="132"/>
      <c r="M81" s="138"/>
      <c r="N81" s="8"/>
      <c r="O81" s="35" t="str">
        <f t="shared" si="61"/>
        <v/>
      </c>
      <c r="P81" s="9"/>
      <c r="Q81" s="8"/>
      <c r="R81" s="35" t="str">
        <f t="shared" si="62"/>
        <v/>
      </c>
      <c r="S81" s="10"/>
      <c r="T81" s="8"/>
      <c r="U81" s="139" t="str">
        <f t="shared" si="63"/>
        <v/>
      </c>
      <c r="V81" s="147"/>
      <c r="W81" s="770" t="str" cm="1">
        <f t="array" ref="W81">IF((_xlfn.IFS(TRIM(SUBSTITUTE(V81,CHAR(160),""))="Devis 1",IFERROR(VALUE(TRIM(SUBSTITUTE(M81,CHAR(160),""))),0),TRIM(SUBSTITUTE(V81,CHAR(160),""))="Devis 2",IFERROR(VALUE(TRIM(SUBSTITUTE(P81,CHAR(160),""))),0),TRIM(SUBSTITUTE(V81,CHAR(160),""))="Devis 3",IFERROR(VALUE(TRIM(SUBSTITUTE(S81,CHAR(160),""))),0),TRUE,0)*IFERROR(VALUE(TRIM(SUBSTITUTE(D81,CHAR(160),""))),0))=0,"",_xlfn.IFS(TRIM(SUBSTITUTE(V81,CHAR(160),""))="Devis 1",IFERROR(VALUE(TRIM(SUBSTITUTE(M81,CHAR(160),""))),0),TRIM(SUBSTITUTE(V81,CHAR(160),""))="Devis 2",IFERROR(VALUE(TRIM(SUBSTITUTE(P81,CHAR(160),""))),0),TRIM(SUBSTITUTE(V81,CHAR(160),""))="Devis 3",IFERROR(VALUE(TRIM(SUBSTITUTE(S81,CHAR(160),""))),0),TRUE,0)*IFERROR(VALUE(TRIM(SUBSTITUTE(D81,CHAR(160),""))),0))</f>
        <v/>
      </c>
      <c r="X81" s="73" t="str" cm="1">
        <f t="array" ref="X81">IF(_xlfn.IFS(TRIM(SUBSTITUTE(V81,CHAR(160),""))="Devis 1",IFERROR(VALUE(TRIM(SUBSTITUTE(N81,CHAR(160),""))),0),TRIM(SUBSTITUTE(V81,CHAR(160),""))="Devis 2",IFERROR(VALUE(TRIM(SUBSTITUTE(Q81,CHAR(160),""))),0),TRIM(SUBSTITUTE(V81,CHAR(160),""))="Devis 3",IFERROR(VALUE(TRIM(SUBSTITUTE(T81,CHAR(160),""))),0),TRUE,0)*IFERROR(VALUE(TRIM(SUBSTITUTE(D81,CHAR(160),""))),0)=0,IF(W81&lt;&gt;"",0,""),_xlfn.IFS(TRIM(SUBSTITUTE(V81,CHAR(160),""))="Devis 1",IFERROR(VALUE(TRIM(SUBSTITUTE(N81,CHAR(160),""))),0),TRIM(SUBSTITUTE(V81,CHAR(160),""))="Devis 2",IFERROR(VALUE(TRIM(SUBSTITUTE(Q81,CHAR(160),""))),0),TRIM(SUBSTITUTE(V81,CHAR(160),""))="Devis 3",IFERROR(VALUE(TRIM(SUBSTITUTE(T81,CHAR(160),""))),0),TRUE,0)*IFERROR(VALUE(TRIM(SUBSTITUTE(D81,CHAR(160),""))),0))</f>
        <v/>
      </c>
      <c r="Y81" s="149" t="str">
        <f t="shared" si="64"/>
        <v/>
      </c>
      <c r="Z81" s="150"/>
      <c r="AA81" s="36" t="str">
        <f t="shared" si="65"/>
        <v/>
      </c>
      <c r="AB81" s="37" t="str">
        <f t="shared" si="66"/>
        <v/>
      </c>
      <c r="AC81" s="37" t="str">
        <f t="shared" si="90"/>
        <v/>
      </c>
      <c r="AD81" s="14" t="str">
        <f t="shared" si="67"/>
        <v/>
      </c>
      <c r="AE81" s="14" t="str">
        <f t="shared" si="68"/>
        <v/>
      </c>
      <c r="AF81" s="14" t="str">
        <f t="shared" si="69"/>
        <v/>
      </c>
      <c r="AG81" s="14" t="str">
        <f t="shared" si="70"/>
        <v/>
      </c>
      <c r="AH81" s="38" t="str">
        <f t="shared" si="71"/>
        <v/>
      </c>
      <c r="AI81" s="14" t="str">
        <f t="shared" si="72"/>
        <v/>
      </c>
      <c r="AJ81" s="39" t="str">
        <f t="shared" si="73"/>
        <v/>
      </c>
      <c r="AK81" s="40" t="str">
        <f t="shared" si="74"/>
        <v/>
      </c>
      <c r="AL81" s="20" t="str">
        <f t="shared" si="75"/>
        <v/>
      </c>
      <c r="AM81" s="35" t="str">
        <f t="shared" si="76"/>
        <v/>
      </c>
      <c r="AN81" s="41" t="str">
        <f t="shared" si="77"/>
        <v/>
      </c>
      <c r="AO81" s="20" t="str">
        <f t="shared" si="78"/>
        <v/>
      </c>
      <c r="AP81" s="35" t="str">
        <f t="shared" si="79"/>
        <v/>
      </c>
      <c r="AQ81" s="42" t="str">
        <f t="shared" si="80"/>
        <v/>
      </c>
      <c r="AR81" s="20" t="str">
        <f t="shared" si="81"/>
        <v/>
      </c>
      <c r="AS81" s="43" t="str">
        <f t="shared" si="82"/>
        <v/>
      </c>
      <c r="AT81" s="36" t="str">
        <f t="shared" si="83"/>
        <v/>
      </c>
      <c r="AU81" s="184"/>
      <c r="AV81" s="44" t="str">
        <f t="shared" si="84"/>
        <v/>
      </c>
      <c r="AW81" s="44" t="str">
        <f t="shared" si="85"/>
        <v/>
      </c>
      <c r="AX81" s="44" t="str">
        <f t="shared" si="86"/>
        <v/>
      </c>
      <c r="AY81" s="74" t="str" cm="1">
        <f t="array" ref="AY81">IF($AB81="","",IF((IFERROR(_xlfn.IFS($AT81="Devis 1",(IFERROR(VALUE(TRIM(SUBSTITUTE(AK81,CHAR(160),""))),0)),$AT81="Devis 2",(IFERROR(VALUE(TRIM(SUBSTITUTE(AN81,CHAR(160),""))),0)),$AT81="Devis 3",(IFERROR(VALUE(TRIM(SUBSTITUTE(AQ81,CHAR(160),""))),0))),0))*(IFERROR(VALUE(TRIM(SUBSTITUTE($AB81,CHAR(160),""))),0))=0,"",(IFERROR(_xlfn.IFS($AT81="Devis 1",(IFERROR(VALUE(TRIM(SUBSTITUTE(AK81,CHAR(160),""))),0)),$AT81="Devis 2",(IFERROR(VALUE(TRIM(SUBSTITUTE(AN81,CHAR(160),""))),0)),$AT81="Devis 3",(IFERROR(VALUE(TRIM(SUBSTITUTE(AQ81,CHAR(160),""))),0))),0))*(IFERROR(VALUE(TRIM(SUBSTITUTE($AB81,CHAR(160),""))),0))))</f>
        <v/>
      </c>
      <c r="AZ81" s="74" t="str" cm="1">
        <f t="array" ref="AZ81">IF($AB81="","",IF((IFERROR(_xlfn.IFS(TRIM(SUBSTITUTE($AT81,CHAR(160),""))="Devis 1", IFERROR(VALUE(TRIM(SUBSTITUTE(AL81,CHAR(160),""))),0),TRIM(SUBSTITUTE($AT81,CHAR(160),""))="Devis 2", IFERROR(VALUE(TRIM(SUBSTITUTE(AO81,CHAR(160),""))),0),TRIM(SUBSTITUTE($AT81,CHAR(160),""))="Devis 3", IFERROR(VALUE(TRIM(SUBSTITUTE(AR81,CHAR(160),""))),0)),0) * IFERROR(VALUE(TRIM(SUBSTITUTE($AB81,CHAR(160),""))),0)) = 0,IF(AY81&lt;&gt;"",0,""),(IFERROR(_xlfn.IFS(TRIM(SUBSTITUTE($AT81,CHAR(160),""))="Devis 1", IFERROR(VALUE(TRIM(SUBSTITUTE(AL81,CHAR(160),""))),0),TRIM(SUBSTITUTE($AT81,CHAR(160),""))="Devis 2", IFERROR(VALUE(TRIM(SUBSTITUTE(AO81,CHAR(160),""))),0),TRIM(SUBSTITUTE($AT81,CHAR(160),""))="Devis 3", IFERROR(VALUE(TRIM(SUBSTITUTE(AR81,CHAR(160),""))),0)),0) * IFERROR(VALUE(TRIM(SUBSTITUTE($AB81,CHAR(160),""))),0))))</f>
        <v/>
      </c>
      <c r="BA81" s="74" t="str" cm="1">
        <f t="array" ref="BA81">IF($AB81="","",IF(IFERROR(_xlfn.IFS($AT81="Devis 1",IFERROR(VALUE(TRIM(SUBSTITUTE(AM81,CHAR(160),""))),0),$AT81="Devis 2",IFERROR(VALUE(TRIM(SUBSTITUTE(AP81,CHAR(160),""))),0),$AT81="Devis 3",IFERROR(VALUE(TRIM(SUBSTITUTE(AS81,CHAR(160),""))),0)),0)*IFERROR(VALUE(TRIM(SUBSTITUTE($AB81,CHAR(160),""))),0)=0,"",IFERROR(_xlfn.IFS($AT81="Devis 1",IFERROR(VALUE(TRIM(SUBSTITUTE(AM81,CHAR(160),""))),0),$AT81="Devis 2",IFERROR(VALUE(TRIM(SUBSTITUTE(AP81,CHAR(160),""))),0),$AT81="Devis 3",IFERROR(VALUE(TRIM(SUBSTITUTE(AS81,CHAR(160),""))),0)),0)*IFERROR(VALUE(TRIM(SUBSTITUTE($AB81,CHAR(160),""))),0)))</f>
        <v/>
      </c>
      <c r="BB81" s="45"/>
      <c r="BC81" s="13" t="str" cm="1">
        <f t="array" ref="BC81">IF(OR(BA81="",AX81="",AY81="",AV81="",AZ81="",AW81=""),"",_xlfn.IFS((IFERROR(VALUE(TRIM(SUBSTITUTE(BA81,CHAR(160),""))),0))&gt;(IFERROR(VALUE(TRIM(SUBSTITUTE(AX81,CHAR(160),""))),0)),"KO : Le montant retenu TTC est supérieur au montant raisonnable TTC. Merci de revoir la ligne de dépense ou plafonner son montant.",(IFERROR(VALUE(TRIM(SUBSTITUTE(AY81,CHAR(160),""))),0))&gt;(IFERROR(VALUE(TRIM(SUBSTITUTE(AV81,CHAR(160),""))),0)),"Attention : Le montant retenu HT est supérieur au montant HT raisonnable. Merci de revoir la ligne de dépense, plafonner son montant, ou justifier la reventillation HT / TVA.",(IFERROR(VALUE(TRIM(SUBSTITUTE(AZ81,CHAR(160),""))),0))&gt;(IFERROR(VALUE(TRIM(SUBSTITUTE(AW81,CHAR(160),""))),0)),"Attention : Le montant TVA retenu est supérieur au montant TVA raisonnable. Merci de revoir la ligne de dépense, plafonner son montant, ou justifier la reventillation HT / TVA.",(IFERROR(VALUE(TRIM(SUBSTITUTE(BA81,CHAR(160),""))),0))=0,"",(IFERROR(VALUE(TRIM(SUBSTITUTE(AX81,CHAR(160),""))),0))=(IFERROR(VALUE(TRIM(SUBSTITUTE(BA81,CHAR(160),""))),0)),"OK",(IFERROR(VALUE(TRIM(SUBSTITUTE(AX81,CHAR(160),""))),0))&gt;(IFERROR(VALUE(TRIM(SUBSTITUTE(BA81,CHAR(160),""))),0))," OK : Montant instruit inférieur au montant raisonnable.",TRUE,""))</f>
        <v/>
      </c>
      <c r="BD81" s="187" t="str" cm="1">
        <f t="array" ref="BD81">IF(OR(BA81="",Y81="",AY81="",W81="",AZ81="",X81=""),"",_xlfn.IFS((IFERROR(VALUE(TRIM(SUBSTITUTE(BA81,CHAR(160),""))),0))&gt;(IFERROR(VALUE(TRIM(SUBSTITUTE(Y81,CHAR(160),""))),0)),"KO : Le montant retenu TTC est supérieur au montant présenté TTC. Merci de revoir la ligne de dépense ou plafonner son montant.",(IFERROR(VALUE(TRIM(SUBSTITUTE(AY81,CHAR(160),""))),0))&gt;(IFERROR(VALUE(TRIM(SUBSTITUTE(W81,CHAR(160),""))),0)),"Attention : Le montant retenu HT est supérieur au montant HT présenté. Merci de revoir la ligne de dépense,plafonner son montant,ou justifier la reventillation HT/TVA.",(IFERROR(VALUE(TRIM(SUBSTITUTE(AZ81,CHAR(160),""))),0))&gt;(IFERROR(VALUE(TRIM(SUBSTITUTE(X81,CHAR(160),""))),0)),"Attention : Le montant TVA retenu est supérieur au montant TVA présenté. Merci de revoir la ligne de dépense,plafonner son montant,ou justifier la reventillation HT/TVA.",(IFERROR(VALUE(TRIM(SUBSTITUTE(Y81,CHAR(160),""))),0))=0,"",(IFERROR(VALUE(TRIM(SUBSTITUTE(BA81,CHAR(160),""))),0))=(IFERROR(VALUE(TRIM(SUBSTITUTE(Y81,CHAR(160),""))),0)),"OK",
OR((IFERROR(VALUE(TRIM(SUBSTITUTE(BA81,CHAR(160),""))),0))=0,(IFERROR(VALUE(TRIM(SUBSTITUTE(AY81,CHAR(160),""))),0))=0),"Attention : montant présenté entièrement écarté",(IFERROR(VALUE(TRIM(SUBSTITUTE(BA81,CHAR(160),""))),0))&lt;(IFERROR(VALUE(TRIM(SUBSTITUTE(Y81,CHAR(160),""))),0)),"Attention : montant présenté partiellement écarté",TRUE,""))</f>
        <v/>
      </c>
      <c r="BE81" s="44" t="str">
        <f t="shared" si="87"/>
        <v/>
      </c>
      <c r="BF81" s="44" t="str">
        <f t="shared" si="88"/>
        <v/>
      </c>
      <c r="BG81" s="21" t="str">
        <f t="shared" si="89"/>
        <v/>
      </c>
    </row>
    <row r="82" spans="1:59" ht="15" customHeight="1">
      <c r="A82" s="70">
        <v>73</v>
      </c>
      <c r="B82" s="784"/>
      <c r="C82" s="7"/>
      <c r="D82" s="11"/>
      <c r="E82" s="11"/>
      <c r="F82" s="7"/>
      <c r="G82" s="7"/>
      <c r="H82" s="7"/>
      <c r="I82" s="7"/>
      <c r="J82" s="17"/>
      <c r="K82" s="7"/>
      <c r="L82" s="132"/>
      <c r="M82" s="138"/>
      <c r="N82" s="8"/>
      <c r="O82" s="35" t="str">
        <f t="shared" si="61"/>
        <v/>
      </c>
      <c r="P82" s="9"/>
      <c r="Q82" s="8"/>
      <c r="R82" s="35" t="str">
        <f t="shared" si="62"/>
        <v/>
      </c>
      <c r="S82" s="10"/>
      <c r="T82" s="8"/>
      <c r="U82" s="139" t="str">
        <f t="shared" si="63"/>
        <v/>
      </c>
      <c r="V82" s="147"/>
      <c r="W82" s="770" t="str" cm="1">
        <f t="array" ref="W82">IF((_xlfn.IFS(TRIM(SUBSTITUTE(V82,CHAR(160),""))="Devis 1",IFERROR(VALUE(TRIM(SUBSTITUTE(M82,CHAR(160),""))),0),TRIM(SUBSTITUTE(V82,CHAR(160),""))="Devis 2",IFERROR(VALUE(TRIM(SUBSTITUTE(P82,CHAR(160),""))),0),TRIM(SUBSTITUTE(V82,CHAR(160),""))="Devis 3",IFERROR(VALUE(TRIM(SUBSTITUTE(S82,CHAR(160),""))),0),TRUE,0)*IFERROR(VALUE(TRIM(SUBSTITUTE(D82,CHAR(160),""))),0))=0,"",_xlfn.IFS(TRIM(SUBSTITUTE(V82,CHAR(160),""))="Devis 1",IFERROR(VALUE(TRIM(SUBSTITUTE(M82,CHAR(160),""))),0),TRIM(SUBSTITUTE(V82,CHAR(160),""))="Devis 2",IFERROR(VALUE(TRIM(SUBSTITUTE(P82,CHAR(160),""))),0),TRIM(SUBSTITUTE(V82,CHAR(160),""))="Devis 3",IFERROR(VALUE(TRIM(SUBSTITUTE(S82,CHAR(160),""))),0),TRUE,0)*IFERROR(VALUE(TRIM(SUBSTITUTE(D82,CHAR(160),""))),0))</f>
        <v/>
      </c>
      <c r="X82" s="73" t="str" cm="1">
        <f t="array" ref="X82">IF(_xlfn.IFS(TRIM(SUBSTITUTE(V82,CHAR(160),""))="Devis 1",IFERROR(VALUE(TRIM(SUBSTITUTE(N82,CHAR(160),""))),0),TRIM(SUBSTITUTE(V82,CHAR(160),""))="Devis 2",IFERROR(VALUE(TRIM(SUBSTITUTE(Q82,CHAR(160),""))),0),TRIM(SUBSTITUTE(V82,CHAR(160),""))="Devis 3",IFERROR(VALUE(TRIM(SUBSTITUTE(T82,CHAR(160),""))),0),TRUE,0)*IFERROR(VALUE(TRIM(SUBSTITUTE(D82,CHAR(160),""))),0)=0,IF(W82&lt;&gt;"",0,""),_xlfn.IFS(TRIM(SUBSTITUTE(V82,CHAR(160),""))="Devis 1",IFERROR(VALUE(TRIM(SUBSTITUTE(N82,CHAR(160),""))),0),TRIM(SUBSTITUTE(V82,CHAR(160),""))="Devis 2",IFERROR(VALUE(TRIM(SUBSTITUTE(Q82,CHAR(160),""))),0),TRIM(SUBSTITUTE(V82,CHAR(160),""))="Devis 3",IFERROR(VALUE(TRIM(SUBSTITUTE(T82,CHAR(160),""))),0),TRUE,0)*IFERROR(VALUE(TRIM(SUBSTITUTE(D82,CHAR(160),""))),0))</f>
        <v/>
      </c>
      <c r="Y82" s="149" t="str">
        <f t="shared" si="64"/>
        <v/>
      </c>
      <c r="Z82" s="150"/>
      <c r="AA82" s="36" t="str">
        <f t="shared" si="65"/>
        <v/>
      </c>
      <c r="AB82" s="37" t="str">
        <f t="shared" si="66"/>
        <v/>
      </c>
      <c r="AC82" s="37" t="str">
        <f t="shared" si="90"/>
        <v/>
      </c>
      <c r="AD82" s="14" t="str">
        <f t="shared" si="67"/>
        <v/>
      </c>
      <c r="AE82" s="14" t="str">
        <f t="shared" si="68"/>
        <v/>
      </c>
      <c r="AF82" s="14" t="str">
        <f t="shared" si="69"/>
        <v/>
      </c>
      <c r="AG82" s="14" t="str">
        <f t="shared" si="70"/>
        <v/>
      </c>
      <c r="AH82" s="38" t="str">
        <f t="shared" si="71"/>
        <v/>
      </c>
      <c r="AI82" s="14" t="str">
        <f t="shared" si="72"/>
        <v/>
      </c>
      <c r="AJ82" s="39" t="str">
        <f t="shared" si="73"/>
        <v/>
      </c>
      <c r="AK82" s="40" t="str">
        <f t="shared" si="74"/>
        <v/>
      </c>
      <c r="AL82" s="20" t="str">
        <f t="shared" si="75"/>
        <v/>
      </c>
      <c r="AM82" s="35" t="str">
        <f t="shared" si="76"/>
        <v/>
      </c>
      <c r="AN82" s="41" t="str">
        <f t="shared" si="77"/>
        <v/>
      </c>
      <c r="AO82" s="20" t="str">
        <f t="shared" si="78"/>
        <v/>
      </c>
      <c r="AP82" s="35" t="str">
        <f t="shared" si="79"/>
        <v/>
      </c>
      <c r="AQ82" s="42" t="str">
        <f t="shared" si="80"/>
        <v/>
      </c>
      <c r="AR82" s="20" t="str">
        <f t="shared" si="81"/>
        <v/>
      </c>
      <c r="AS82" s="43" t="str">
        <f t="shared" si="82"/>
        <v/>
      </c>
      <c r="AT82" s="36" t="str">
        <f t="shared" si="83"/>
        <v/>
      </c>
      <c r="AU82" s="184"/>
      <c r="AV82" s="44" t="str">
        <f t="shared" si="84"/>
        <v/>
      </c>
      <c r="AW82" s="44" t="str">
        <f t="shared" si="85"/>
        <v/>
      </c>
      <c r="AX82" s="44" t="str">
        <f t="shared" si="86"/>
        <v/>
      </c>
      <c r="AY82" s="74" t="str" cm="1">
        <f t="array" ref="AY82">IF($AB82="","",IF((IFERROR(_xlfn.IFS($AT82="Devis 1",(IFERROR(VALUE(TRIM(SUBSTITUTE(AK82,CHAR(160),""))),0)),$AT82="Devis 2",(IFERROR(VALUE(TRIM(SUBSTITUTE(AN82,CHAR(160),""))),0)),$AT82="Devis 3",(IFERROR(VALUE(TRIM(SUBSTITUTE(AQ82,CHAR(160),""))),0))),0))*(IFERROR(VALUE(TRIM(SUBSTITUTE($AB82,CHAR(160),""))),0))=0,"",(IFERROR(_xlfn.IFS($AT82="Devis 1",(IFERROR(VALUE(TRIM(SUBSTITUTE(AK82,CHAR(160),""))),0)),$AT82="Devis 2",(IFERROR(VALUE(TRIM(SUBSTITUTE(AN82,CHAR(160),""))),0)),$AT82="Devis 3",(IFERROR(VALUE(TRIM(SUBSTITUTE(AQ82,CHAR(160),""))),0))),0))*(IFERROR(VALUE(TRIM(SUBSTITUTE($AB82,CHAR(160),""))),0))))</f>
        <v/>
      </c>
      <c r="AZ82" s="74" t="str" cm="1">
        <f t="array" ref="AZ82">IF($AB82="","",IF((IFERROR(_xlfn.IFS(TRIM(SUBSTITUTE($AT82,CHAR(160),""))="Devis 1", IFERROR(VALUE(TRIM(SUBSTITUTE(AL82,CHAR(160),""))),0),TRIM(SUBSTITUTE($AT82,CHAR(160),""))="Devis 2", IFERROR(VALUE(TRIM(SUBSTITUTE(AO82,CHAR(160),""))),0),TRIM(SUBSTITUTE($AT82,CHAR(160),""))="Devis 3", IFERROR(VALUE(TRIM(SUBSTITUTE(AR82,CHAR(160),""))),0)),0) * IFERROR(VALUE(TRIM(SUBSTITUTE($AB82,CHAR(160),""))),0)) = 0,IF(AY82&lt;&gt;"",0,""),(IFERROR(_xlfn.IFS(TRIM(SUBSTITUTE($AT82,CHAR(160),""))="Devis 1", IFERROR(VALUE(TRIM(SUBSTITUTE(AL82,CHAR(160),""))),0),TRIM(SUBSTITUTE($AT82,CHAR(160),""))="Devis 2", IFERROR(VALUE(TRIM(SUBSTITUTE(AO82,CHAR(160),""))),0),TRIM(SUBSTITUTE($AT82,CHAR(160),""))="Devis 3", IFERROR(VALUE(TRIM(SUBSTITUTE(AR82,CHAR(160),""))),0)),0) * IFERROR(VALUE(TRIM(SUBSTITUTE($AB82,CHAR(160),""))),0))))</f>
        <v/>
      </c>
      <c r="BA82" s="74" t="str" cm="1">
        <f t="array" ref="BA82">IF($AB82="","",IF(IFERROR(_xlfn.IFS($AT82="Devis 1",IFERROR(VALUE(TRIM(SUBSTITUTE(AM82,CHAR(160),""))),0),$AT82="Devis 2",IFERROR(VALUE(TRIM(SUBSTITUTE(AP82,CHAR(160),""))),0),$AT82="Devis 3",IFERROR(VALUE(TRIM(SUBSTITUTE(AS82,CHAR(160),""))),0)),0)*IFERROR(VALUE(TRIM(SUBSTITUTE($AB82,CHAR(160),""))),0)=0,"",IFERROR(_xlfn.IFS($AT82="Devis 1",IFERROR(VALUE(TRIM(SUBSTITUTE(AM82,CHAR(160),""))),0),$AT82="Devis 2",IFERROR(VALUE(TRIM(SUBSTITUTE(AP82,CHAR(160),""))),0),$AT82="Devis 3",IFERROR(VALUE(TRIM(SUBSTITUTE(AS82,CHAR(160),""))),0)),0)*IFERROR(VALUE(TRIM(SUBSTITUTE($AB82,CHAR(160),""))),0)))</f>
        <v/>
      </c>
      <c r="BB82" s="45"/>
      <c r="BC82" s="13" t="str" cm="1">
        <f t="array" ref="BC82">IF(OR(BA82="",AX82="",AY82="",AV82="",AZ82="",AW82=""),"",_xlfn.IFS((IFERROR(VALUE(TRIM(SUBSTITUTE(BA82,CHAR(160),""))),0))&gt;(IFERROR(VALUE(TRIM(SUBSTITUTE(AX82,CHAR(160),""))),0)),"KO : Le montant retenu TTC est supérieur au montant raisonnable TTC. Merci de revoir la ligne de dépense ou plafonner son montant.",(IFERROR(VALUE(TRIM(SUBSTITUTE(AY82,CHAR(160),""))),0))&gt;(IFERROR(VALUE(TRIM(SUBSTITUTE(AV82,CHAR(160),""))),0)),"Attention : Le montant retenu HT est supérieur au montant HT raisonnable. Merci de revoir la ligne de dépense, plafonner son montant, ou justifier la reventillation HT / TVA.",(IFERROR(VALUE(TRIM(SUBSTITUTE(AZ82,CHAR(160),""))),0))&gt;(IFERROR(VALUE(TRIM(SUBSTITUTE(AW82,CHAR(160),""))),0)),"Attention : Le montant TVA retenu est supérieur au montant TVA raisonnable. Merci de revoir la ligne de dépense, plafonner son montant, ou justifier la reventillation HT / TVA.",(IFERROR(VALUE(TRIM(SUBSTITUTE(BA82,CHAR(160),""))),0))=0,"",(IFERROR(VALUE(TRIM(SUBSTITUTE(AX82,CHAR(160),""))),0))=(IFERROR(VALUE(TRIM(SUBSTITUTE(BA82,CHAR(160),""))),0)),"OK",(IFERROR(VALUE(TRIM(SUBSTITUTE(AX82,CHAR(160),""))),0))&gt;(IFERROR(VALUE(TRIM(SUBSTITUTE(BA82,CHAR(160),""))),0))," OK : Montant instruit inférieur au montant raisonnable.",TRUE,""))</f>
        <v/>
      </c>
      <c r="BD82" s="187" t="str" cm="1">
        <f t="array" ref="BD82">IF(OR(BA82="",Y82="",AY82="",W82="",AZ82="",X82=""),"",_xlfn.IFS((IFERROR(VALUE(TRIM(SUBSTITUTE(BA82,CHAR(160),""))),0))&gt;(IFERROR(VALUE(TRIM(SUBSTITUTE(Y82,CHAR(160),""))),0)),"KO : Le montant retenu TTC est supérieur au montant présenté TTC. Merci de revoir la ligne de dépense ou plafonner son montant.",(IFERROR(VALUE(TRIM(SUBSTITUTE(AY82,CHAR(160),""))),0))&gt;(IFERROR(VALUE(TRIM(SUBSTITUTE(W82,CHAR(160),""))),0)),"Attention : Le montant retenu HT est supérieur au montant HT présenté. Merci de revoir la ligne de dépense,plafonner son montant,ou justifier la reventillation HT/TVA.",(IFERROR(VALUE(TRIM(SUBSTITUTE(AZ82,CHAR(160),""))),0))&gt;(IFERROR(VALUE(TRIM(SUBSTITUTE(X82,CHAR(160),""))),0)),"Attention : Le montant TVA retenu est supérieur au montant TVA présenté. Merci de revoir la ligne de dépense,plafonner son montant,ou justifier la reventillation HT/TVA.",(IFERROR(VALUE(TRIM(SUBSTITUTE(Y82,CHAR(160),""))),0))=0,"",(IFERROR(VALUE(TRIM(SUBSTITUTE(BA82,CHAR(160),""))),0))=(IFERROR(VALUE(TRIM(SUBSTITUTE(Y82,CHAR(160),""))),0)),"OK",
OR((IFERROR(VALUE(TRIM(SUBSTITUTE(BA82,CHAR(160),""))),0))=0,(IFERROR(VALUE(TRIM(SUBSTITUTE(AY82,CHAR(160),""))),0))=0),"Attention : montant présenté entièrement écarté",(IFERROR(VALUE(TRIM(SUBSTITUTE(BA82,CHAR(160),""))),0))&lt;(IFERROR(VALUE(TRIM(SUBSTITUTE(Y82,CHAR(160),""))),0)),"Attention : montant présenté partiellement écarté",TRUE,""))</f>
        <v/>
      </c>
      <c r="BE82" s="44" t="str">
        <f t="shared" si="87"/>
        <v/>
      </c>
      <c r="BF82" s="44" t="str">
        <f t="shared" si="88"/>
        <v/>
      </c>
      <c r="BG82" s="21" t="str">
        <f t="shared" si="89"/>
        <v/>
      </c>
    </row>
    <row r="83" spans="1:59" ht="15" customHeight="1">
      <c r="A83" s="70">
        <v>74</v>
      </c>
      <c r="B83" s="784"/>
      <c r="C83" s="7"/>
      <c r="D83" s="11"/>
      <c r="E83" s="11"/>
      <c r="F83" s="7"/>
      <c r="G83" s="7"/>
      <c r="H83" s="7"/>
      <c r="I83" s="7"/>
      <c r="J83" s="17"/>
      <c r="K83" s="7"/>
      <c r="L83" s="132"/>
      <c r="M83" s="138"/>
      <c r="N83" s="8"/>
      <c r="O83" s="35" t="str">
        <f t="shared" si="61"/>
        <v/>
      </c>
      <c r="P83" s="9"/>
      <c r="Q83" s="8"/>
      <c r="R83" s="35" t="str">
        <f t="shared" si="62"/>
        <v/>
      </c>
      <c r="S83" s="10"/>
      <c r="T83" s="8"/>
      <c r="U83" s="139" t="str">
        <f t="shared" si="63"/>
        <v/>
      </c>
      <c r="V83" s="147"/>
      <c r="W83" s="770" t="str" cm="1">
        <f t="array" ref="W83">IF((_xlfn.IFS(TRIM(SUBSTITUTE(V83,CHAR(160),""))="Devis 1",IFERROR(VALUE(TRIM(SUBSTITUTE(M83,CHAR(160),""))),0),TRIM(SUBSTITUTE(V83,CHAR(160),""))="Devis 2",IFERROR(VALUE(TRIM(SUBSTITUTE(P83,CHAR(160),""))),0),TRIM(SUBSTITUTE(V83,CHAR(160),""))="Devis 3",IFERROR(VALUE(TRIM(SUBSTITUTE(S83,CHAR(160),""))),0),TRUE,0)*IFERROR(VALUE(TRIM(SUBSTITUTE(D83,CHAR(160),""))),0))=0,"",_xlfn.IFS(TRIM(SUBSTITUTE(V83,CHAR(160),""))="Devis 1",IFERROR(VALUE(TRIM(SUBSTITUTE(M83,CHAR(160),""))),0),TRIM(SUBSTITUTE(V83,CHAR(160),""))="Devis 2",IFERROR(VALUE(TRIM(SUBSTITUTE(P83,CHAR(160),""))),0),TRIM(SUBSTITUTE(V83,CHAR(160),""))="Devis 3",IFERROR(VALUE(TRIM(SUBSTITUTE(S83,CHAR(160),""))),0),TRUE,0)*IFERROR(VALUE(TRIM(SUBSTITUTE(D83,CHAR(160),""))),0))</f>
        <v/>
      </c>
      <c r="X83" s="73" t="str" cm="1">
        <f t="array" ref="X83">IF(_xlfn.IFS(TRIM(SUBSTITUTE(V83,CHAR(160),""))="Devis 1",IFERROR(VALUE(TRIM(SUBSTITUTE(N83,CHAR(160),""))),0),TRIM(SUBSTITUTE(V83,CHAR(160),""))="Devis 2",IFERROR(VALUE(TRIM(SUBSTITUTE(Q83,CHAR(160),""))),0),TRIM(SUBSTITUTE(V83,CHAR(160),""))="Devis 3",IFERROR(VALUE(TRIM(SUBSTITUTE(T83,CHAR(160),""))),0),TRUE,0)*IFERROR(VALUE(TRIM(SUBSTITUTE(D83,CHAR(160),""))),0)=0,IF(W83&lt;&gt;"",0,""),_xlfn.IFS(TRIM(SUBSTITUTE(V83,CHAR(160),""))="Devis 1",IFERROR(VALUE(TRIM(SUBSTITUTE(N83,CHAR(160),""))),0),TRIM(SUBSTITUTE(V83,CHAR(160),""))="Devis 2",IFERROR(VALUE(TRIM(SUBSTITUTE(Q83,CHAR(160),""))),0),TRIM(SUBSTITUTE(V83,CHAR(160),""))="Devis 3",IFERROR(VALUE(TRIM(SUBSTITUTE(T83,CHAR(160),""))),0),TRUE,0)*IFERROR(VALUE(TRIM(SUBSTITUTE(D83,CHAR(160),""))),0))</f>
        <v/>
      </c>
      <c r="Y83" s="149" t="str">
        <f t="shared" si="64"/>
        <v/>
      </c>
      <c r="Z83" s="150"/>
      <c r="AA83" s="36" t="str">
        <f t="shared" si="65"/>
        <v/>
      </c>
      <c r="AB83" s="37" t="str">
        <f t="shared" si="66"/>
        <v/>
      </c>
      <c r="AC83" s="37" t="str">
        <f t="shared" si="90"/>
        <v/>
      </c>
      <c r="AD83" s="14" t="str">
        <f t="shared" si="67"/>
        <v/>
      </c>
      <c r="AE83" s="14" t="str">
        <f t="shared" si="68"/>
        <v/>
      </c>
      <c r="AF83" s="14" t="str">
        <f t="shared" si="69"/>
        <v/>
      </c>
      <c r="AG83" s="14" t="str">
        <f t="shared" si="70"/>
        <v/>
      </c>
      <c r="AH83" s="38" t="str">
        <f t="shared" si="71"/>
        <v/>
      </c>
      <c r="AI83" s="14" t="str">
        <f t="shared" si="72"/>
        <v/>
      </c>
      <c r="AJ83" s="39" t="str">
        <f t="shared" si="73"/>
        <v/>
      </c>
      <c r="AK83" s="40" t="str">
        <f t="shared" si="74"/>
        <v/>
      </c>
      <c r="AL83" s="20" t="str">
        <f t="shared" si="75"/>
        <v/>
      </c>
      <c r="AM83" s="35" t="str">
        <f t="shared" si="76"/>
        <v/>
      </c>
      <c r="AN83" s="41" t="str">
        <f t="shared" si="77"/>
        <v/>
      </c>
      <c r="AO83" s="20" t="str">
        <f t="shared" si="78"/>
        <v/>
      </c>
      <c r="AP83" s="35" t="str">
        <f t="shared" si="79"/>
        <v/>
      </c>
      <c r="AQ83" s="42" t="str">
        <f t="shared" si="80"/>
        <v/>
      </c>
      <c r="AR83" s="20" t="str">
        <f t="shared" si="81"/>
        <v/>
      </c>
      <c r="AS83" s="43" t="str">
        <f t="shared" si="82"/>
        <v/>
      </c>
      <c r="AT83" s="36" t="str">
        <f t="shared" si="83"/>
        <v/>
      </c>
      <c r="AU83" s="184"/>
      <c r="AV83" s="44" t="str">
        <f t="shared" si="84"/>
        <v/>
      </c>
      <c r="AW83" s="44" t="str">
        <f t="shared" si="85"/>
        <v/>
      </c>
      <c r="AX83" s="44" t="str">
        <f t="shared" si="86"/>
        <v/>
      </c>
      <c r="AY83" s="74" t="str" cm="1">
        <f t="array" ref="AY83">IF($AB83="","",IF((IFERROR(_xlfn.IFS($AT83="Devis 1",(IFERROR(VALUE(TRIM(SUBSTITUTE(AK83,CHAR(160),""))),0)),$AT83="Devis 2",(IFERROR(VALUE(TRIM(SUBSTITUTE(AN83,CHAR(160),""))),0)),$AT83="Devis 3",(IFERROR(VALUE(TRIM(SUBSTITUTE(AQ83,CHAR(160),""))),0))),0))*(IFERROR(VALUE(TRIM(SUBSTITUTE($AB83,CHAR(160),""))),0))=0,"",(IFERROR(_xlfn.IFS($AT83="Devis 1",(IFERROR(VALUE(TRIM(SUBSTITUTE(AK83,CHAR(160),""))),0)),$AT83="Devis 2",(IFERROR(VALUE(TRIM(SUBSTITUTE(AN83,CHAR(160),""))),0)),$AT83="Devis 3",(IFERROR(VALUE(TRIM(SUBSTITUTE(AQ83,CHAR(160),""))),0))),0))*(IFERROR(VALUE(TRIM(SUBSTITUTE($AB83,CHAR(160),""))),0))))</f>
        <v/>
      </c>
      <c r="AZ83" s="74" t="str" cm="1">
        <f t="array" ref="AZ83">IF($AB83="","",IF((IFERROR(_xlfn.IFS(TRIM(SUBSTITUTE($AT83,CHAR(160),""))="Devis 1", IFERROR(VALUE(TRIM(SUBSTITUTE(AL83,CHAR(160),""))),0),TRIM(SUBSTITUTE($AT83,CHAR(160),""))="Devis 2", IFERROR(VALUE(TRIM(SUBSTITUTE(AO83,CHAR(160),""))),0),TRIM(SUBSTITUTE($AT83,CHAR(160),""))="Devis 3", IFERROR(VALUE(TRIM(SUBSTITUTE(AR83,CHAR(160),""))),0)),0) * IFERROR(VALUE(TRIM(SUBSTITUTE($AB83,CHAR(160),""))),0)) = 0,IF(AY83&lt;&gt;"",0,""),(IFERROR(_xlfn.IFS(TRIM(SUBSTITUTE($AT83,CHAR(160),""))="Devis 1", IFERROR(VALUE(TRIM(SUBSTITUTE(AL83,CHAR(160),""))),0),TRIM(SUBSTITUTE($AT83,CHAR(160),""))="Devis 2", IFERROR(VALUE(TRIM(SUBSTITUTE(AO83,CHAR(160),""))),0),TRIM(SUBSTITUTE($AT83,CHAR(160),""))="Devis 3", IFERROR(VALUE(TRIM(SUBSTITUTE(AR83,CHAR(160),""))),0)),0) * IFERROR(VALUE(TRIM(SUBSTITUTE($AB83,CHAR(160),""))),0))))</f>
        <v/>
      </c>
      <c r="BA83" s="74" t="str" cm="1">
        <f t="array" ref="BA83">IF($AB83="","",IF(IFERROR(_xlfn.IFS($AT83="Devis 1",IFERROR(VALUE(TRIM(SUBSTITUTE(AM83,CHAR(160),""))),0),$AT83="Devis 2",IFERROR(VALUE(TRIM(SUBSTITUTE(AP83,CHAR(160),""))),0),$AT83="Devis 3",IFERROR(VALUE(TRIM(SUBSTITUTE(AS83,CHAR(160),""))),0)),0)*IFERROR(VALUE(TRIM(SUBSTITUTE($AB83,CHAR(160),""))),0)=0,"",IFERROR(_xlfn.IFS($AT83="Devis 1",IFERROR(VALUE(TRIM(SUBSTITUTE(AM83,CHAR(160),""))),0),$AT83="Devis 2",IFERROR(VALUE(TRIM(SUBSTITUTE(AP83,CHAR(160),""))),0),$AT83="Devis 3",IFERROR(VALUE(TRIM(SUBSTITUTE(AS83,CHAR(160),""))),0)),0)*IFERROR(VALUE(TRIM(SUBSTITUTE($AB83,CHAR(160),""))),0)))</f>
        <v/>
      </c>
      <c r="BB83" s="45"/>
      <c r="BC83" s="13" t="str" cm="1">
        <f t="array" ref="BC83">IF(OR(BA83="",AX83="",AY83="",AV83="",AZ83="",AW83=""),"",_xlfn.IFS((IFERROR(VALUE(TRIM(SUBSTITUTE(BA83,CHAR(160),""))),0))&gt;(IFERROR(VALUE(TRIM(SUBSTITUTE(AX83,CHAR(160),""))),0)),"KO : Le montant retenu TTC est supérieur au montant raisonnable TTC. Merci de revoir la ligne de dépense ou plafonner son montant.",(IFERROR(VALUE(TRIM(SUBSTITUTE(AY83,CHAR(160),""))),0))&gt;(IFERROR(VALUE(TRIM(SUBSTITUTE(AV83,CHAR(160),""))),0)),"Attention : Le montant retenu HT est supérieur au montant HT raisonnable. Merci de revoir la ligne de dépense, plafonner son montant, ou justifier la reventillation HT / TVA.",(IFERROR(VALUE(TRIM(SUBSTITUTE(AZ83,CHAR(160),""))),0))&gt;(IFERROR(VALUE(TRIM(SUBSTITUTE(AW83,CHAR(160),""))),0)),"Attention : Le montant TVA retenu est supérieur au montant TVA raisonnable. Merci de revoir la ligne de dépense, plafonner son montant, ou justifier la reventillation HT / TVA.",(IFERROR(VALUE(TRIM(SUBSTITUTE(BA83,CHAR(160),""))),0))=0,"",(IFERROR(VALUE(TRIM(SUBSTITUTE(AX83,CHAR(160),""))),0))=(IFERROR(VALUE(TRIM(SUBSTITUTE(BA83,CHAR(160),""))),0)),"OK",(IFERROR(VALUE(TRIM(SUBSTITUTE(AX83,CHAR(160),""))),0))&gt;(IFERROR(VALUE(TRIM(SUBSTITUTE(BA83,CHAR(160),""))),0))," OK : Montant instruit inférieur au montant raisonnable.",TRUE,""))</f>
        <v/>
      </c>
      <c r="BD83" s="187" t="str" cm="1">
        <f t="array" ref="BD83">IF(OR(BA83="",Y83="",AY83="",W83="",AZ83="",X83=""),"",_xlfn.IFS((IFERROR(VALUE(TRIM(SUBSTITUTE(BA83,CHAR(160),""))),0))&gt;(IFERROR(VALUE(TRIM(SUBSTITUTE(Y83,CHAR(160),""))),0)),"KO : Le montant retenu TTC est supérieur au montant présenté TTC. Merci de revoir la ligne de dépense ou plafonner son montant.",(IFERROR(VALUE(TRIM(SUBSTITUTE(AY83,CHAR(160),""))),0))&gt;(IFERROR(VALUE(TRIM(SUBSTITUTE(W83,CHAR(160),""))),0)),"Attention : Le montant retenu HT est supérieur au montant HT présenté. Merci de revoir la ligne de dépense,plafonner son montant,ou justifier la reventillation HT/TVA.",(IFERROR(VALUE(TRIM(SUBSTITUTE(AZ83,CHAR(160),""))),0))&gt;(IFERROR(VALUE(TRIM(SUBSTITUTE(X83,CHAR(160),""))),0)),"Attention : Le montant TVA retenu est supérieur au montant TVA présenté. Merci de revoir la ligne de dépense,plafonner son montant,ou justifier la reventillation HT/TVA.",(IFERROR(VALUE(TRIM(SUBSTITUTE(Y83,CHAR(160),""))),0))=0,"",(IFERROR(VALUE(TRIM(SUBSTITUTE(BA83,CHAR(160),""))),0))=(IFERROR(VALUE(TRIM(SUBSTITUTE(Y83,CHAR(160),""))),0)),"OK",
OR((IFERROR(VALUE(TRIM(SUBSTITUTE(BA83,CHAR(160),""))),0))=0,(IFERROR(VALUE(TRIM(SUBSTITUTE(AY83,CHAR(160),""))),0))=0),"Attention : montant présenté entièrement écarté",(IFERROR(VALUE(TRIM(SUBSTITUTE(BA83,CHAR(160),""))),0))&lt;(IFERROR(VALUE(TRIM(SUBSTITUTE(Y83,CHAR(160),""))),0)),"Attention : montant présenté partiellement écarté",TRUE,""))</f>
        <v/>
      </c>
      <c r="BE83" s="44" t="str">
        <f t="shared" si="87"/>
        <v/>
      </c>
      <c r="BF83" s="44" t="str">
        <f t="shared" si="88"/>
        <v/>
      </c>
      <c r="BG83" s="21" t="str">
        <f t="shared" si="89"/>
        <v/>
      </c>
    </row>
    <row r="84" spans="1:59" ht="15" customHeight="1">
      <c r="A84" s="70">
        <v>75</v>
      </c>
      <c r="B84" s="784"/>
      <c r="C84" s="7"/>
      <c r="D84" s="11"/>
      <c r="E84" s="11"/>
      <c r="F84" s="7"/>
      <c r="G84" s="7"/>
      <c r="H84" s="7"/>
      <c r="I84" s="7"/>
      <c r="J84" s="17"/>
      <c r="K84" s="7"/>
      <c r="L84" s="132"/>
      <c r="M84" s="138"/>
      <c r="N84" s="8"/>
      <c r="O84" s="35" t="str">
        <f t="shared" si="61"/>
        <v/>
      </c>
      <c r="P84" s="9"/>
      <c r="Q84" s="8"/>
      <c r="R84" s="35" t="str">
        <f t="shared" si="62"/>
        <v/>
      </c>
      <c r="S84" s="10"/>
      <c r="T84" s="8"/>
      <c r="U84" s="139" t="str">
        <f t="shared" si="63"/>
        <v/>
      </c>
      <c r="V84" s="147"/>
      <c r="W84" s="770" t="str" cm="1">
        <f t="array" ref="W84">IF((_xlfn.IFS(TRIM(SUBSTITUTE(V84,CHAR(160),""))="Devis 1",IFERROR(VALUE(TRIM(SUBSTITUTE(M84,CHAR(160),""))),0),TRIM(SUBSTITUTE(V84,CHAR(160),""))="Devis 2",IFERROR(VALUE(TRIM(SUBSTITUTE(P84,CHAR(160),""))),0),TRIM(SUBSTITUTE(V84,CHAR(160),""))="Devis 3",IFERROR(VALUE(TRIM(SUBSTITUTE(S84,CHAR(160),""))),0),TRUE,0)*IFERROR(VALUE(TRIM(SUBSTITUTE(D84,CHAR(160),""))),0))=0,"",_xlfn.IFS(TRIM(SUBSTITUTE(V84,CHAR(160),""))="Devis 1",IFERROR(VALUE(TRIM(SUBSTITUTE(M84,CHAR(160),""))),0),TRIM(SUBSTITUTE(V84,CHAR(160),""))="Devis 2",IFERROR(VALUE(TRIM(SUBSTITUTE(P84,CHAR(160),""))),0),TRIM(SUBSTITUTE(V84,CHAR(160),""))="Devis 3",IFERROR(VALUE(TRIM(SUBSTITUTE(S84,CHAR(160),""))),0),TRUE,0)*IFERROR(VALUE(TRIM(SUBSTITUTE(D84,CHAR(160),""))),0))</f>
        <v/>
      </c>
      <c r="X84" s="73" t="str" cm="1">
        <f t="array" ref="X84">IF(_xlfn.IFS(TRIM(SUBSTITUTE(V84,CHAR(160),""))="Devis 1",IFERROR(VALUE(TRIM(SUBSTITUTE(N84,CHAR(160),""))),0),TRIM(SUBSTITUTE(V84,CHAR(160),""))="Devis 2",IFERROR(VALUE(TRIM(SUBSTITUTE(Q84,CHAR(160),""))),0),TRIM(SUBSTITUTE(V84,CHAR(160),""))="Devis 3",IFERROR(VALUE(TRIM(SUBSTITUTE(T84,CHAR(160),""))),0),TRUE,0)*IFERROR(VALUE(TRIM(SUBSTITUTE(D84,CHAR(160),""))),0)=0,IF(W84&lt;&gt;"",0,""),_xlfn.IFS(TRIM(SUBSTITUTE(V84,CHAR(160),""))="Devis 1",IFERROR(VALUE(TRIM(SUBSTITUTE(N84,CHAR(160),""))),0),TRIM(SUBSTITUTE(V84,CHAR(160),""))="Devis 2",IFERROR(VALUE(TRIM(SUBSTITUTE(Q84,CHAR(160),""))),0),TRIM(SUBSTITUTE(V84,CHAR(160),""))="Devis 3",IFERROR(VALUE(TRIM(SUBSTITUTE(T84,CHAR(160),""))),0),TRUE,0)*IFERROR(VALUE(TRIM(SUBSTITUTE(D84,CHAR(160),""))),0))</f>
        <v/>
      </c>
      <c r="Y84" s="149" t="str">
        <f t="shared" si="64"/>
        <v/>
      </c>
      <c r="Z84" s="150"/>
      <c r="AA84" s="36" t="str">
        <f t="shared" si="65"/>
        <v/>
      </c>
      <c r="AB84" s="37" t="str">
        <f t="shared" si="66"/>
        <v/>
      </c>
      <c r="AC84" s="37" t="str">
        <f t="shared" si="90"/>
        <v/>
      </c>
      <c r="AD84" s="14" t="str">
        <f t="shared" si="67"/>
        <v/>
      </c>
      <c r="AE84" s="14" t="str">
        <f t="shared" si="68"/>
        <v/>
      </c>
      <c r="AF84" s="14" t="str">
        <f t="shared" si="69"/>
        <v/>
      </c>
      <c r="AG84" s="14" t="str">
        <f t="shared" si="70"/>
        <v/>
      </c>
      <c r="AH84" s="38" t="str">
        <f t="shared" si="71"/>
        <v/>
      </c>
      <c r="AI84" s="14" t="str">
        <f t="shared" si="72"/>
        <v/>
      </c>
      <c r="AJ84" s="39" t="str">
        <f t="shared" si="73"/>
        <v/>
      </c>
      <c r="AK84" s="40" t="str">
        <f t="shared" si="74"/>
        <v/>
      </c>
      <c r="AL84" s="20" t="str">
        <f t="shared" si="75"/>
        <v/>
      </c>
      <c r="AM84" s="35" t="str">
        <f t="shared" si="76"/>
        <v/>
      </c>
      <c r="AN84" s="41" t="str">
        <f t="shared" si="77"/>
        <v/>
      </c>
      <c r="AO84" s="20" t="str">
        <f t="shared" si="78"/>
        <v/>
      </c>
      <c r="AP84" s="35" t="str">
        <f t="shared" si="79"/>
        <v/>
      </c>
      <c r="AQ84" s="42" t="str">
        <f t="shared" si="80"/>
        <v/>
      </c>
      <c r="AR84" s="20" t="str">
        <f t="shared" si="81"/>
        <v/>
      </c>
      <c r="AS84" s="43" t="str">
        <f t="shared" si="82"/>
        <v/>
      </c>
      <c r="AT84" s="36" t="str">
        <f t="shared" si="83"/>
        <v/>
      </c>
      <c r="AU84" s="184"/>
      <c r="AV84" s="44" t="str">
        <f t="shared" si="84"/>
        <v/>
      </c>
      <c r="AW84" s="44" t="str">
        <f t="shared" si="85"/>
        <v/>
      </c>
      <c r="AX84" s="44" t="str">
        <f t="shared" si="86"/>
        <v/>
      </c>
      <c r="AY84" s="74" t="str" cm="1">
        <f t="array" ref="AY84">IF($AB84="","",IF((IFERROR(_xlfn.IFS($AT84="Devis 1",(IFERROR(VALUE(TRIM(SUBSTITUTE(AK84,CHAR(160),""))),0)),$AT84="Devis 2",(IFERROR(VALUE(TRIM(SUBSTITUTE(AN84,CHAR(160),""))),0)),$AT84="Devis 3",(IFERROR(VALUE(TRIM(SUBSTITUTE(AQ84,CHAR(160),""))),0))),0))*(IFERROR(VALUE(TRIM(SUBSTITUTE($AB84,CHAR(160),""))),0))=0,"",(IFERROR(_xlfn.IFS($AT84="Devis 1",(IFERROR(VALUE(TRIM(SUBSTITUTE(AK84,CHAR(160),""))),0)),$AT84="Devis 2",(IFERROR(VALUE(TRIM(SUBSTITUTE(AN84,CHAR(160),""))),0)),$AT84="Devis 3",(IFERROR(VALUE(TRIM(SUBSTITUTE(AQ84,CHAR(160),""))),0))),0))*(IFERROR(VALUE(TRIM(SUBSTITUTE($AB84,CHAR(160),""))),0))))</f>
        <v/>
      </c>
      <c r="AZ84" s="74" t="str" cm="1">
        <f t="array" ref="AZ84">IF($AB84="","",IF((IFERROR(_xlfn.IFS(TRIM(SUBSTITUTE($AT84,CHAR(160),""))="Devis 1", IFERROR(VALUE(TRIM(SUBSTITUTE(AL84,CHAR(160),""))),0),TRIM(SUBSTITUTE($AT84,CHAR(160),""))="Devis 2", IFERROR(VALUE(TRIM(SUBSTITUTE(AO84,CHAR(160),""))),0),TRIM(SUBSTITUTE($AT84,CHAR(160),""))="Devis 3", IFERROR(VALUE(TRIM(SUBSTITUTE(AR84,CHAR(160),""))),0)),0) * IFERROR(VALUE(TRIM(SUBSTITUTE($AB84,CHAR(160),""))),0)) = 0,IF(AY84&lt;&gt;"",0,""),(IFERROR(_xlfn.IFS(TRIM(SUBSTITUTE($AT84,CHAR(160),""))="Devis 1", IFERROR(VALUE(TRIM(SUBSTITUTE(AL84,CHAR(160),""))),0),TRIM(SUBSTITUTE($AT84,CHAR(160),""))="Devis 2", IFERROR(VALUE(TRIM(SUBSTITUTE(AO84,CHAR(160),""))),0),TRIM(SUBSTITUTE($AT84,CHAR(160),""))="Devis 3", IFERROR(VALUE(TRIM(SUBSTITUTE(AR84,CHAR(160),""))),0)),0) * IFERROR(VALUE(TRIM(SUBSTITUTE($AB84,CHAR(160),""))),0))))</f>
        <v/>
      </c>
      <c r="BA84" s="74" t="str" cm="1">
        <f t="array" ref="BA84">IF($AB84="","",IF(IFERROR(_xlfn.IFS($AT84="Devis 1",IFERROR(VALUE(TRIM(SUBSTITUTE(AM84,CHAR(160),""))),0),$AT84="Devis 2",IFERROR(VALUE(TRIM(SUBSTITUTE(AP84,CHAR(160),""))),0),$AT84="Devis 3",IFERROR(VALUE(TRIM(SUBSTITUTE(AS84,CHAR(160),""))),0)),0)*IFERROR(VALUE(TRIM(SUBSTITUTE($AB84,CHAR(160),""))),0)=0,"",IFERROR(_xlfn.IFS($AT84="Devis 1",IFERROR(VALUE(TRIM(SUBSTITUTE(AM84,CHAR(160),""))),0),$AT84="Devis 2",IFERROR(VALUE(TRIM(SUBSTITUTE(AP84,CHAR(160),""))),0),$AT84="Devis 3",IFERROR(VALUE(TRIM(SUBSTITUTE(AS84,CHAR(160),""))),0)),0)*IFERROR(VALUE(TRIM(SUBSTITUTE($AB84,CHAR(160),""))),0)))</f>
        <v/>
      </c>
      <c r="BB84" s="45"/>
      <c r="BC84" s="13" t="str" cm="1">
        <f t="array" ref="BC84">IF(OR(BA84="",AX84="",AY84="",AV84="",AZ84="",AW84=""),"",_xlfn.IFS((IFERROR(VALUE(TRIM(SUBSTITUTE(BA84,CHAR(160),""))),0))&gt;(IFERROR(VALUE(TRIM(SUBSTITUTE(AX84,CHAR(160),""))),0)),"KO : Le montant retenu TTC est supérieur au montant raisonnable TTC. Merci de revoir la ligne de dépense ou plafonner son montant.",(IFERROR(VALUE(TRIM(SUBSTITUTE(AY84,CHAR(160),""))),0))&gt;(IFERROR(VALUE(TRIM(SUBSTITUTE(AV84,CHAR(160),""))),0)),"Attention : Le montant retenu HT est supérieur au montant HT raisonnable. Merci de revoir la ligne de dépense, plafonner son montant, ou justifier la reventillation HT / TVA.",(IFERROR(VALUE(TRIM(SUBSTITUTE(AZ84,CHAR(160),""))),0))&gt;(IFERROR(VALUE(TRIM(SUBSTITUTE(AW84,CHAR(160),""))),0)),"Attention : Le montant TVA retenu est supérieur au montant TVA raisonnable. Merci de revoir la ligne de dépense, plafonner son montant, ou justifier la reventillation HT / TVA.",(IFERROR(VALUE(TRIM(SUBSTITUTE(BA84,CHAR(160),""))),0))=0,"",(IFERROR(VALUE(TRIM(SUBSTITUTE(AX84,CHAR(160),""))),0))=(IFERROR(VALUE(TRIM(SUBSTITUTE(BA84,CHAR(160),""))),0)),"OK",(IFERROR(VALUE(TRIM(SUBSTITUTE(AX84,CHAR(160),""))),0))&gt;(IFERROR(VALUE(TRIM(SUBSTITUTE(BA84,CHAR(160),""))),0))," OK : Montant instruit inférieur au montant raisonnable.",TRUE,""))</f>
        <v/>
      </c>
      <c r="BD84" s="187" t="str" cm="1">
        <f t="array" ref="BD84">IF(OR(BA84="",Y84="",AY84="",W84="",AZ84="",X84=""),"",_xlfn.IFS((IFERROR(VALUE(TRIM(SUBSTITUTE(BA84,CHAR(160),""))),0))&gt;(IFERROR(VALUE(TRIM(SUBSTITUTE(Y84,CHAR(160),""))),0)),"KO : Le montant retenu TTC est supérieur au montant présenté TTC. Merci de revoir la ligne de dépense ou plafonner son montant.",(IFERROR(VALUE(TRIM(SUBSTITUTE(AY84,CHAR(160),""))),0))&gt;(IFERROR(VALUE(TRIM(SUBSTITUTE(W84,CHAR(160),""))),0)),"Attention : Le montant retenu HT est supérieur au montant HT présenté. Merci de revoir la ligne de dépense,plafonner son montant,ou justifier la reventillation HT/TVA.",(IFERROR(VALUE(TRIM(SUBSTITUTE(AZ84,CHAR(160),""))),0))&gt;(IFERROR(VALUE(TRIM(SUBSTITUTE(X84,CHAR(160),""))),0)),"Attention : Le montant TVA retenu est supérieur au montant TVA présenté. Merci de revoir la ligne de dépense,plafonner son montant,ou justifier la reventillation HT/TVA.",(IFERROR(VALUE(TRIM(SUBSTITUTE(Y84,CHAR(160),""))),0))=0,"",(IFERROR(VALUE(TRIM(SUBSTITUTE(BA84,CHAR(160),""))),0))=(IFERROR(VALUE(TRIM(SUBSTITUTE(Y84,CHAR(160),""))),0)),"OK",
OR((IFERROR(VALUE(TRIM(SUBSTITUTE(BA84,CHAR(160),""))),0))=0,(IFERROR(VALUE(TRIM(SUBSTITUTE(AY84,CHAR(160),""))),0))=0),"Attention : montant présenté entièrement écarté",(IFERROR(VALUE(TRIM(SUBSTITUTE(BA84,CHAR(160),""))),0))&lt;(IFERROR(VALUE(TRIM(SUBSTITUTE(Y84,CHAR(160),""))),0)),"Attention : montant présenté partiellement écarté",TRUE,""))</f>
        <v/>
      </c>
      <c r="BE84" s="44" t="str">
        <f t="shared" si="87"/>
        <v/>
      </c>
      <c r="BF84" s="44" t="str">
        <f t="shared" si="88"/>
        <v/>
      </c>
      <c r="BG84" s="21" t="str">
        <f t="shared" si="89"/>
        <v/>
      </c>
    </row>
    <row r="85" spans="1:59" ht="15" customHeight="1">
      <c r="A85" s="70">
        <v>76</v>
      </c>
      <c r="B85" s="784"/>
      <c r="C85" s="7"/>
      <c r="D85" s="11"/>
      <c r="E85" s="11"/>
      <c r="F85" s="7"/>
      <c r="G85" s="7"/>
      <c r="H85" s="7"/>
      <c r="I85" s="7"/>
      <c r="J85" s="17"/>
      <c r="K85" s="7"/>
      <c r="L85" s="132"/>
      <c r="M85" s="138"/>
      <c r="N85" s="8"/>
      <c r="O85" s="35" t="str">
        <f t="shared" si="61"/>
        <v/>
      </c>
      <c r="P85" s="9"/>
      <c r="Q85" s="8"/>
      <c r="R85" s="35" t="str">
        <f t="shared" si="62"/>
        <v/>
      </c>
      <c r="S85" s="10"/>
      <c r="T85" s="8"/>
      <c r="U85" s="139" t="str">
        <f t="shared" si="63"/>
        <v/>
      </c>
      <c r="V85" s="147"/>
      <c r="W85" s="770" t="str" cm="1">
        <f t="array" ref="W85">IF((_xlfn.IFS(TRIM(SUBSTITUTE(V85,CHAR(160),""))="Devis 1",IFERROR(VALUE(TRIM(SUBSTITUTE(M85,CHAR(160),""))),0),TRIM(SUBSTITUTE(V85,CHAR(160),""))="Devis 2",IFERROR(VALUE(TRIM(SUBSTITUTE(P85,CHAR(160),""))),0),TRIM(SUBSTITUTE(V85,CHAR(160),""))="Devis 3",IFERROR(VALUE(TRIM(SUBSTITUTE(S85,CHAR(160),""))),0),TRUE,0)*IFERROR(VALUE(TRIM(SUBSTITUTE(D85,CHAR(160),""))),0))=0,"",_xlfn.IFS(TRIM(SUBSTITUTE(V85,CHAR(160),""))="Devis 1",IFERROR(VALUE(TRIM(SUBSTITUTE(M85,CHAR(160),""))),0),TRIM(SUBSTITUTE(V85,CHAR(160),""))="Devis 2",IFERROR(VALUE(TRIM(SUBSTITUTE(P85,CHAR(160),""))),0),TRIM(SUBSTITUTE(V85,CHAR(160),""))="Devis 3",IFERROR(VALUE(TRIM(SUBSTITUTE(S85,CHAR(160),""))),0),TRUE,0)*IFERROR(VALUE(TRIM(SUBSTITUTE(D85,CHAR(160),""))),0))</f>
        <v/>
      </c>
      <c r="X85" s="73" t="str" cm="1">
        <f t="array" ref="X85">IF(_xlfn.IFS(TRIM(SUBSTITUTE(V85,CHAR(160),""))="Devis 1",IFERROR(VALUE(TRIM(SUBSTITUTE(N85,CHAR(160),""))),0),TRIM(SUBSTITUTE(V85,CHAR(160),""))="Devis 2",IFERROR(VALUE(TRIM(SUBSTITUTE(Q85,CHAR(160),""))),0),TRIM(SUBSTITUTE(V85,CHAR(160),""))="Devis 3",IFERROR(VALUE(TRIM(SUBSTITUTE(T85,CHAR(160),""))),0),TRUE,0)*IFERROR(VALUE(TRIM(SUBSTITUTE(D85,CHAR(160),""))),0)=0,IF(W85&lt;&gt;"",0,""),_xlfn.IFS(TRIM(SUBSTITUTE(V85,CHAR(160),""))="Devis 1",IFERROR(VALUE(TRIM(SUBSTITUTE(N85,CHAR(160),""))),0),TRIM(SUBSTITUTE(V85,CHAR(160),""))="Devis 2",IFERROR(VALUE(TRIM(SUBSTITUTE(Q85,CHAR(160),""))),0),TRIM(SUBSTITUTE(V85,CHAR(160),""))="Devis 3",IFERROR(VALUE(TRIM(SUBSTITUTE(T85,CHAR(160),""))),0),TRUE,0)*IFERROR(VALUE(TRIM(SUBSTITUTE(D85,CHAR(160),""))),0))</f>
        <v/>
      </c>
      <c r="Y85" s="149" t="str">
        <f t="shared" si="64"/>
        <v/>
      </c>
      <c r="Z85" s="150"/>
      <c r="AA85" s="36" t="str">
        <f t="shared" si="65"/>
        <v/>
      </c>
      <c r="AB85" s="37" t="str">
        <f t="shared" si="66"/>
        <v/>
      </c>
      <c r="AC85" s="37" t="str">
        <f t="shared" si="90"/>
        <v/>
      </c>
      <c r="AD85" s="14" t="str">
        <f t="shared" si="67"/>
        <v/>
      </c>
      <c r="AE85" s="14" t="str">
        <f t="shared" si="68"/>
        <v/>
      </c>
      <c r="AF85" s="14" t="str">
        <f t="shared" si="69"/>
        <v/>
      </c>
      <c r="AG85" s="14" t="str">
        <f t="shared" si="70"/>
        <v/>
      </c>
      <c r="AH85" s="38" t="str">
        <f t="shared" si="71"/>
        <v/>
      </c>
      <c r="AI85" s="14" t="str">
        <f t="shared" si="72"/>
        <v/>
      </c>
      <c r="AJ85" s="39" t="str">
        <f t="shared" si="73"/>
        <v/>
      </c>
      <c r="AK85" s="40" t="str">
        <f t="shared" si="74"/>
        <v/>
      </c>
      <c r="AL85" s="20" t="str">
        <f t="shared" si="75"/>
        <v/>
      </c>
      <c r="AM85" s="35" t="str">
        <f t="shared" si="76"/>
        <v/>
      </c>
      <c r="AN85" s="41" t="str">
        <f t="shared" si="77"/>
        <v/>
      </c>
      <c r="AO85" s="20" t="str">
        <f t="shared" si="78"/>
        <v/>
      </c>
      <c r="AP85" s="35" t="str">
        <f t="shared" si="79"/>
        <v/>
      </c>
      <c r="AQ85" s="42" t="str">
        <f t="shared" si="80"/>
        <v/>
      </c>
      <c r="AR85" s="20" t="str">
        <f t="shared" si="81"/>
        <v/>
      </c>
      <c r="AS85" s="43" t="str">
        <f t="shared" si="82"/>
        <v/>
      </c>
      <c r="AT85" s="36" t="str">
        <f t="shared" si="83"/>
        <v/>
      </c>
      <c r="AU85" s="184"/>
      <c r="AV85" s="44" t="str">
        <f t="shared" si="84"/>
        <v/>
      </c>
      <c r="AW85" s="44" t="str">
        <f t="shared" si="85"/>
        <v/>
      </c>
      <c r="AX85" s="44" t="str">
        <f t="shared" si="86"/>
        <v/>
      </c>
      <c r="AY85" s="74" t="str" cm="1">
        <f t="array" ref="AY85">IF($AB85="","",IF((IFERROR(_xlfn.IFS($AT85="Devis 1",(IFERROR(VALUE(TRIM(SUBSTITUTE(AK85,CHAR(160),""))),0)),$AT85="Devis 2",(IFERROR(VALUE(TRIM(SUBSTITUTE(AN85,CHAR(160),""))),0)),$AT85="Devis 3",(IFERROR(VALUE(TRIM(SUBSTITUTE(AQ85,CHAR(160),""))),0))),0))*(IFERROR(VALUE(TRIM(SUBSTITUTE($AB85,CHAR(160),""))),0))=0,"",(IFERROR(_xlfn.IFS($AT85="Devis 1",(IFERROR(VALUE(TRIM(SUBSTITUTE(AK85,CHAR(160),""))),0)),$AT85="Devis 2",(IFERROR(VALUE(TRIM(SUBSTITUTE(AN85,CHAR(160),""))),0)),$AT85="Devis 3",(IFERROR(VALUE(TRIM(SUBSTITUTE(AQ85,CHAR(160),""))),0))),0))*(IFERROR(VALUE(TRIM(SUBSTITUTE($AB85,CHAR(160),""))),0))))</f>
        <v/>
      </c>
      <c r="AZ85" s="74" t="str" cm="1">
        <f t="array" ref="AZ85">IF($AB85="","",IF((IFERROR(_xlfn.IFS(TRIM(SUBSTITUTE($AT85,CHAR(160),""))="Devis 1", IFERROR(VALUE(TRIM(SUBSTITUTE(AL85,CHAR(160),""))),0),TRIM(SUBSTITUTE($AT85,CHAR(160),""))="Devis 2", IFERROR(VALUE(TRIM(SUBSTITUTE(AO85,CHAR(160),""))),0),TRIM(SUBSTITUTE($AT85,CHAR(160),""))="Devis 3", IFERROR(VALUE(TRIM(SUBSTITUTE(AR85,CHAR(160),""))),0)),0) * IFERROR(VALUE(TRIM(SUBSTITUTE($AB85,CHAR(160),""))),0)) = 0,IF(AY85&lt;&gt;"",0,""),(IFERROR(_xlfn.IFS(TRIM(SUBSTITUTE($AT85,CHAR(160),""))="Devis 1", IFERROR(VALUE(TRIM(SUBSTITUTE(AL85,CHAR(160),""))),0),TRIM(SUBSTITUTE($AT85,CHAR(160),""))="Devis 2", IFERROR(VALUE(TRIM(SUBSTITUTE(AO85,CHAR(160),""))),0),TRIM(SUBSTITUTE($AT85,CHAR(160),""))="Devis 3", IFERROR(VALUE(TRIM(SUBSTITUTE(AR85,CHAR(160),""))),0)),0) * IFERROR(VALUE(TRIM(SUBSTITUTE($AB85,CHAR(160),""))),0))))</f>
        <v/>
      </c>
      <c r="BA85" s="74" t="str" cm="1">
        <f t="array" ref="BA85">IF($AB85="","",IF(IFERROR(_xlfn.IFS($AT85="Devis 1",IFERROR(VALUE(TRIM(SUBSTITUTE(AM85,CHAR(160),""))),0),$AT85="Devis 2",IFERROR(VALUE(TRIM(SUBSTITUTE(AP85,CHAR(160),""))),0),$AT85="Devis 3",IFERROR(VALUE(TRIM(SUBSTITUTE(AS85,CHAR(160),""))),0)),0)*IFERROR(VALUE(TRIM(SUBSTITUTE($AB85,CHAR(160),""))),0)=0,"",IFERROR(_xlfn.IFS($AT85="Devis 1",IFERROR(VALUE(TRIM(SUBSTITUTE(AM85,CHAR(160),""))),0),$AT85="Devis 2",IFERROR(VALUE(TRIM(SUBSTITUTE(AP85,CHAR(160),""))),0),$AT85="Devis 3",IFERROR(VALUE(TRIM(SUBSTITUTE(AS85,CHAR(160),""))),0)),0)*IFERROR(VALUE(TRIM(SUBSTITUTE($AB85,CHAR(160),""))),0)))</f>
        <v/>
      </c>
      <c r="BB85" s="45"/>
      <c r="BC85" s="13" t="str" cm="1">
        <f t="array" ref="BC85">IF(OR(BA85="",AX85="",AY85="",AV85="",AZ85="",AW85=""),"",_xlfn.IFS((IFERROR(VALUE(TRIM(SUBSTITUTE(BA85,CHAR(160),""))),0))&gt;(IFERROR(VALUE(TRIM(SUBSTITUTE(AX85,CHAR(160),""))),0)),"KO : Le montant retenu TTC est supérieur au montant raisonnable TTC. Merci de revoir la ligne de dépense ou plafonner son montant.",(IFERROR(VALUE(TRIM(SUBSTITUTE(AY85,CHAR(160),""))),0))&gt;(IFERROR(VALUE(TRIM(SUBSTITUTE(AV85,CHAR(160),""))),0)),"Attention : Le montant retenu HT est supérieur au montant HT raisonnable. Merci de revoir la ligne de dépense, plafonner son montant, ou justifier la reventillation HT / TVA.",(IFERROR(VALUE(TRIM(SUBSTITUTE(AZ85,CHAR(160),""))),0))&gt;(IFERROR(VALUE(TRIM(SUBSTITUTE(AW85,CHAR(160),""))),0)),"Attention : Le montant TVA retenu est supérieur au montant TVA raisonnable. Merci de revoir la ligne de dépense, plafonner son montant, ou justifier la reventillation HT / TVA.",(IFERROR(VALUE(TRIM(SUBSTITUTE(BA85,CHAR(160),""))),0))=0,"",(IFERROR(VALUE(TRIM(SUBSTITUTE(AX85,CHAR(160),""))),0))=(IFERROR(VALUE(TRIM(SUBSTITUTE(BA85,CHAR(160),""))),0)),"OK",(IFERROR(VALUE(TRIM(SUBSTITUTE(AX85,CHAR(160),""))),0))&gt;(IFERROR(VALUE(TRIM(SUBSTITUTE(BA85,CHAR(160),""))),0))," OK : Montant instruit inférieur au montant raisonnable.",TRUE,""))</f>
        <v/>
      </c>
      <c r="BD85" s="187" t="str" cm="1">
        <f t="array" ref="BD85">IF(OR(BA85="",Y85="",AY85="",W85="",AZ85="",X85=""),"",_xlfn.IFS((IFERROR(VALUE(TRIM(SUBSTITUTE(BA85,CHAR(160),""))),0))&gt;(IFERROR(VALUE(TRIM(SUBSTITUTE(Y85,CHAR(160),""))),0)),"KO : Le montant retenu TTC est supérieur au montant présenté TTC. Merci de revoir la ligne de dépense ou plafonner son montant.",(IFERROR(VALUE(TRIM(SUBSTITUTE(AY85,CHAR(160),""))),0))&gt;(IFERROR(VALUE(TRIM(SUBSTITUTE(W85,CHAR(160),""))),0)),"Attention : Le montant retenu HT est supérieur au montant HT présenté. Merci de revoir la ligne de dépense,plafonner son montant,ou justifier la reventillation HT/TVA.",(IFERROR(VALUE(TRIM(SUBSTITUTE(AZ85,CHAR(160),""))),0))&gt;(IFERROR(VALUE(TRIM(SUBSTITUTE(X85,CHAR(160),""))),0)),"Attention : Le montant TVA retenu est supérieur au montant TVA présenté. Merci de revoir la ligne de dépense,plafonner son montant,ou justifier la reventillation HT/TVA.",(IFERROR(VALUE(TRIM(SUBSTITUTE(Y85,CHAR(160),""))),0))=0,"",(IFERROR(VALUE(TRIM(SUBSTITUTE(BA85,CHAR(160),""))),0))=(IFERROR(VALUE(TRIM(SUBSTITUTE(Y85,CHAR(160),""))),0)),"OK",
OR((IFERROR(VALUE(TRIM(SUBSTITUTE(BA85,CHAR(160),""))),0))=0,(IFERROR(VALUE(TRIM(SUBSTITUTE(AY85,CHAR(160),""))),0))=0),"Attention : montant présenté entièrement écarté",(IFERROR(VALUE(TRIM(SUBSTITUTE(BA85,CHAR(160),""))),0))&lt;(IFERROR(VALUE(TRIM(SUBSTITUTE(Y85,CHAR(160),""))),0)),"Attention : montant présenté partiellement écarté",TRUE,""))</f>
        <v/>
      </c>
      <c r="BE85" s="44" t="str">
        <f t="shared" si="87"/>
        <v/>
      </c>
      <c r="BF85" s="44" t="str">
        <f t="shared" si="88"/>
        <v/>
      </c>
      <c r="BG85" s="21" t="str">
        <f t="shared" si="89"/>
        <v/>
      </c>
    </row>
    <row r="86" spans="1:59" ht="15" customHeight="1">
      <c r="A86" s="70">
        <v>77</v>
      </c>
      <c r="B86" s="784"/>
      <c r="C86" s="7"/>
      <c r="D86" s="11"/>
      <c r="E86" s="11"/>
      <c r="F86" s="7"/>
      <c r="G86" s="7"/>
      <c r="H86" s="7"/>
      <c r="I86" s="7"/>
      <c r="J86" s="17"/>
      <c r="K86" s="7"/>
      <c r="L86" s="132"/>
      <c r="M86" s="138"/>
      <c r="N86" s="8"/>
      <c r="O86" s="35" t="str">
        <f t="shared" si="61"/>
        <v/>
      </c>
      <c r="P86" s="9"/>
      <c r="Q86" s="8"/>
      <c r="R86" s="35" t="str">
        <f t="shared" si="62"/>
        <v/>
      </c>
      <c r="S86" s="10"/>
      <c r="T86" s="8"/>
      <c r="U86" s="139" t="str">
        <f t="shared" si="63"/>
        <v/>
      </c>
      <c r="V86" s="147"/>
      <c r="W86" s="770" t="str" cm="1">
        <f t="array" ref="W86">IF((_xlfn.IFS(TRIM(SUBSTITUTE(V86,CHAR(160),""))="Devis 1",IFERROR(VALUE(TRIM(SUBSTITUTE(M86,CHAR(160),""))),0),TRIM(SUBSTITUTE(V86,CHAR(160),""))="Devis 2",IFERROR(VALUE(TRIM(SUBSTITUTE(P86,CHAR(160),""))),0),TRIM(SUBSTITUTE(V86,CHAR(160),""))="Devis 3",IFERROR(VALUE(TRIM(SUBSTITUTE(S86,CHAR(160),""))),0),TRUE,0)*IFERROR(VALUE(TRIM(SUBSTITUTE(D86,CHAR(160),""))),0))=0,"",_xlfn.IFS(TRIM(SUBSTITUTE(V86,CHAR(160),""))="Devis 1",IFERROR(VALUE(TRIM(SUBSTITUTE(M86,CHAR(160),""))),0),TRIM(SUBSTITUTE(V86,CHAR(160),""))="Devis 2",IFERROR(VALUE(TRIM(SUBSTITUTE(P86,CHAR(160),""))),0),TRIM(SUBSTITUTE(V86,CHAR(160),""))="Devis 3",IFERROR(VALUE(TRIM(SUBSTITUTE(S86,CHAR(160),""))),0),TRUE,0)*IFERROR(VALUE(TRIM(SUBSTITUTE(D86,CHAR(160),""))),0))</f>
        <v/>
      </c>
      <c r="X86" s="73" t="str" cm="1">
        <f t="array" ref="X86">IF(_xlfn.IFS(TRIM(SUBSTITUTE(V86,CHAR(160),""))="Devis 1",IFERROR(VALUE(TRIM(SUBSTITUTE(N86,CHAR(160),""))),0),TRIM(SUBSTITUTE(V86,CHAR(160),""))="Devis 2",IFERROR(VALUE(TRIM(SUBSTITUTE(Q86,CHAR(160),""))),0),TRIM(SUBSTITUTE(V86,CHAR(160),""))="Devis 3",IFERROR(VALUE(TRIM(SUBSTITUTE(T86,CHAR(160),""))),0),TRUE,0)*IFERROR(VALUE(TRIM(SUBSTITUTE(D86,CHAR(160),""))),0)=0,IF(W86&lt;&gt;"",0,""),_xlfn.IFS(TRIM(SUBSTITUTE(V86,CHAR(160),""))="Devis 1",IFERROR(VALUE(TRIM(SUBSTITUTE(N86,CHAR(160),""))),0),TRIM(SUBSTITUTE(V86,CHAR(160),""))="Devis 2",IFERROR(VALUE(TRIM(SUBSTITUTE(Q86,CHAR(160),""))),0),TRIM(SUBSTITUTE(V86,CHAR(160),""))="Devis 3",IFERROR(VALUE(TRIM(SUBSTITUTE(T86,CHAR(160),""))),0),TRUE,0)*IFERROR(VALUE(TRIM(SUBSTITUTE(D86,CHAR(160),""))),0))</f>
        <v/>
      </c>
      <c r="Y86" s="149" t="str">
        <f t="shared" si="64"/>
        <v/>
      </c>
      <c r="Z86" s="150"/>
      <c r="AA86" s="36" t="str">
        <f t="shared" si="65"/>
        <v/>
      </c>
      <c r="AB86" s="37" t="str">
        <f t="shared" si="66"/>
        <v/>
      </c>
      <c r="AC86" s="37" t="str">
        <f t="shared" si="90"/>
        <v/>
      </c>
      <c r="AD86" s="14" t="str">
        <f t="shared" si="67"/>
        <v/>
      </c>
      <c r="AE86" s="14" t="str">
        <f t="shared" si="68"/>
        <v/>
      </c>
      <c r="AF86" s="14" t="str">
        <f t="shared" si="69"/>
        <v/>
      </c>
      <c r="AG86" s="14" t="str">
        <f t="shared" si="70"/>
        <v/>
      </c>
      <c r="AH86" s="38" t="str">
        <f t="shared" si="71"/>
        <v/>
      </c>
      <c r="AI86" s="14" t="str">
        <f t="shared" si="72"/>
        <v/>
      </c>
      <c r="AJ86" s="39" t="str">
        <f t="shared" si="73"/>
        <v/>
      </c>
      <c r="AK86" s="40" t="str">
        <f t="shared" si="74"/>
        <v/>
      </c>
      <c r="AL86" s="20" t="str">
        <f t="shared" si="75"/>
        <v/>
      </c>
      <c r="AM86" s="35" t="str">
        <f t="shared" si="76"/>
        <v/>
      </c>
      <c r="AN86" s="41" t="str">
        <f t="shared" si="77"/>
        <v/>
      </c>
      <c r="AO86" s="20" t="str">
        <f t="shared" si="78"/>
        <v/>
      </c>
      <c r="AP86" s="35" t="str">
        <f t="shared" si="79"/>
        <v/>
      </c>
      <c r="AQ86" s="42" t="str">
        <f t="shared" si="80"/>
        <v/>
      </c>
      <c r="AR86" s="20" t="str">
        <f t="shared" si="81"/>
        <v/>
      </c>
      <c r="AS86" s="43" t="str">
        <f t="shared" si="82"/>
        <v/>
      </c>
      <c r="AT86" s="36" t="str">
        <f t="shared" si="83"/>
        <v/>
      </c>
      <c r="AU86" s="184"/>
      <c r="AV86" s="44" t="str">
        <f t="shared" si="84"/>
        <v/>
      </c>
      <c r="AW86" s="44" t="str">
        <f t="shared" si="85"/>
        <v/>
      </c>
      <c r="AX86" s="44" t="str">
        <f t="shared" si="86"/>
        <v/>
      </c>
      <c r="AY86" s="74" t="str" cm="1">
        <f t="array" ref="AY86">IF($AB86="","",IF((IFERROR(_xlfn.IFS($AT86="Devis 1",(IFERROR(VALUE(TRIM(SUBSTITUTE(AK86,CHAR(160),""))),0)),$AT86="Devis 2",(IFERROR(VALUE(TRIM(SUBSTITUTE(AN86,CHAR(160),""))),0)),$AT86="Devis 3",(IFERROR(VALUE(TRIM(SUBSTITUTE(AQ86,CHAR(160),""))),0))),0))*(IFERROR(VALUE(TRIM(SUBSTITUTE($AB86,CHAR(160),""))),0))=0,"",(IFERROR(_xlfn.IFS($AT86="Devis 1",(IFERROR(VALUE(TRIM(SUBSTITUTE(AK86,CHAR(160),""))),0)),$AT86="Devis 2",(IFERROR(VALUE(TRIM(SUBSTITUTE(AN86,CHAR(160),""))),0)),$AT86="Devis 3",(IFERROR(VALUE(TRIM(SUBSTITUTE(AQ86,CHAR(160),""))),0))),0))*(IFERROR(VALUE(TRIM(SUBSTITUTE($AB86,CHAR(160),""))),0))))</f>
        <v/>
      </c>
      <c r="AZ86" s="74" t="str" cm="1">
        <f t="array" ref="AZ86">IF($AB86="","",IF((IFERROR(_xlfn.IFS(TRIM(SUBSTITUTE($AT86,CHAR(160),""))="Devis 1", IFERROR(VALUE(TRIM(SUBSTITUTE(AL86,CHAR(160),""))),0),TRIM(SUBSTITUTE($AT86,CHAR(160),""))="Devis 2", IFERROR(VALUE(TRIM(SUBSTITUTE(AO86,CHAR(160),""))),0),TRIM(SUBSTITUTE($AT86,CHAR(160),""))="Devis 3", IFERROR(VALUE(TRIM(SUBSTITUTE(AR86,CHAR(160),""))),0)),0) * IFERROR(VALUE(TRIM(SUBSTITUTE($AB86,CHAR(160),""))),0)) = 0,IF(AY86&lt;&gt;"",0,""),(IFERROR(_xlfn.IFS(TRIM(SUBSTITUTE($AT86,CHAR(160),""))="Devis 1", IFERROR(VALUE(TRIM(SUBSTITUTE(AL86,CHAR(160),""))),0),TRIM(SUBSTITUTE($AT86,CHAR(160),""))="Devis 2", IFERROR(VALUE(TRIM(SUBSTITUTE(AO86,CHAR(160),""))),0),TRIM(SUBSTITUTE($AT86,CHAR(160),""))="Devis 3", IFERROR(VALUE(TRIM(SUBSTITUTE(AR86,CHAR(160),""))),0)),0) * IFERROR(VALUE(TRIM(SUBSTITUTE($AB86,CHAR(160),""))),0))))</f>
        <v/>
      </c>
      <c r="BA86" s="74" t="str" cm="1">
        <f t="array" ref="BA86">IF($AB86="","",IF(IFERROR(_xlfn.IFS($AT86="Devis 1",IFERROR(VALUE(TRIM(SUBSTITUTE(AM86,CHAR(160),""))),0),$AT86="Devis 2",IFERROR(VALUE(TRIM(SUBSTITUTE(AP86,CHAR(160),""))),0),$AT86="Devis 3",IFERROR(VALUE(TRIM(SUBSTITUTE(AS86,CHAR(160),""))),0)),0)*IFERROR(VALUE(TRIM(SUBSTITUTE($AB86,CHAR(160),""))),0)=0,"",IFERROR(_xlfn.IFS($AT86="Devis 1",IFERROR(VALUE(TRIM(SUBSTITUTE(AM86,CHAR(160),""))),0),$AT86="Devis 2",IFERROR(VALUE(TRIM(SUBSTITUTE(AP86,CHAR(160),""))),0),$AT86="Devis 3",IFERROR(VALUE(TRIM(SUBSTITUTE(AS86,CHAR(160),""))),0)),0)*IFERROR(VALUE(TRIM(SUBSTITUTE($AB86,CHAR(160),""))),0)))</f>
        <v/>
      </c>
      <c r="BB86" s="45"/>
      <c r="BC86" s="13" t="str" cm="1">
        <f t="array" ref="BC86">IF(OR(BA86="",AX86="",AY86="",AV86="",AZ86="",AW86=""),"",_xlfn.IFS((IFERROR(VALUE(TRIM(SUBSTITUTE(BA86,CHAR(160),""))),0))&gt;(IFERROR(VALUE(TRIM(SUBSTITUTE(AX86,CHAR(160),""))),0)),"KO : Le montant retenu TTC est supérieur au montant raisonnable TTC. Merci de revoir la ligne de dépense ou plafonner son montant.",(IFERROR(VALUE(TRIM(SUBSTITUTE(AY86,CHAR(160),""))),0))&gt;(IFERROR(VALUE(TRIM(SUBSTITUTE(AV86,CHAR(160),""))),0)),"Attention : Le montant retenu HT est supérieur au montant HT raisonnable. Merci de revoir la ligne de dépense, plafonner son montant, ou justifier la reventillation HT / TVA.",(IFERROR(VALUE(TRIM(SUBSTITUTE(AZ86,CHAR(160),""))),0))&gt;(IFERROR(VALUE(TRIM(SUBSTITUTE(AW86,CHAR(160),""))),0)),"Attention : Le montant TVA retenu est supérieur au montant TVA raisonnable. Merci de revoir la ligne de dépense, plafonner son montant, ou justifier la reventillation HT / TVA.",(IFERROR(VALUE(TRIM(SUBSTITUTE(BA86,CHAR(160),""))),0))=0,"",(IFERROR(VALUE(TRIM(SUBSTITUTE(AX86,CHAR(160),""))),0))=(IFERROR(VALUE(TRIM(SUBSTITUTE(BA86,CHAR(160),""))),0)),"OK",(IFERROR(VALUE(TRIM(SUBSTITUTE(AX86,CHAR(160),""))),0))&gt;(IFERROR(VALUE(TRIM(SUBSTITUTE(BA86,CHAR(160),""))),0))," OK : Montant instruit inférieur au montant raisonnable.",TRUE,""))</f>
        <v/>
      </c>
      <c r="BD86" s="187" t="str" cm="1">
        <f t="array" ref="BD86">IF(OR(BA86="",Y86="",AY86="",W86="",AZ86="",X86=""),"",_xlfn.IFS((IFERROR(VALUE(TRIM(SUBSTITUTE(BA86,CHAR(160),""))),0))&gt;(IFERROR(VALUE(TRIM(SUBSTITUTE(Y86,CHAR(160),""))),0)),"KO : Le montant retenu TTC est supérieur au montant présenté TTC. Merci de revoir la ligne de dépense ou plafonner son montant.",(IFERROR(VALUE(TRIM(SUBSTITUTE(AY86,CHAR(160),""))),0))&gt;(IFERROR(VALUE(TRIM(SUBSTITUTE(W86,CHAR(160),""))),0)),"Attention : Le montant retenu HT est supérieur au montant HT présenté. Merci de revoir la ligne de dépense,plafonner son montant,ou justifier la reventillation HT/TVA.",(IFERROR(VALUE(TRIM(SUBSTITUTE(AZ86,CHAR(160),""))),0))&gt;(IFERROR(VALUE(TRIM(SUBSTITUTE(X86,CHAR(160),""))),0)),"Attention : Le montant TVA retenu est supérieur au montant TVA présenté. Merci de revoir la ligne de dépense,plafonner son montant,ou justifier la reventillation HT/TVA.",(IFERROR(VALUE(TRIM(SUBSTITUTE(Y86,CHAR(160),""))),0))=0,"",(IFERROR(VALUE(TRIM(SUBSTITUTE(BA86,CHAR(160),""))),0))=(IFERROR(VALUE(TRIM(SUBSTITUTE(Y86,CHAR(160),""))),0)),"OK",
OR((IFERROR(VALUE(TRIM(SUBSTITUTE(BA86,CHAR(160),""))),0))=0,(IFERROR(VALUE(TRIM(SUBSTITUTE(AY86,CHAR(160),""))),0))=0),"Attention : montant présenté entièrement écarté",(IFERROR(VALUE(TRIM(SUBSTITUTE(BA86,CHAR(160),""))),0))&lt;(IFERROR(VALUE(TRIM(SUBSTITUTE(Y86,CHAR(160),""))),0)),"Attention : montant présenté partiellement écarté",TRUE,""))</f>
        <v/>
      </c>
      <c r="BE86" s="44" t="str">
        <f t="shared" si="87"/>
        <v/>
      </c>
      <c r="BF86" s="44" t="str">
        <f t="shared" si="88"/>
        <v/>
      </c>
      <c r="BG86" s="21" t="str">
        <f t="shared" si="89"/>
        <v/>
      </c>
    </row>
    <row r="87" spans="1:59" ht="15" customHeight="1">
      <c r="A87" s="70">
        <v>78</v>
      </c>
      <c r="B87" s="784"/>
      <c r="C87" s="7"/>
      <c r="D87" s="11"/>
      <c r="E87" s="11"/>
      <c r="F87" s="7"/>
      <c r="G87" s="7"/>
      <c r="H87" s="7"/>
      <c r="I87" s="7"/>
      <c r="J87" s="17"/>
      <c r="K87" s="7"/>
      <c r="L87" s="132"/>
      <c r="M87" s="138"/>
      <c r="N87" s="8"/>
      <c r="O87" s="35" t="str">
        <f t="shared" si="61"/>
        <v/>
      </c>
      <c r="P87" s="9"/>
      <c r="Q87" s="8"/>
      <c r="R87" s="35" t="str">
        <f t="shared" si="62"/>
        <v/>
      </c>
      <c r="S87" s="10"/>
      <c r="T87" s="8"/>
      <c r="U87" s="139" t="str">
        <f t="shared" si="63"/>
        <v/>
      </c>
      <c r="V87" s="147"/>
      <c r="W87" s="770" t="str" cm="1">
        <f t="array" ref="W87">IF((_xlfn.IFS(TRIM(SUBSTITUTE(V87,CHAR(160),""))="Devis 1",IFERROR(VALUE(TRIM(SUBSTITUTE(M87,CHAR(160),""))),0),TRIM(SUBSTITUTE(V87,CHAR(160),""))="Devis 2",IFERROR(VALUE(TRIM(SUBSTITUTE(P87,CHAR(160),""))),0),TRIM(SUBSTITUTE(V87,CHAR(160),""))="Devis 3",IFERROR(VALUE(TRIM(SUBSTITUTE(S87,CHAR(160),""))),0),TRUE,0)*IFERROR(VALUE(TRIM(SUBSTITUTE(D87,CHAR(160),""))),0))=0,"",_xlfn.IFS(TRIM(SUBSTITUTE(V87,CHAR(160),""))="Devis 1",IFERROR(VALUE(TRIM(SUBSTITUTE(M87,CHAR(160),""))),0),TRIM(SUBSTITUTE(V87,CHAR(160),""))="Devis 2",IFERROR(VALUE(TRIM(SUBSTITUTE(P87,CHAR(160),""))),0),TRIM(SUBSTITUTE(V87,CHAR(160),""))="Devis 3",IFERROR(VALUE(TRIM(SUBSTITUTE(S87,CHAR(160),""))),0),TRUE,0)*IFERROR(VALUE(TRIM(SUBSTITUTE(D87,CHAR(160),""))),0))</f>
        <v/>
      </c>
      <c r="X87" s="73" t="str" cm="1">
        <f t="array" ref="X87">IF(_xlfn.IFS(TRIM(SUBSTITUTE(V87,CHAR(160),""))="Devis 1",IFERROR(VALUE(TRIM(SUBSTITUTE(N87,CHAR(160),""))),0),TRIM(SUBSTITUTE(V87,CHAR(160),""))="Devis 2",IFERROR(VALUE(TRIM(SUBSTITUTE(Q87,CHAR(160),""))),0),TRIM(SUBSTITUTE(V87,CHAR(160),""))="Devis 3",IFERROR(VALUE(TRIM(SUBSTITUTE(T87,CHAR(160),""))),0),TRUE,0)*IFERROR(VALUE(TRIM(SUBSTITUTE(D87,CHAR(160),""))),0)=0,IF(W87&lt;&gt;"",0,""),_xlfn.IFS(TRIM(SUBSTITUTE(V87,CHAR(160),""))="Devis 1",IFERROR(VALUE(TRIM(SUBSTITUTE(N87,CHAR(160),""))),0),TRIM(SUBSTITUTE(V87,CHAR(160),""))="Devis 2",IFERROR(VALUE(TRIM(SUBSTITUTE(Q87,CHAR(160),""))),0),TRIM(SUBSTITUTE(V87,CHAR(160),""))="Devis 3",IFERROR(VALUE(TRIM(SUBSTITUTE(T87,CHAR(160),""))),0),TRUE,0)*IFERROR(VALUE(TRIM(SUBSTITUTE(D87,CHAR(160),""))),0))</f>
        <v/>
      </c>
      <c r="Y87" s="149" t="str">
        <f t="shared" si="64"/>
        <v/>
      </c>
      <c r="Z87" s="150"/>
      <c r="AA87" s="36" t="str">
        <f t="shared" si="65"/>
        <v/>
      </c>
      <c r="AB87" s="37" t="str">
        <f t="shared" si="66"/>
        <v/>
      </c>
      <c r="AC87" s="37" t="str">
        <f t="shared" si="90"/>
        <v/>
      </c>
      <c r="AD87" s="14" t="str">
        <f t="shared" si="67"/>
        <v/>
      </c>
      <c r="AE87" s="14" t="str">
        <f t="shared" si="68"/>
        <v/>
      </c>
      <c r="AF87" s="14" t="str">
        <f t="shared" si="69"/>
        <v/>
      </c>
      <c r="AG87" s="14" t="str">
        <f t="shared" si="70"/>
        <v/>
      </c>
      <c r="AH87" s="38" t="str">
        <f t="shared" si="71"/>
        <v/>
      </c>
      <c r="AI87" s="14" t="str">
        <f t="shared" si="72"/>
        <v/>
      </c>
      <c r="AJ87" s="39" t="str">
        <f t="shared" si="73"/>
        <v/>
      </c>
      <c r="AK87" s="40" t="str">
        <f t="shared" si="74"/>
        <v/>
      </c>
      <c r="AL87" s="20" t="str">
        <f t="shared" si="75"/>
        <v/>
      </c>
      <c r="AM87" s="35" t="str">
        <f t="shared" si="76"/>
        <v/>
      </c>
      <c r="AN87" s="41" t="str">
        <f t="shared" si="77"/>
        <v/>
      </c>
      <c r="AO87" s="20" t="str">
        <f t="shared" si="78"/>
        <v/>
      </c>
      <c r="AP87" s="35" t="str">
        <f t="shared" si="79"/>
        <v/>
      </c>
      <c r="AQ87" s="42" t="str">
        <f t="shared" si="80"/>
        <v/>
      </c>
      <c r="AR87" s="20" t="str">
        <f t="shared" si="81"/>
        <v/>
      </c>
      <c r="AS87" s="43" t="str">
        <f t="shared" si="82"/>
        <v/>
      </c>
      <c r="AT87" s="36" t="str">
        <f t="shared" si="83"/>
        <v/>
      </c>
      <c r="AU87" s="184"/>
      <c r="AV87" s="44" t="str">
        <f t="shared" si="84"/>
        <v/>
      </c>
      <c r="AW87" s="44" t="str">
        <f t="shared" si="85"/>
        <v/>
      </c>
      <c r="AX87" s="44" t="str">
        <f t="shared" si="86"/>
        <v/>
      </c>
      <c r="AY87" s="74" t="str" cm="1">
        <f t="array" ref="AY87">IF($AB87="","",IF((IFERROR(_xlfn.IFS($AT87="Devis 1",(IFERROR(VALUE(TRIM(SUBSTITUTE(AK87,CHAR(160),""))),0)),$AT87="Devis 2",(IFERROR(VALUE(TRIM(SUBSTITUTE(AN87,CHAR(160),""))),0)),$AT87="Devis 3",(IFERROR(VALUE(TRIM(SUBSTITUTE(AQ87,CHAR(160),""))),0))),0))*(IFERROR(VALUE(TRIM(SUBSTITUTE($AB87,CHAR(160),""))),0))=0,"",(IFERROR(_xlfn.IFS($AT87="Devis 1",(IFERROR(VALUE(TRIM(SUBSTITUTE(AK87,CHAR(160),""))),0)),$AT87="Devis 2",(IFERROR(VALUE(TRIM(SUBSTITUTE(AN87,CHAR(160),""))),0)),$AT87="Devis 3",(IFERROR(VALUE(TRIM(SUBSTITUTE(AQ87,CHAR(160),""))),0))),0))*(IFERROR(VALUE(TRIM(SUBSTITUTE($AB87,CHAR(160),""))),0))))</f>
        <v/>
      </c>
      <c r="AZ87" s="74" t="str" cm="1">
        <f t="array" ref="AZ87">IF($AB87="","",IF((IFERROR(_xlfn.IFS(TRIM(SUBSTITUTE($AT87,CHAR(160),""))="Devis 1", IFERROR(VALUE(TRIM(SUBSTITUTE(AL87,CHAR(160),""))),0),TRIM(SUBSTITUTE($AT87,CHAR(160),""))="Devis 2", IFERROR(VALUE(TRIM(SUBSTITUTE(AO87,CHAR(160),""))),0),TRIM(SUBSTITUTE($AT87,CHAR(160),""))="Devis 3", IFERROR(VALUE(TRIM(SUBSTITUTE(AR87,CHAR(160),""))),0)),0) * IFERROR(VALUE(TRIM(SUBSTITUTE($AB87,CHAR(160),""))),0)) = 0,IF(AY87&lt;&gt;"",0,""),(IFERROR(_xlfn.IFS(TRIM(SUBSTITUTE($AT87,CHAR(160),""))="Devis 1", IFERROR(VALUE(TRIM(SUBSTITUTE(AL87,CHAR(160),""))),0),TRIM(SUBSTITUTE($AT87,CHAR(160),""))="Devis 2", IFERROR(VALUE(TRIM(SUBSTITUTE(AO87,CHAR(160),""))),0),TRIM(SUBSTITUTE($AT87,CHAR(160),""))="Devis 3", IFERROR(VALUE(TRIM(SUBSTITUTE(AR87,CHAR(160),""))),0)),0) * IFERROR(VALUE(TRIM(SUBSTITUTE($AB87,CHAR(160),""))),0))))</f>
        <v/>
      </c>
      <c r="BA87" s="74" t="str" cm="1">
        <f t="array" ref="BA87">IF($AB87="","",IF(IFERROR(_xlfn.IFS($AT87="Devis 1",IFERROR(VALUE(TRIM(SUBSTITUTE(AM87,CHAR(160),""))),0),$AT87="Devis 2",IFERROR(VALUE(TRIM(SUBSTITUTE(AP87,CHAR(160),""))),0),$AT87="Devis 3",IFERROR(VALUE(TRIM(SUBSTITUTE(AS87,CHAR(160),""))),0)),0)*IFERROR(VALUE(TRIM(SUBSTITUTE($AB87,CHAR(160),""))),0)=0,"",IFERROR(_xlfn.IFS($AT87="Devis 1",IFERROR(VALUE(TRIM(SUBSTITUTE(AM87,CHAR(160),""))),0),$AT87="Devis 2",IFERROR(VALUE(TRIM(SUBSTITUTE(AP87,CHAR(160),""))),0),$AT87="Devis 3",IFERROR(VALUE(TRIM(SUBSTITUTE(AS87,CHAR(160),""))),0)),0)*IFERROR(VALUE(TRIM(SUBSTITUTE($AB87,CHAR(160),""))),0)))</f>
        <v/>
      </c>
      <c r="BB87" s="45"/>
      <c r="BC87" s="13" t="str" cm="1">
        <f t="array" ref="BC87">IF(OR(BA87="",AX87="",AY87="",AV87="",AZ87="",AW87=""),"",_xlfn.IFS((IFERROR(VALUE(TRIM(SUBSTITUTE(BA87,CHAR(160),""))),0))&gt;(IFERROR(VALUE(TRIM(SUBSTITUTE(AX87,CHAR(160),""))),0)),"KO : Le montant retenu TTC est supérieur au montant raisonnable TTC. Merci de revoir la ligne de dépense ou plafonner son montant.",(IFERROR(VALUE(TRIM(SUBSTITUTE(AY87,CHAR(160),""))),0))&gt;(IFERROR(VALUE(TRIM(SUBSTITUTE(AV87,CHAR(160),""))),0)),"Attention : Le montant retenu HT est supérieur au montant HT raisonnable. Merci de revoir la ligne de dépense, plafonner son montant, ou justifier la reventillation HT / TVA.",(IFERROR(VALUE(TRIM(SUBSTITUTE(AZ87,CHAR(160),""))),0))&gt;(IFERROR(VALUE(TRIM(SUBSTITUTE(AW87,CHAR(160),""))),0)),"Attention : Le montant TVA retenu est supérieur au montant TVA raisonnable. Merci de revoir la ligne de dépense, plafonner son montant, ou justifier la reventillation HT / TVA.",(IFERROR(VALUE(TRIM(SUBSTITUTE(BA87,CHAR(160),""))),0))=0,"",(IFERROR(VALUE(TRIM(SUBSTITUTE(AX87,CHAR(160),""))),0))=(IFERROR(VALUE(TRIM(SUBSTITUTE(BA87,CHAR(160),""))),0)),"OK",(IFERROR(VALUE(TRIM(SUBSTITUTE(AX87,CHAR(160),""))),0))&gt;(IFERROR(VALUE(TRIM(SUBSTITUTE(BA87,CHAR(160),""))),0))," OK : Montant instruit inférieur au montant raisonnable.",TRUE,""))</f>
        <v/>
      </c>
      <c r="BD87" s="187" t="str" cm="1">
        <f t="array" ref="BD87">IF(OR(BA87="",Y87="",AY87="",W87="",AZ87="",X87=""),"",_xlfn.IFS((IFERROR(VALUE(TRIM(SUBSTITUTE(BA87,CHAR(160),""))),0))&gt;(IFERROR(VALUE(TRIM(SUBSTITUTE(Y87,CHAR(160),""))),0)),"KO : Le montant retenu TTC est supérieur au montant présenté TTC. Merci de revoir la ligne de dépense ou plafonner son montant.",(IFERROR(VALUE(TRIM(SUBSTITUTE(AY87,CHAR(160),""))),0))&gt;(IFERROR(VALUE(TRIM(SUBSTITUTE(W87,CHAR(160),""))),0)),"Attention : Le montant retenu HT est supérieur au montant HT présenté. Merci de revoir la ligne de dépense,plafonner son montant,ou justifier la reventillation HT/TVA.",(IFERROR(VALUE(TRIM(SUBSTITUTE(AZ87,CHAR(160),""))),0))&gt;(IFERROR(VALUE(TRIM(SUBSTITUTE(X87,CHAR(160),""))),0)),"Attention : Le montant TVA retenu est supérieur au montant TVA présenté. Merci de revoir la ligne de dépense,plafonner son montant,ou justifier la reventillation HT/TVA.",(IFERROR(VALUE(TRIM(SUBSTITUTE(Y87,CHAR(160),""))),0))=0,"",(IFERROR(VALUE(TRIM(SUBSTITUTE(BA87,CHAR(160),""))),0))=(IFERROR(VALUE(TRIM(SUBSTITUTE(Y87,CHAR(160),""))),0)),"OK",
OR((IFERROR(VALUE(TRIM(SUBSTITUTE(BA87,CHAR(160),""))),0))=0,(IFERROR(VALUE(TRIM(SUBSTITUTE(AY87,CHAR(160),""))),0))=0),"Attention : montant présenté entièrement écarté",(IFERROR(VALUE(TRIM(SUBSTITUTE(BA87,CHAR(160),""))),0))&lt;(IFERROR(VALUE(TRIM(SUBSTITUTE(Y87,CHAR(160),""))),0)),"Attention : montant présenté partiellement écarté",TRUE,""))</f>
        <v/>
      </c>
      <c r="BE87" s="44" t="str">
        <f t="shared" si="87"/>
        <v/>
      </c>
      <c r="BF87" s="44" t="str">
        <f t="shared" si="88"/>
        <v/>
      </c>
      <c r="BG87" s="21" t="str">
        <f t="shared" si="89"/>
        <v/>
      </c>
    </row>
    <row r="88" spans="1:59" ht="15" customHeight="1">
      <c r="A88" s="70">
        <v>79</v>
      </c>
      <c r="B88" s="784"/>
      <c r="C88" s="7"/>
      <c r="D88" s="11"/>
      <c r="E88" s="11"/>
      <c r="F88" s="7"/>
      <c r="G88" s="7"/>
      <c r="H88" s="7"/>
      <c r="I88" s="7"/>
      <c r="J88" s="17"/>
      <c r="K88" s="7"/>
      <c r="L88" s="132"/>
      <c r="M88" s="138"/>
      <c r="N88" s="8"/>
      <c r="O88" s="35" t="str">
        <f t="shared" si="61"/>
        <v/>
      </c>
      <c r="P88" s="9"/>
      <c r="Q88" s="8"/>
      <c r="R88" s="35" t="str">
        <f t="shared" si="62"/>
        <v/>
      </c>
      <c r="S88" s="10"/>
      <c r="T88" s="8"/>
      <c r="U88" s="139" t="str">
        <f t="shared" si="63"/>
        <v/>
      </c>
      <c r="V88" s="147"/>
      <c r="W88" s="770" t="str" cm="1">
        <f t="array" ref="W88">IF((_xlfn.IFS(TRIM(SUBSTITUTE(V88,CHAR(160),""))="Devis 1",IFERROR(VALUE(TRIM(SUBSTITUTE(M88,CHAR(160),""))),0),TRIM(SUBSTITUTE(V88,CHAR(160),""))="Devis 2",IFERROR(VALUE(TRIM(SUBSTITUTE(P88,CHAR(160),""))),0),TRIM(SUBSTITUTE(V88,CHAR(160),""))="Devis 3",IFERROR(VALUE(TRIM(SUBSTITUTE(S88,CHAR(160),""))),0),TRUE,0)*IFERROR(VALUE(TRIM(SUBSTITUTE(D88,CHAR(160),""))),0))=0,"",_xlfn.IFS(TRIM(SUBSTITUTE(V88,CHAR(160),""))="Devis 1",IFERROR(VALUE(TRIM(SUBSTITUTE(M88,CHAR(160),""))),0),TRIM(SUBSTITUTE(V88,CHAR(160),""))="Devis 2",IFERROR(VALUE(TRIM(SUBSTITUTE(P88,CHAR(160),""))),0),TRIM(SUBSTITUTE(V88,CHAR(160),""))="Devis 3",IFERROR(VALUE(TRIM(SUBSTITUTE(S88,CHAR(160),""))),0),TRUE,0)*IFERROR(VALUE(TRIM(SUBSTITUTE(D88,CHAR(160),""))),0))</f>
        <v/>
      </c>
      <c r="X88" s="73" t="str" cm="1">
        <f t="array" ref="X88">IF(_xlfn.IFS(TRIM(SUBSTITUTE(V88,CHAR(160),""))="Devis 1",IFERROR(VALUE(TRIM(SUBSTITUTE(N88,CHAR(160),""))),0),TRIM(SUBSTITUTE(V88,CHAR(160),""))="Devis 2",IFERROR(VALUE(TRIM(SUBSTITUTE(Q88,CHAR(160),""))),0),TRIM(SUBSTITUTE(V88,CHAR(160),""))="Devis 3",IFERROR(VALUE(TRIM(SUBSTITUTE(T88,CHAR(160),""))),0),TRUE,0)*IFERROR(VALUE(TRIM(SUBSTITUTE(D88,CHAR(160),""))),0)=0,IF(W88&lt;&gt;"",0,""),_xlfn.IFS(TRIM(SUBSTITUTE(V88,CHAR(160),""))="Devis 1",IFERROR(VALUE(TRIM(SUBSTITUTE(N88,CHAR(160),""))),0),TRIM(SUBSTITUTE(V88,CHAR(160),""))="Devis 2",IFERROR(VALUE(TRIM(SUBSTITUTE(Q88,CHAR(160),""))),0),TRIM(SUBSTITUTE(V88,CHAR(160),""))="Devis 3",IFERROR(VALUE(TRIM(SUBSTITUTE(T88,CHAR(160),""))),0),TRUE,0)*IFERROR(VALUE(TRIM(SUBSTITUTE(D88,CHAR(160),""))),0))</f>
        <v/>
      </c>
      <c r="Y88" s="149" t="str">
        <f t="shared" si="64"/>
        <v/>
      </c>
      <c r="Z88" s="150"/>
      <c r="AA88" s="36" t="str">
        <f t="shared" si="65"/>
        <v/>
      </c>
      <c r="AB88" s="37" t="str">
        <f t="shared" si="66"/>
        <v/>
      </c>
      <c r="AC88" s="37" t="str">
        <f t="shared" si="90"/>
        <v/>
      </c>
      <c r="AD88" s="14" t="str">
        <f t="shared" si="67"/>
        <v/>
      </c>
      <c r="AE88" s="14" t="str">
        <f t="shared" si="68"/>
        <v/>
      </c>
      <c r="AF88" s="14" t="str">
        <f t="shared" si="69"/>
        <v/>
      </c>
      <c r="AG88" s="14" t="str">
        <f t="shared" si="70"/>
        <v/>
      </c>
      <c r="AH88" s="38" t="str">
        <f t="shared" si="71"/>
        <v/>
      </c>
      <c r="AI88" s="14" t="str">
        <f t="shared" si="72"/>
        <v/>
      </c>
      <c r="AJ88" s="39" t="str">
        <f t="shared" si="73"/>
        <v/>
      </c>
      <c r="AK88" s="40" t="str">
        <f t="shared" si="74"/>
        <v/>
      </c>
      <c r="AL88" s="20" t="str">
        <f t="shared" si="75"/>
        <v/>
      </c>
      <c r="AM88" s="35" t="str">
        <f t="shared" si="76"/>
        <v/>
      </c>
      <c r="AN88" s="41" t="str">
        <f t="shared" si="77"/>
        <v/>
      </c>
      <c r="AO88" s="20" t="str">
        <f t="shared" si="78"/>
        <v/>
      </c>
      <c r="AP88" s="35" t="str">
        <f t="shared" si="79"/>
        <v/>
      </c>
      <c r="AQ88" s="42" t="str">
        <f t="shared" si="80"/>
        <v/>
      </c>
      <c r="AR88" s="20" t="str">
        <f t="shared" si="81"/>
        <v/>
      </c>
      <c r="AS88" s="43" t="str">
        <f t="shared" si="82"/>
        <v/>
      </c>
      <c r="AT88" s="36" t="str">
        <f t="shared" si="83"/>
        <v/>
      </c>
      <c r="AU88" s="184"/>
      <c r="AV88" s="44" t="str">
        <f t="shared" si="84"/>
        <v/>
      </c>
      <c r="AW88" s="44" t="str">
        <f t="shared" si="85"/>
        <v/>
      </c>
      <c r="AX88" s="44" t="str">
        <f t="shared" si="86"/>
        <v/>
      </c>
      <c r="AY88" s="74" t="str" cm="1">
        <f t="array" ref="AY88">IF($AB88="","",IF((IFERROR(_xlfn.IFS($AT88="Devis 1",(IFERROR(VALUE(TRIM(SUBSTITUTE(AK88,CHAR(160),""))),0)),$AT88="Devis 2",(IFERROR(VALUE(TRIM(SUBSTITUTE(AN88,CHAR(160),""))),0)),$AT88="Devis 3",(IFERROR(VALUE(TRIM(SUBSTITUTE(AQ88,CHAR(160),""))),0))),0))*(IFERROR(VALUE(TRIM(SUBSTITUTE($AB88,CHAR(160),""))),0))=0,"",(IFERROR(_xlfn.IFS($AT88="Devis 1",(IFERROR(VALUE(TRIM(SUBSTITUTE(AK88,CHAR(160),""))),0)),$AT88="Devis 2",(IFERROR(VALUE(TRIM(SUBSTITUTE(AN88,CHAR(160),""))),0)),$AT88="Devis 3",(IFERROR(VALUE(TRIM(SUBSTITUTE(AQ88,CHAR(160),""))),0))),0))*(IFERROR(VALUE(TRIM(SUBSTITUTE($AB88,CHAR(160),""))),0))))</f>
        <v/>
      </c>
      <c r="AZ88" s="74" t="str" cm="1">
        <f t="array" ref="AZ88">IF($AB88="","",IF((IFERROR(_xlfn.IFS(TRIM(SUBSTITUTE($AT88,CHAR(160),""))="Devis 1", IFERROR(VALUE(TRIM(SUBSTITUTE(AL88,CHAR(160),""))),0),TRIM(SUBSTITUTE($AT88,CHAR(160),""))="Devis 2", IFERROR(VALUE(TRIM(SUBSTITUTE(AO88,CHAR(160),""))),0),TRIM(SUBSTITUTE($AT88,CHAR(160),""))="Devis 3", IFERROR(VALUE(TRIM(SUBSTITUTE(AR88,CHAR(160),""))),0)),0) * IFERROR(VALUE(TRIM(SUBSTITUTE($AB88,CHAR(160),""))),0)) = 0,IF(AY88&lt;&gt;"",0,""),(IFERROR(_xlfn.IFS(TRIM(SUBSTITUTE($AT88,CHAR(160),""))="Devis 1", IFERROR(VALUE(TRIM(SUBSTITUTE(AL88,CHAR(160),""))),0),TRIM(SUBSTITUTE($AT88,CHAR(160),""))="Devis 2", IFERROR(VALUE(TRIM(SUBSTITUTE(AO88,CHAR(160),""))),0),TRIM(SUBSTITUTE($AT88,CHAR(160),""))="Devis 3", IFERROR(VALUE(TRIM(SUBSTITUTE(AR88,CHAR(160),""))),0)),0) * IFERROR(VALUE(TRIM(SUBSTITUTE($AB88,CHAR(160),""))),0))))</f>
        <v/>
      </c>
      <c r="BA88" s="74" t="str" cm="1">
        <f t="array" ref="BA88">IF($AB88="","",IF(IFERROR(_xlfn.IFS($AT88="Devis 1",IFERROR(VALUE(TRIM(SUBSTITUTE(AM88,CHAR(160),""))),0),$AT88="Devis 2",IFERROR(VALUE(TRIM(SUBSTITUTE(AP88,CHAR(160),""))),0),$AT88="Devis 3",IFERROR(VALUE(TRIM(SUBSTITUTE(AS88,CHAR(160),""))),0)),0)*IFERROR(VALUE(TRIM(SUBSTITUTE($AB88,CHAR(160),""))),0)=0,"",IFERROR(_xlfn.IFS($AT88="Devis 1",IFERROR(VALUE(TRIM(SUBSTITUTE(AM88,CHAR(160),""))),0),$AT88="Devis 2",IFERROR(VALUE(TRIM(SUBSTITUTE(AP88,CHAR(160),""))),0),$AT88="Devis 3",IFERROR(VALUE(TRIM(SUBSTITUTE(AS88,CHAR(160),""))),0)),0)*IFERROR(VALUE(TRIM(SUBSTITUTE($AB88,CHAR(160),""))),0)))</f>
        <v/>
      </c>
      <c r="BB88" s="45"/>
      <c r="BC88" s="13" t="str" cm="1">
        <f t="array" ref="BC88">IF(OR(BA88="",AX88="",AY88="",AV88="",AZ88="",AW88=""),"",_xlfn.IFS((IFERROR(VALUE(TRIM(SUBSTITUTE(BA88,CHAR(160),""))),0))&gt;(IFERROR(VALUE(TRIM(SUBSTITUTE(AX88,CHAR(160),""))),0)),"KO : Le montant retenu TTC est supérieur au montant raisonnable TTC. Merci de revoir la ligne de dépense ou plafonner son montant.",(IFERROR(VALUE(TRIM(SUBSTITUTE(AY88,CHAR(160),""))),0))&gt;(IFERROR(VALUE(TRIM(SUBSTITUTE(AV88,CHAR(160),""))),0)),"Attention : Le montant retenu HT est supérieur au montant HT raisonnable. Merci de revoir la ligne de dépense, plafonner son montant, ou justifier la reventillation HT / TVA.",(IFERROR(VALUE(TRIM(SUBSTITUTE(AZ88,CHAR(160),""))),0))&gt;(IFERROR(VALUE(TRIM(SUBSTITUTE(AW88,CHAR(160),""))),0)),"Attention : Le montant TVA retenu est supérieur au montant TVA raisonnable. Merci de revoir la ligne de dépense, plafonner son montant, ou justifier la reventillation HT / TVA.",(IFERROR(VALUE(TRIM(SUBSTITUTE(BA88,CHAR(160),""))),0))=0,"",(IFERROR(VALUE(TRIM(SUBSTITUTE(AX88,CHAR(160),""))),0))=(IFERROR(VALUE(TRIM(SUBSTITUTE(BA88,CHAR(160),""))),0)),"OK",(IFERROR(VALUE(TRIM(SUBSTITUTE(AX88,CHAR(160),""))),0))&gt;(IFERROR(VALUE(TRIM(SUBSTITUTE(BA88,CHAR(160),""))),0))," OK : Montant instruit inférieur au montant raisonnable.",TRUE,""))</f>
        <v/>
      </c>
      <c r="BD88" s="187" t="str" cm="1">
        <f t="array" ref="BD88">IF(OR(BA88="",Y88="",AY88="",W88="",AZ88="",X88=""),"",_xlfn.IFS((IFERROR(VALUE(TRIM(SUBSTITUTE(BA88,CHAR(160),""))),0))&gt;(IFERROR(VALUE(TRIM(SUBSTITUTE(Y88,CHAR(160),""))),0)),"KO : Le montant retenu TTC est supérieur au montant présenté TTC. Merci de revoir la ligne de dépense ou plafonner son montant.",(IFERROR(VALUE(TRIM(SUBSTITUTE(AY88,CHAR(160),""))),0))&gt;(IFERROR(VALUE(TRIM(SUBSTITUTE(W88,CHAR(160),""))),0)),"Attention : Le montant retenu HT est supérieur au montant HT présenté. Merci de revoir la ligne de dépense,plafonner son montant,ou justifier la reventillation HT/TVA.",(IFERROR(VALUE(TRIM(SUBSTITUTE(AZ88,CHAR(160),""))),0))&gt;(IFERROR(VALUE(TRIM(SUBSTITUTE(X88,CHAR(160),""))),0)),"Attention : Le montant TVA retenu est supérieur au montant TVA présenté. Merci de revoir la ligne de dépense,plafonner son montant,ou justifier la reventillation HT/TVA.",(IFERROR(VALUE(TRIM(SUBSTITUTE(Y88,CHAR(160),""))),0))=0,"",(IFERROR(VALUE(TRIM(SUBSTITUTE(BA88,CHAR(160),""))),0))=(IFERROR(VALUE(TRIM(SUBSTITUTE(Y88,CHAR(160),""))),0)),"OK",
OR((IFERROR(VALUE(TRIM(SUBSTITUTE(BA88,CHAR(160),""))),0))=0,(IFERROR(VALUE(TRIM(SUBSTITUTE(AY88,CHAR(160),""))),0))=0),"Attention : montant présenté entièrement écarté",(IFERROR(VALUE(TRIM(SUBSTITUTE(BA88,CHAR(160),""))),0))&lt;(IFERROR(VALUE(TRIM(SUBSTITUTE(Y88,CHAR(160),""))),0)),"Attention : montant présenté partiellement écarté",TRUE,""))</f>
        <v/>
      </c>
      <c r="BE88" s="44" t="str">
        <f t="shared" si="87"/>
        <v/>
      </c>
      <c r="BF88" s="44" t="str">
        <f t="shared" si="88"/>
        <v/>
      </c>
      <c r="BG88" s="21" t="str">
        <f t="shared" si="89"/>
        <v/>
      </c>
    </row>
    <row r="89" spans="1:59" ht="15" customHeight="1">
      <c r="A89" s="70">
        <v>80</v>
      </c>
      <c r="B89" s="784"/>
      <c r="C89" s="7"/>
      <c r="D89" s="11"/>
      <c r="E89" s="11"/>
      <c r="F89" s="7"/>
      <c r="G89" s="7"/>
      <c r="H89" s="7"/>
      <c r="I89" s="7"/>
      <c r="J89" s="17"/>
      <c r="K89" s="7"/>
      <c r="L89" s="132"/>
      <c r="M89" s="138"/>
      <c r="N89" s="8"/>
      <c r="O89" s="35" t="str">
        <f t="shared" si="61"/>
        <v/>
      </c>
      <c r="P89" s="9"/>
      <c r="Q89" s="8"/>
      <c r="R89" s="35" t="str">
        <f t="shared" si="62"/>
        <v/>
      </c>
      <c r="S89" s="10"/>
      <c r="T89" s="8"/>
      <c r="U89" s="139" t="str">
        <f t="shared" si="63"/>
        <v/>
      </c>
      <c r="V89" s="147"/>
      <c r="W89" s="770" t="str" cm="1">
        <f t="array" ref="W89">IF((_xlfn.IFS(TRIM(SUBSTITUTE(V89,CHAR(160),""))="Devis 1",IFERROR(VALUE(TRIM(SUBSTITUTE(M89,CHAR(160),""))),0),TRIM(SUBSTITUTE(V89,CHAR(160),""))="Devis 2",IFERROR(VALUE(TRIM(SUBSTITUTE(P89,CHAR(160),""))),0),TRIM(SUBSTITUTE(V89,CHAR(160),""))="Devis 3",IFERROR(VALUE(TRIM(SUBSTITUTE(S89,CHAR(160),""))),0),TRUE,0)*IFERROR(VALUE(TRIM(SUBSTITUTE(D89,CHAR(160),""))),0))=0,"",_xlfn.IFS(TRIM(SUBSTITUTE(V89,CHAR(160),""))="Devis 1",IFERROR(VALUE(TRIM(SUBSTITUTE(M89,CHAR(160),""))),0),TRIM(SUBSTITUTE(V89,CHAR(160),""))="Devis 2",IFERROR(VALUE(TRIM(SUBSTITUTE(P89,CHAR(160),""))),0),TRIM(SUBSTITUTE(V89,CHAR(160),""))="Devis 3",IFERROR(VALUE(TRIM(SUBSTITUTE(S89,CHAR(160),""))),0),TRUE,0)*IFERROR(VALUE(TRIM(SUBSTITUTE(D89,CHAR(160),""))),0))</f>
        <v/>
      </c>
      <c r="X89" s="73" t="str" cm="1">
        <f t="array" ref="X89">IF(_xlfn.IFS(TRIM(SUBSTITUTE(V89,CHAR(160),""))="Devis 1",IFERROR(VALUE(TRIM(SUBSTITUTE(N89,CHAR(160),""))),0),TRIM(SUBSTITUTE(V89,CHAR(160),""))="Devis 2",IFERROR(VALUE(TRIM(SUBSTITUTE(Q89,CHAR(160),""))),0),TRIM(SUBSTITUTE(V89,CHAR(160),""))="Devis 3",IFERROR(VALUE(TRIM(SUBSTITUTE(T89,CHAR(160),""))),0),TRUE,0)*IFERROR(VALUE(TRIM(SUBSTITUTE(D89,CHAR(160),""))),0)=0,IF(W89&lt;&gt;"",0,""),_xlfn.IFS(TRIM(SUBSTITUTE(V89,CHAR(160),""))="Devis 1",IFERROR(VALUE(TRIM(SUBSTITUTE(N89,CHAR(160),""))),0),TRIM(SUBSTITUTE(V89,CHAR(160),""))="Devis 2",IFERROR(VALUE(TRIM(SUBSTITUTE(Q89,CHAR(160),""))),0),TRIM(SUBSTITUTE(V89,CHAR(160),""))="Devis 3",IFERROR(VALUE(TRIM(SUBSTITUTE(T89,CHAR(160),""))),0),TRUE,0)*IFERROR(VALUE(TRIM(SUBSTITUTE(D89,CHAR(160),""))),0))</f>
        <v/>
      </c>
      <c r="Y89" s="149" t="str">
        <f t="shared" si="64"/>
        <v/>
      </c>
      <c r="Z89" s="150"/>
      <c r="AA89" s="36" t="str">
        <f t="shared" si="65"/>
        <v/>
      </c>
      <c r="AB89" s="37" t="str">
        <f t="shared" si="66"/>
        <v/>
      </c>
      <c r="AC89" s="37" t="str">
        <f t="shared" si="90"/>
        <v/>
      </c>
      <c r="AD89" s="14" t="str">
        <f t="shared" si="67"/>
        <v/>
      </c>
      <c r="AE89" s="14" t="str">
        <f t="shared" si="68"/>
        <v/>
      </c>
      <c r="AF89" s="14" t="str">
        <f t="shared" si="69"/>
        <v/>
      </c>
      <c r="AG89" s="14" t="str">
        <f t="shared" si="70"/>
        <v/>
      </c>
      <c r="AH89" s="38" t="str">
        <f t="shared" si="71"/>
        <v/>
      </c>
      <c r="AI89" s="14" t="str">
        <f t="shared" si="72"/>
        <v/>
      </c>
      <c r="AJ89" s="39" t="str">
        <f t="shared" si="73"/>
        <v/>
      </c>
      <c r="AK89" s="40" t="str">
        <f t="shared" si="74"/>
        <v/>
      </c>
      <c r="AL89" s="20" t="str">
        <f t="shared" si="75"/>
        <v/>
      </c>
      <c r="AM89" s="35" t="str">
        <f t="shared" si="76"/>
        <v/>
      </c>
      <c r="AN89" s="41" t="str">
        <f t="shared" si="77"/>
        <v/>
      </c>
      <c r="AO89" s="20" t="str">
        <f t="shared" si="78"/>
        <v/>
      </c>
      <c r="AP89" s="35" t="str">
        <f t="shared" si="79"/>
        <v/>
      </c>
      <c r="AQ89" s="42" t="str">
        <f t="shared" si="80"/>
        <v/>
      </c>
      <c r="AR89" s="20" t="str">
        <f t="shared" si="81"/>
        <v/>
      </c>
      <c r="AS89" s="43" t="str">
        <f t="shared" si="82"/>
        <v/>
      </c>
      <c r="AT89" s="36" t="str">
        <f t="shared" si="83"/>
        <v/>
      </c>
      <c r="AU89" s="184"/>
      <c r="AV89" s="44" t="str">
        <f t="shared" si="84"/>
        <v/>
      </c>
      <c r="AW89" s="44" t="str">
        <f t="shared" si="85"/>
        <v/>
      </c>
      <c r="AX89" s="44" t="str">
        <f t="shared" si="86"/>
        <v/>
      </c>
      <c r="AY89" s="74" t="str" cm="1">
        <f t="array" ref="AY89">IF($AB89="","",IF((IFERROR(_xlfn.IFS($AT89="Devis 1",(IFERROR(VALUE(TRIM(SUBSTITUTE(AK89,CHAR(160),""))),0)),$AT89="Devis 2",(IFERROR(VALUE(TRIM(SUBSTITUTE(AN89,CHAR(160),""))),0)),$AT89="Devis 3",(IFERROR(VALUE(TRIM(SUBSTITUTE(AQ89,CHAR(160),""))),0))),0))*(IFERROR(VALUE(TRIM(SUBSTITUTE($AB89,CHAR(160),""))),0))=0,"",(IFERROR(_xlfn.IFS($AT89="Devis 1",(IFERROR(VALUE(TRIM(SUBSTITUTE(AK89,CHAR(160),""))),0)),$AT89="Devis 2",(IFERROR(VALUE(TRIM(SUBSTITUTE(AN89,CHAR(160),""))),0)),$AT89="Devis 3",(IFERROR(VALUE(TRIM(SUBSTITUTE(AQ89,CHAR(160),""))),0))),0))*(IFERROR(VALUE(TRIM(SUBSTITUTE($AB89,CHAR(160),""))),0))))</f>
        <v/>
      </c>
      <c r="AZ89" s="74" t="str" cm="1">
        <f t="array" ref="AZ89">IF($AB89="","",IF((IFERROR(_xlfn.IFS(TRIM(SUBSTITUTE($AT89,CHAR(160),""))="Devis 1", IFERROR(VALUE(TRIM(SUBSTITUTE(AL89,CHAR(160),""))),0),TRIM(SUBSTITUTE($AT89,CHAR(160),""))="Devis 2", IFERROR(VALUE(TRIM(SUBSTITUTE(AO89,CHAR(160),""))),0),TRIM(SUBSTITUTE($AT89,CHAR(160),""))="Devis 3", IFERROR(VALUE(TRIM(SUBSTITUTE(AR89,CHAR(160),""))),0)),0) * IFERROR(VALUE(TRIM(SUBSTITUTE($AB89,CHAR(160),""))),0)) = 0,IF(AY89&lt;&gt;"",0,""),(IFERROR(_xlfn.IFS(TRIM(SUBSTITUTE($AT89,CHAR(160),""))="Devis 1", IFERROR(VALUE(TRIM(SUBSTITUTE(AL89,CHAR(160),""))),0),TRIM(SUBSTITUTE($AT89,CHAR(160),""))="Devis 2", IFERROR(VALUE(TRIM(SUBSTITUTE(AO89,CHAR(160),""))),0),TRIM(SUBSTITUTE($AT89,CHAR(160),""))="Devis 3", IFERROR(VALUE(TRIM(SUBSTITUTE(AR89,CHAR(160),""))),0)),0) * IFERROR(VALUE(TRIM(SUBSTITUTE($AB89,CHAR(160),""))),0))))</f>
        <v/>
      </c>
      <c r="BA89" s="74" t="str" cm="1">
        <f t="array" ref="BA89">IF($AB89="","",IF(IFERROR(_xlfn.IFS($AT89="Devis 1",IFERROR(VALUE(TRIM(SUBSTITUTE(AM89,CHAR(160),""))),0),$AT89="Devis 2",IFERROR(VALUE(TRIM(SUBSTITUTE(AP89,CHAR(160),""))),0),$AT89="Devis 3",IFERROR(VALUE(TRIM(SUBSTITUTE(AS89,CHAR(160),""))),0)),0)*IFERROR(VALUE(TRIM(SUBSTITUTE($AB89,CHAR(160),""))),0)=0,"",IFERROR(_xlfn.IFS($AT89="Devis 1",IFERROR(VALUE(TRIM(SUBSTITUTE(AM89,CHAR(160),""))),0),$AT89="Devis 2",IFERROR(VALUE(TRIM(SUBSTITUTE(AP89,CHAR(160),""))),0),$AT89="Devis 3",IFERROR(VALUE(TRIM(SUBSTITUTE(AS89,CHAR(160),""))),0)),0)*IFERROR(VALUE(TRIM(SUBSTITUTE($AB89,CHAR(160),""))),0)))</f>
        <v/>
      </c>
      <c r="BB89" s="45"/>
      <c r="BC89" s="13" t="str" cm="1">
        <f t="array" ref="BC89">IF(OR(BA89="",AX89="",AY89="",AV89="",AZ89="",AW89=""),"",_xlfn.IFS((IFERROR(VALUE(TRIM(SUBSTITUTE(BA89,CHAR(160),""))),0))&gt;(IFERROR(VALUE(TRIM(SUBSTITUTE(AX89,CHAR(160),""))),0)),"KO : Le montant retenu TTC est supérieur au montant raisonnable TTC. Merci de revoir la ligne de dépense ou plafonner son montant.",(IFERROR(VALUE(TRIM(SUBSTITUTE(AY89,CHAR(160),""))),0))&gt;(IFERROR(VALUE(TRIM(SUBSTITUTE(AV89,CHAR(160),""))),0)),"Attention : Le montant retenu HT est supérieur au montant HT raisonnable. Merci de revoir la ligne de dépense, plafonner son montant, ou justifier la reventillation HT / TVA.",(IFERROR(VALUE(TRIM(SUBSTITUTE(AZ89,CHAR(160),""))),0))&gt;(IFERROR(VALUE(TRIM(SUBSTITUTE(AW89,CHAR(160),""))),0)),"Attention : Le montant TVA retenu est supérieur au montant TVA raisonnable. Merci de revoir la ligne de dépense, plafonner son montant, ou justifier la reventillation HT / TVA.",(IFERROR(VALUE(TRIM(SUBSTITUTE(BA89,CHAR(160),""))),0))=0,"",(IFERROR(VALUE(TRIM(SUBSTITUTE(AX89,CHAR(160),""))),0))=(IFERROR(VALUE(TRIM(SUBSTITUTE(BA89,CHAR(160),""))),0)),"OK",(IFERROR(VALUE(TRIM(SUBSTITUTE(AX89,CHAR(160),""))),0))&gt;(IFERROR(VALUE(TRIM(SUBSTITUTE(BA89,CHAR(160),""))),0))," OK : Montant instruit inférieur au montant raisonnable.",TRUE,""))</f>
        <v/>
      </c>
      <c r="BD89" s="187" t="str" cm="1">
        <f t="array" ref="BD89">IF(OR(BA89="",Y89="",AY89="",W89="",AZ89="",X89=""),"",_xlfn.IFS((IFERROR(VALUE(TRIM(SUBSTITUTE(BA89,CHAR(160),""))),0))&gt;(IFERROR(VALUE(TRIM(SUBSTITUTE(Y89,CHAR(160),""))),0)),"KO : Le montant retenu TTC est supérieur au montant présenté TTC. Merci de revoir la ligne de dépense ou plafonner son montant.",(IFERROR(VALUE(TRIM(SUBSTITUTE(AY89,CHAR(160),""))),0))&gt;(IFERROR(VALUE(TRIM(SUBSTITUTE(W89,CHAR(160),""))),0)),"Attention : Le montant retenu HT est supérieur au montant HT présenté. Merci de revoir la ligne de dépense,plafonner son montant,ou justifier la reventillation HT/TVA.",(IFERROR(VALUE(TRIM(SUBSTITUTE(AZ89,CHAR(160),""))),0))&gt;(IFERROR(VALUE(TRIM(SUBSTITUTE(X89,CHAR(160),""))),0)),"Attention : Le montant TVA retenu est supérieur au montant TVA présenté. Merci de revoir la ligne de dépense,plafonner son montant,ou justifier la reventillation HT/TVA.",(IFERROR(VALUE(TRIM(SUBSTITUTE(Y89,CHAR(160),""))),0))=0,"",(IFERROR(VALUE(TRIM(SUBSTITUTE(BA89,CHAR(160),""))),0))=(IFERROR(VALUE(TRIM(SUBSTITUTE(Y89,CHAR(160),""))),0)),"OK",
OR((IFERROR(VALUE(TRIM(SUBSTITUTE(BA89,CHAR(160),""))),0))=0,(IFERROR(VALUE(TRIM(SUBSTITUTE(AY89,CHAR(160),""))),0))=0),"Attention : montant présenté entièrement écarté",(IFERROR(VALUE(TRIM(SUBSTITUTE(BA89,CHAR(160),""))),0))&lt;(IFERROR(VALUE(TRIM(SUBSTITUTE(Y89,CHAR(160),""))),0)),"Attention : montant présenté partiellement écarté",TRUE,""))</f>
        <v/>
      </c>
      <c r="BE89" s="44" t="str">
        <f t="shared" si="87"/>
        <v/>
      </c>
      <c r="BF89" s="44" t="str">
        <f t="shared" si="88"/>
        <v/>
      </c>
      <c r="BG89" s="21" t="str">
        <f t="shared" si="89"/>
        <v/>
      </c>
    </row>
    <row r="90" spans="1:59" ht="15" customHeight="1">
      <c r="A90" s="70">
        <v>81</v>
      </c>
      <c r="B90" s="784"/>
      <c r="C90" s="7"/>
      <c r="D90" s="11"/>
      <c r="E90" s="11"/>
      <c r="F90" s="7"/>
      <c r="G90" s="7"/>
      <c r="H90" s="7"/>
      <c r="I90" s="7"/>
      <c r="J90" s="17"/>
      <c r="K90" s="7"/>
      <c r="L90" s="132"/>
      <c r="M90" s="138"/>
      <c r="N90" s="8"/>
      <c r="O90" s="35" t="str">
        <f t="shared" si="61"/>
        <v/>
      </c>
      <c r="P90" s="9"/>
      <c r="Q90" s="8"/>
      <c r="R90" s="35" t="str">
        <f t="shared" si="62"/>
        <v/>
      </c>
      <c r="S90" s="10"/>
      <c r="T90" s="8"/>
      <c r="U90" s="139" t="str">
        <f t="shared" si="63"/>
        <v/>
      </c>
      <c r="V90" s="147"/>
      <c r="W90" s="770" t="str" cm="1">
        <f t="array" ref="W90">IF((_xlfn.IFS(TRIM(SUBSTITUTE(V90,CHAR(160),""))="Devis 1",IFERROR(VALUE(TRIM(SUBSTITUTE(M90,CHAR(160),""))),0),TRIM(SUBSTITUTE(V90,CHAR(160),""))="Devis 2",IFERROR(VALUE(TRIM(SUBSTITUTE(P90,CHAR(160),""))),0),TRIM(SUBSTITUTE(V90,CHAR(160),""))="Devis 3",IFERROR(VALUE(TRIM(SUBSTITUTE(S90,CHAR(160),""))),0),TRUE,0)*IFERROR(VALUE(TRIM(SUBSTITUTE(D90,CHAR(160),""))),0))=0,"",_xlfn.IFS(TRIM(SUBSTITUTE(V90,CHAR(160),""))="Devis 1",IFERROR(VALUE(TRIM(SUBSTITUTE(M90,CHAR(160),""))),0),TRIM(SUBSTITUTE(V90,CHAR(160),""))="Devis 2",IFERROR(VALUE(TRIM(SUBSTITUTE(P90,CHAR(160),""))),0),TRIM(SUBSTITUTE(V90,CHAR(160),""))="Devis 3",IFERROR(VALUE(TRIM(SUBSTITUTE(S90,CHAR(160),""))),0),TRUE,0)*IFERROR(VALUE(TRIM(SUBSTITUTE(D90,CHAR(160),""))),0))</f>
        <v/>
      </c>
      <c r="X90" s="73" t="str" cm="1">
        <f t="array" ref="X90">IF(_xlfn.IFS(TRIM(SUBSTITUTE(V90,CHAR(160),""))="Devis 1",IFERROR(VALUE(TRIM(SUBSTITUTE(N90,CHAR(160),""))),0),TRIM(SUBSTITUTE(V90,CHAR(160),""))="Devis 2",IFERROR(VALUE(TRIM(SUBSTITUTE(Q90,CHAR(160),""))),0),TRIM(SUBSTITUTE(V90,CHAR(160),""))="Devis 3",IFERROR(VALUE(TRIM(SUBSTITUTE(T90,CHAR(160),""))),0),TRUE,0)*IFERROR(VALUE(TRIM(SUBSTITUTE(D90,CHAR(160),""))),0)=0,IF(W90&lt;&gt;"",0,""),_xlfn.IFS(TRIM(SUBSTITUTE(V90,CHAR(160),""))="Devis 1",IFERROR(VALUE(TRIM(SUBSTITUTE(N90,CHAR(160),""))),0),TRIM(SUBSTITUTE(V90,CHAR(160),""))="Devis 2",IFERROR(VALUE(TRIM(SUBSTITUTE(Q90,CHAR(160),""))),0),TRIM(SUBSTITUTE(V90,CHAR(160),""))="Devis 3",IFERROR(VALUE(TRIM(SUBSTITUTE(T90,CHAR(160),""))),0),TRUE,0)*IFERROR(VALUE(TRIM(SUBSTITUTE(D90,CHAR(160),""))),0))</f>
        <v/>
      </c>
      <c r="Y90" s="149" t="str">
        <f t="shared" si="64"/>
        <v/>
      </c>
      <c r="Z90" s="150"/>
      <c r="AA90" s="36" t="str">
        <f t="shared" si="65"/>
        <v/>
      </c>
      <c r="AB90" s="37" t="str">
        <f t="shared" si="66"/>
        <v/>
      </c>
      <c r="AC90" s="37" t="str">
        <f t="shared" si="90"/>
        <v/>
      </c>
      <c r="AD90" s="14" t="str">
        <f t="shared" si="67"/>
        <v/>
      </c>
      <c r="AE90" s="14" t="str">
        <f t="shared" si="68"/>
        <v/>
      </c>
      <c r="AF90" s="14" t="str">
        <f t="shared" si="69"/>
        <v/>
      </c>
      <c r="AG90" s="14" t="str">
        <f t="shared" si="70"/>
        <v/>
      </c>
      <c r="AH90" s="38" t="str">
        <f t="shared" si="71"/>
        <v/>
      </c>
      <c r="AI90" s="14" t="str">
        <f t="shared" si="72"/>
        <v/>
      </c>
      <c r="AJ90" s="39" t="str">
        <f t="shared" si="73"/>
        <v/>
      </c>
      <c r="AK90" s="40" t="str">
        <f t="shared" si="74"/>
        <v/>
      </c>
      <c r="AL90" s="20" t="str">
        <f t="shared" si="75"/>
        <v/>
      </c>
      <c r="AM90" s="35" t="str">
        <f t="shared" si="76"/>
        <v/>
      </c>
      <c r="AN90" s="41" t="str">
        <f t="shared" si="77"/>
        <v/>
      </c>
      <c r="AO90" s="20" t="str">
        <f t="shared" si="78"/>
        <v/>
      </c>
      <c r="AP90" s="35" t="str">
        <f t="shared" si="79"/>
        <v/>
      </c>
      <c r="AQ90" s="42" t="str">
        <f t="shared" si="80"/>
        <v/>
      </c>
      <c r="AR90" s="20" t="str">
        <f t="shared" si="81"/>
        <v/>
      </c>
      <c r="AS90" s="43" t="str">
        <f t="shared" si="82"/>
        <v/>
      </c>
      <c r="AT90" s="36" t="str">
        <f t="shared" si="83"/>
        <v/>
      </c>
      <c r="AU90" s="184"/>
      <c r="AV90" s="44" t="str">
        <f t="shared" si="84"/>
        <v/>
      </c>
      <c r="AW90" s="44" t="str">
        <f t="shared" si="85"/>
        <v/>
      </c>
      <c r="AX90" s="44" t="str">
        <f t="shared" si="86"/>
        <v/>
      </c>
      <c r="AY90" s="74" t="str" cm="1">
        <f t="array" ref="AY90">IF($AB90="","",IF((IFERROR(_xlfn.IFS($AT90="Devis 1",(IFERROR(VALUE(TRIM(SUBSTITUTE(AK90,CHAR(160),""))),0)),$AT90="Devis 2",(IFERROR(VALUE(TRIM(SUBSTITUTE(AN90,CHAR(160),""))),0)),$AT90="Devis 3",(IFERROR(VALUE(TRIM(SUBSTITUTE(AQ90,CHAR(160),""))),0))),0))*(IFERROR(VALUE(TRIM(SUBSTITUTE($AB90,CHAR(160),""))),0))=0,"",(IFERROR(_xlfn.IFS($AT90="Devis 1",(IFERROR(VALUE(TRIM(SUBSTITUTE(AK90,CHAR(160),""))),0)),$AT90="Devis 2",(IFERROR(VALUE(TRIM(SUBSTITUTE(AN90,CHAR(160),""))),0)),$AT90="Devis 3",(IFERROR(VALUE(TRIM(SUBSTITUTE(AQ90,CHAR(160),""))),0))),0))*(IFERROR(VALUE(TRIM(SUBSTITUTE($AB90,CHAR(160),""))),0))))</f>
        <v/>
      </c>
      <c r="AZ90" s="74" t="str" cm="1">
        <f t="array" ref="AZ90">IF($AB90="","",IF((IFERROR(_xlfn.IFS(TRIM(SUBSTITUTE($AT90,CHAR(160),""))="Devis 1", IFERROR(VALUE(TRIM(SUBSTITUTE(AL90,CHAR(160),""))),0),TRIM(SUBSTITUTE($AT90,CHAR(160),""))="Devis 2", IFERROR(VALUE(TRIM(SUBSTITUTE(AO90,CHAR(160),""))),0),TRIM(SUBSTITUTE($AT90,CHAR(160),""))="Devis 3", IFERROR(VALUE(TRIM(SUBSTITUTE(AR90,CHAR(160),""))),0)),0) * IFERROR(VALUE(TRIM(SUBSTITUTE($AB90,CHAR(160),""))),0)) = 0,IF(AY90&lt;&gt;"",0,""),(IFERROR(_xlfn.IFS(TRIM(SUBSTITUTE($AT90,CHAR(160),""))="Devis 1", IFERROR(VALUE(TRIM(SUBSTITUTE(AL90,CHAR(160),""))),0),TRIM(SUBSTITUTE($AT90,CHAR(160),""))="Devis 2", IFERROR(VALUE(TRIM(SUBSTITUTE(AO90,CHAR(160),""))),0),TRIM(SUBSTITUTE($AT90,CHAR(160),""))="Devis 3", IFERROR(VALUE(TRIM(SUBSTITUTE(AR90,CHAR(160),""))),0)),0) * IFERROR(VALUE(TRIM(SUBSTITUTE($AB90,CHAR(160),""))),0))))</f>
        <v/>
      </c>
      <c r="BA90" s="74" t="str" cm="1">
        <f t="array" ref="BA90">IF($AB90="","",IF(IFERROR(_xlfn.IFS($AT90="Devis 1",IFERROR(VALUE(TRIM(SUBSTITUTE(AM90,CHAR(160),""))),0),$AT90="Devis 2",IFERROR(VALUE(TRIM(SUBSTITUTE(AP90,CHAR(160),""))),0),$AT90="Devis 3",IFERROR(VALUE(TRIM(SUBSTITUTE(AS90,CHAR(160),""))),0)),0)*IFERROR(VALUE(TRIM(SUBSTITUTE($AB90,CHAR(160),""))),0)=0,"",IFERROR(_xlfn.IFS($AT90="Devis 1",IFERROR(VALUE(TRIM(SUBSTITUTE(AM90,CHAR(160),""))),0),$AT90="Devis 2",IFERROR(VALUE(TRIM(SUBSTITUTE(AP90,CHAR(160),""))),0),$AT90="Devis 3",IFERROR(VALUE(TRIM(SUBSTITUTE(AS90,CHAR(160),""))),0)),0)*IFERROR(VALUE(TRIM(SUBSTITUTE($AB90,CHAR(160),""))),0)))</f>
        <v/>
      </c>
      <c r="BB90" s="45"/>
      <c r="BC90" s="13" t="str" cm="1">
        <f t="array" ref="BC90">IF(OR(BA90="",AX90="",AY90="",AV90="",AZ90="",AW90=""),"",_xlfn.IFS((IFERROR(VALUE(TRIM(SUBSTITUTE(BA90,CHAR(160),""))),0))&gt;(IFERROR(VALUE(TRIM(SUBSTITUTE(AX90,CHAR(160),""))),0)),"KO : Le montant retenu TTC est supérieur au montant raisonnable TTC. Merci de revoir la ligne de dépense ou plafonner son montant.",(IFERROR(VALUE(TRIM(SUBSTITUTE(AY90,CHAR(160),""))),0))&gt;(IFERROR(VALUE(TRIM(SUBSTITUTE(AV90,CHAR(160),""))),0)),"Attention : Le montant retenu HT est supérieur au montant HT raisonnable. Merci de revoir la ligne de dépense, plafonner son montant, ou justifier la reventillation HT / TVA.",(IFERROR(VALUE(TRIM(SUBSTITUTE(AZ90,CHAR(160),""))),0))&gt;(IFERROR(VALUE(TRIM(SUBSTITUTE(AW90,CHAR(160),""))),0)),"Attention : Le montant TVA retenu est supérieur au montant TVA raisonnable. Merci de revoir la ligne de dépense, plafonner son montant, ou justifier la reventillation HT / TVA.",(IFERROR(VALUE(TRIM(SUBSTITUTE(BA90,CHAR(160),""))),0))=0,"",(IFERROR(VALUE(TRIM(SUBSTITUTE(AX90,CHAR(160),""))),0))=(IFERROR(VALUE(TRIM(SUBSTITUTE(BA90,CHAR(160),""))),0)),"OK",(IFERROR(VALUE(TRIM(SUBSTITUTE(AX90,CHAR(160),""))),0))&gt;(IFERROR(VALUE(TRIM(SUBSTITUTE(BA90,CHAR(160),""))),0))," OK : Montant instruit inférieur au montant raisonnable.",TRUE,""))</f>
        <v/>
      </c>
      <c r="BD90" s="187" t="str" cm="1">
        <f t="array" ref="BD90">IF(OR(BA90="",Y90="",AY90="",W90="",AZ90="",X90=""),"",_xlfn.IFS((IFERROR(VALUE(TRIM(SUBSTITUTE(BA90,CHAR(160),""))),0))&gt;(IFERROR(VALUE(TRIM(SUBSTITUTE(Y90,CHAR(160),""))),0)),"KO : Le montant retenu TTC est supérieur au montant présenté TTC. Merci de revoir la ligne de dépense ou plafonner son montant.",(IFERROR(VALUE(TRIM(SUBSTITUTE(AY90,CHAR(160),""))),0))&gt;(IFERROR(VALUE(TRIM(SUBSTITUTE(W90,CHAR(160),""))),0)),"Attention : Le montant retenu HT est supérieur au montant HT présenté. Merci de revoir la ligne de dépense,plafonner son montant,ou justifier la reventillation HT/TVA.",(IFERROR(VALUE(TRIM(SUBSTITUTE(AZ90,CHAR(160),""))),0))&gt;(IFERROR(VALUE(TRIM(SUBSTITUTE(X90,CHAR(160),""))),0)),"Attention : Le montant TVA retenu est supérieur au montant TVA présenté. Merci de revoir la ligne de dépense,plafonner son montant,ou justifier la reventillation HT/TVA.",(IFERROR(VALUE(TRIM(SUBSTITUTE(Y90,CHAR(160),""))),0))=0,"",(IFERROR(VALUE(TRIM(SUBSTITUTE(BA90,CHAR(160),""))),0))=(IFERROR(VALUE(TRIM(SUBSTITUTE(Y90,CHAR(160),""))),0)),"OK",
OR((IFERROR(VALUE(TRIM(SUBSTITUTE(BA90,CHAR(160),""))),0))=0,(IFERROR(VALUE(TRIM(SUBSTITUTE(AY90,CHAR(160),""))),0))=0),"Attention : montant présenté entièrement écarté",(IFERROR(VALUE(TRIM(SUBSTITUTE(BA90,CHAR(160),""))),0))&lt;(IFERROR(VALUE(TRIM(SUBSTITUTE(Y90,CHAR(160),""))),0)),"Attention : montant présenté partiellement écarté",TRUE,""))</f>
        <v/>
      </c>
      <c r="BE90" s="44" t="str">
        <f t="shared" si="87"/>
        <v/>
      </c>
      <c r="BF90" s="44" t="str">
        <f t="shared" si="88"/>
        <v/>
      </c>
      <c r="BG90" s="21" t="str">
        <f t="shared" si="89"/>
        <v/>
      </c>
    </row>
    <row r="91" spans="1:59" ht="15" customHeight="1">
      <c r="A91" s="70">
        <v>82</v>
      </c>
      <c r="B91" s="784"/>
      <c r="C91" s="7"/>
      <c r="D91" s="11"/>
      <c r="E91" s="11"/>
      <c r="F91" s="7"/>
      <c r="G91" s="7"/>
      <c r="H91" s="7"/>
      <c r="I91" s="7"/>
      <c r="J91" s="17"/>
      <c r="K91" s="7"/>
      <c r="L91" s="132"/>
      <c r="M91" s="138"/>
      <c r="N91" s="8"/>
      <c r="O91" s="35" t="str">
        <f t="shared" si="61"/>
        <v/>
      </c>
      <c r="P91" s="9"/>
      <c r="Q91" s="8"/>
      <c r="R91" s="35" t="str">
        <f t="shared" si="62"/>
        <v/>
      </c>
      <c r="S91" s="10"/>
      <c r="T91" s="8"/>
      <c r="U91" s="139" t="str">
        <f t="shared" si="63"/>
        <v/>
      </c>
      <c r="V91" s="147"/>
      <c r="W91" s="770" t="str" cm="1">
        <f t="array" ref="W91">IF((_xlfn.IFS(TRIM(SUBSTITUTE(V91,CHAR(160),""))="Devis 1",IFERROR(VALUE(TRIM(SUBSTITUTE(M91,CHAR(160),""))),0),TRIM(SUBSTITUTE(V91,CHAR(160),""))="Devis 2",IFERROR(VALUE(TRIM(SUBSTITUTE(P91,CHAR(160),""))),0),TRIM(SUBSTITUTE(V91,CHAR(160),""))="Devis 3",IFERROR(VALUE(TRIM(SUBSTITUTE(S91,CHAR(160),""))),0),TRUE,0)*IFERROR(VALUE(TRIM(SUBSTITUTE(D91,CHAR(160),""))),0))=0,"",_xlfn.IFS(TRIM(SUBSTITUTE(V91,CHAR(160),""))="Devis 1",IFERROR(VALUE(TRIM(SUBSTITUTE(M91,CHAR(160),""))),0),TRIM(SUBSTITUTE(V91,CHAR(160),""))="Devis 2",IFERROR(VALUE(TRIM(SUBSTITUTE(P91,CHAR(160),""))),0),TRIM(SUBSTITUTE(V91,CHAR(160),""))="Devis 3",IFERROR(VALUE(TRIM(SUBSTITUTE(S91,CHAR(160),""))),0),TRUE,0)*IFERROR(VALUE(TRIM(SUBSTITUTE(D91,CHAR(160),""))),0))</f>
        <v/>
      </c>
      <c r="X91" s="73" t="str" cm="1">
        <f t="array" ref="X91">IF(_xlfn.IFS(TRIM(SUBSTITUTE(V91,CHAR(160),""))="Devis 1",IFERROR(VALUE(TRIM(SUBSTITUTE(N91,CHAR(160),""))),0),TRIM(SUBSTITUTE(V91,CHAR(160),""))="Devis 2",IFERROR(VALUE(TRIM(SUBSTITUTE(Q91,CHAR(160),""))),0),TRIM(SUBSTITUTE(V91,CHAR(160),""))="Devis 3",IFERROR(VALUE(TRIM(SUBSTITUTE(T91,CHAR(160),""))),0),TRUE,0)*IFERROR(VALUE(TRIM(SUBSTITUTE(D91,CHAR(160),""))),0)=0,IF(W91&lt;&gt;"",0,""),_xlfn.IFS(TRIM(SUBSTITUTE(V91,CHAR(160),""))="Devis 1",IFERROR(VALUE(TRIM(SUBSTITUTE(N91,CHAR(160),""))),0),TRIM(SUBSTITUTE(V91,CHAR(160),""))="Devis 2",IFERROR(VALUE(TRIM(SUBSTITUTE(Q91,CHAR(160),""))),0),TRIM(SUBSTITUTE(V91,CHAR(160),""))="Devis 3",IFERROR(VALUE(TRIM(SUBSTITUTE(T91,CHAR(160),""))),0),TRUE,0)*IFERROR(VALUE(TRIM(SUBSTITUTE(D91,CHAR(160),""))),0))</f>
        <v/>
      </c>
      <c r="Y91" s="149" t="str">
        <f t="shared" si="64"/>
        <v/>
      </c>
      <c r="Z91" s="150"/>
      <c r="AA91" s="36" t="str">
        <f t="shared" si="65"/>
        <v/>
      </c>
      <c r="AB91" s="37" t="str">
        <f t="shared" si="66"/>
        <v/>
      </c>
      <c r="AC91" s="37" t="str">
        <f t="shared" si="90"/>
        <v/>
      </c>
      <c r="AD91" s="14" t="str">
        <f t="shared" si="67"/>
        <v/>
      </c>
      <c r="AE91" s="14" t="str">
        <f t="shared" si="68"/>
        <v/>
      </c>
      <c r="AF91" s="14" t="str">
        <f t="shared" si="69"/>
        <v/>
      </c>
      <c r="AG91" s="14" t="str">
        <f t="shared" si="70"/>
        <v/>
      </c>
      <c r="AH91" s="38" t="str">
        <f t="shared" si="71"/>
        <v/>
      </c>
      <c r="AI91" s="14" t="str">
        <f t="shared" si="72"/>
        <v/>
      </c>
      <c r="AJ91" s="39" t="str">
        <f t="shared" si="73"/>
        <v/>
      </c>
      <c r="AK91" s="40" t="str">
        <f t="shared" si="74"/>
        <v/>
      </c>
      <c r="AL91" s="20" t="str">
        <f t="shared" si="75"/>
        <v/>
      </c>
      <c r="AM91" s="35" t="str">
        <f t="shared" si="76"/>
        <v/>
      </c>
      <c r="AN91" s="41" t="str">
        <f t="shared" si="77"/>
        <v/>
      </c>
      <c r="AO91" s="20" t="str">
        <f t="shared" si="78"/>
        <v/>
      </c>
      <c r="AP91" s="35" t="str">
        <f t="shared" si="79"/>
        <v/>
      </c>
      <c r="AQ91" s="42" t="str">
        <f t="shared" si="80"/>
        <v/>
      </c>
      <c r="AR91" s="20" t="str">
        <f t="shared" si="81"/>
        <v/>
      </c>
      <c r="AS91" s="43" t="str">
        <f t="shared" si="82"/>
        <v/>
      </c>
      <c r="AT91" s="36" t="str">
        <f t="shared" si="83"/>
        <v/>
      </c>
      <c r="AU91" s="184"/>
      <c r="AV91" s="44" t="str">
        <f t="shared" si="84"/>
        <v/>
      </c>
      <c r="AW91" s="44" t="str">
        <f t="shared" si="85"/>
        <v/>
      </c>
      <c r="AX91" s="44" t="str">
        <f t="shared" si="86"/>
        <v/>
      </c>
      <c r="AY91" s="74" t="str" cm="1">
        <f t="array" ref="AY91">IF($AB91="","",IF((IFERROR(_xlfn.IFS($AT91="Devis 1",(IFERROR(VALUE(TRIM(SUBSTITUTE(AK91,CHAR(160),""))),0)),$AT91="Devis 2",(IFERROR(VALUE(TRIM(SUBSTITUTE(AN91,CHAR(160),""))),0)),$AT91="Devis 3",(IFERROR(VALUE(TRIM(SUBSTITUTE(AQ91,CHAR(160),""))),0))),0))*(IFERROR(VALUE(TRIM(SUBSTITUTE($AB91,CHAR(160),""))),0))=0,"",(IFERROR(_xlfn.IFS($AT91="Devis 1",(IFERROR(VALUE(TRIM(SUBSTITUTE(AK91,CHAR(160),""))),0)),$AT91="Devis 2",(IFERROR(VALUE(TRIM(SUBSTITUTE(AN91,CHAR(160),""))),0)),$AT91="Devis 3",(IFERROR(VALUE(TRIM(SUBSTITUTE(AQ91,CHAR(160),""))),0))),0))*(IFERROR(VALUE(TRIM(SUBSTITUTE($AB91,CHAR(160),""))),0))))</f>
        <v/>
      </c>
      <c r="AZ91" s="74" t="str" cm="1">
        <f t="array" ref="AZ91">IF($AB91="","",IF((IFERROR(_xlfn.IFS(TRIM(SUBSTITUTE($AT91,CHAR(160),""))="Devis 1", IFERROR(VALUE(TRIM(SUBSTITUTE(AL91,CHAR(160),""))),0),TRIM(SUBSTITUTE($AT91,CHAR(160),""))="Devis 2", IFERROR(VALUE(TRIM(SUBSTITUTE(AO91,CHAR(160),""))),0),TRIM(SUBSTITUTE($AT91,CHAR(160),""))="Devis 3", IFERROR(VALUE(TRIM(SUBSTITUTE(AR91,CHAR(160),""))),0)),0) * IFERROR(VALUE(TRIM(SUBSTITUTE($AB91,CHAR(160),""))),0)) = 0,IF(AY91&lt;&gt;"",0,""),(IFERROR(_xlfn.IFS(TRIM(SUBSTITUTE($AT91,CHAR(160),""))="Devis 1", IFERROR(VALUE(TRIM(SUBSTITUTE(AL91,CHAR(160),""))),0),TRIM(SUBSTITUTE($AT91,CHAR(160),""))="Devis 2", IFERROR(VALUE(TRIM(SUBSTITUTE(AO91,CHAR(160),""))),0),TRIM(SUBSTITUTE($AT91,CHAR(160),""))="Devis 3", IFERROR(VALUE(TRIM(SUBSTITUTE(AR91,CHAR(160),""))),0)),0) * IFERROR(VALUE(TRIM(SUBSTITUTE($AB91,CHAR(160),""))),0))))</f>
        <v/>
      </c>
      <c r="BA91" s="74" t="str" cm="1">
        <f t="array" ref="BA91">IF($AB91="","",IF(IFERROR(_xlfn.IFS($AT91="Devis 1",IFERROR(VALUE(TRIM(SUBSTITUTE(AM91,CHAR(160),""))),0),$AT91="Devis 2",IFERROR(VALUE(TRIM(SUBSTITUTE(AP91,CHAR(160),""))),0),$AT91="Devis 3",IFERROR(VALUE(TRIM(SUBSTITUTE(AS91,CHAR(160),""))),0)),0)*IFERROR(VALUE(TRIM(SUBSTITUTE($AB91,CHAR(160),""))),0)=0,"",IFERROR(_xlfn.IFS($AT91="Devis 1",IFERROR(VALUE(TRIM(SUBSTITUTE(AM91,CHAR(160),""))),0),$AT91="Devis 2",IFERROR(VALUE(TRIM(SUBSTITUTE(AP91,CHAR(160),""))),0),$AT91="Devis 3",IFERROR(VALUE(TRIM(SUBSTITUTE(AS91,CHAR(160),""))),0)),0)*IFERROR(VALUE(TRIM(SUBSTITUTE($AB91,CHAR(160),""))),0)))</f>
        <v/>
      </c>
      <c r="BB91" s="45"/>
      <c r="BC91" s="13" t="str" cm="1">
        <f t="array" ref="BC91">IF(OR(BA91="",AX91="",AY91="",AV91="",AZ91="",AW91=""),"",_xlfn.IFS((IFERROR(VALUE(TRIM(SUBSTITUTE(BA91,CHAR(160),""))),0))&gt;(IFERROR(VALUE(TRIM(SUBSTITUTE(AX91,CHAR(160),""))),0)),"KO : Le montant retenu TTC est supérieur au montant raisonnable TTC. Merci de revoir la ligne de dépense ou plafonner son montant.",(IFERROR(VALUE(TRIM(SUBSTITUTE(AY91,CHAR(160),""))),0))&gt;(IFERROR(VALUE(TRIM(SUBSTITUTE(AV91,CHAR(160),""))),0)),"Attention : Le montant retenu HT est supérieur au montant HT raisonnable. Merci de revoir la ligne de dépense, plafonner son montant, ou justifier la reventillation HT / TVA.",(IFERROR(VALUE(TRIM(SUBSTITUTE(AZ91,CHAR(160),""))),0))&gt;(IFERROR(VALUE(TRIM(SUBSTITUTE(AW91,CHAR(160),""))),0)),"Attention : Le montant TVA retenu est supérieur au montant TVA raisonnable. Merci de revoir la ligne de dépense, plafonner son montant, ou justifier la reventillation HT / TVA.",(IFERROR(VALUE(TRIM(SUBSTITUTE(BA91,CHAR(160),""))),0))=0,"",(IFERROR(VALUE(TRIM(SUBSTITUTE(AX91,CHAR(160),""))),0))=(IFERROR(VALUE(TRIM(SUBSTITUTE(BA91,CHAR(160),""))),0)),"OK",(IFERROR(VALUE(TRIM(SUBSTITUTE(AX91,CHAR(160),""))),0))&gt;(IFERROR(VALUE(TRIM(SUBSTITUTE(BA91,CHAR(160),""))),0))," OK : Montant instruit inférieur au montant raisonnable.",TRUE,""))</f>
        <v/>
      </c>
      <c r="BD91" s="187" t="str" cm="1">
        <f t="array" ref="BD91">IF(OR(BA91="",Y91="",AY91="",W91="",AZ91="",X91=""),"",_xlfn.IFS((IFERROR(VALUE(TRIM(SUBSTITUTE(BA91,CHAR(160),""))),0))&gt;(IFERROR(VALUE(TRIM(SUBSTITUTE(Y91,CHAR(160),""))),0)),"KO : Le montant retenu TTC est supérieur au montant présenté TTC. Merci de revoir la ligne de dépense ou plafonner son montant.",(IFERROR(VALUE(TRIM(SUBSTITUTE(AY91,CHAR(160),""))),0))&gt;(IFERROR(VALUE(TRIM(SUBSTITUTE(W91,CHAR(160),""))),0)),"Attention : Le montant retenu HT est supérieur au montant HT présenté. Merci de revoir la ligne de dépense,plafonner son montant,ou justifier la reventillation HT/TVA.",(IFERROR(VALUE(TRIM(SUBSTITUTE(AZ91,CHAR(160),""))),0))&gt;(IFERROR(VALUE(TRIM(SUBSTITUTE(X91,CHAR(160),""))),0)),"Attention : Le montant TVA retenu est supérieur au montant TVA présenté. Merci de revoir la ligne de dépense,plafonner son montant,ou justifier la reventillation HT/TVA.",(IFERROR(VALUE(TRIM(SUBSTITUTE(Y91,CHAR(160),""))),0))=0,"",(IFERROR(VALUE(TRIM(SUBSTITUTE(BA91,CHAR(160),""))),0))=(IFERROR(VALUE(TRIM(SUBSTITUTE(Y91,CHAR(160),""))),0)),"OK",
OR((IFERROR(VALUE(TRIM(SUBSTITUTE(BA91,CHAR(160),""))),0))=0,(IFERROR(VALUE(TRIM(SUBSTITUTE(AY91,CHAR(160),""))),0))=0),"Attention : montant présenté entièrement écarté",(IFERROR(VALUE(TRIM(SUBSTITUTE(BA91,CHAR(160),""))),0))&lt;(IFERROR(VALUE(TRIM(SUBSTITUTE(Y91,CHAR(160),""))),0)),"Attention : montant présenté partiellement écarté",TRUE,""))</f>
        <v/>
      </c>
      <c r="BE91" s="44" t="str">
        <f t="shared" si="87"/>
        <v/>
      </c>
      <c r="BF91" s="44" t="str">
        <f t="shared" si="88"/>
        <v/>
      </c>
      <c r="BG91" s="21" t="str">
        <f t="shared" si="89"/>
        <v/>
      </c>
    </row>
    <row r="92" spans="1:59" ht="15" customHeight="1">
      <c r="A92" s="70">
        <v>83</v>
      </c>
      <c r="B92" s="784"/>
      <c r="C92" s="7"/>
      <c r="D92" s="11"/>
      <c r="E92" s="11"/>
      <c r="F92" s="7"/>
      <c r="G92" s="7"/>
      <c r="H92" s="7"/>
      <c r="I92" s="7"/>
      <c r="J92" s="17"/>
      <c r="K92" s="7"/>
      <c r="L92" s="132"/>
      <c r="M92" s="138"/>
      <c r="N92" s="8"/>
      <c r="O92" s="35" t="str">
        <f t="shared" si="61"/>
        <v/>
      </c>
      <c r="P92" s="9"/>
      <c r="Q92" s="8"/>
      <c r="R92" s="35" t="str">
        <f t="shared" si="62"/>
        <v/>
      </c>
      <c r="S92" s="10"/>
      <c r="T92" s="8"/>
      <c r="U92" s="139" t="str">
        <f t="shared" si="63"/>
        <v/>
      </c>
      <c r="V92" s="147"/>
      <c r="W92" s="770" t="str" cm="1">
        <f t="array" ref="W92">IF((_xlfn.IFS(TRIM(SUBSTITUTE(V92,CHAR(160),""))="Devis 1",IFERROR(VALUE(TRIM(SUBSTITUTE(M92,CHAR(160),""))),0),TRIM(SUBSTITUTE(V92,CHAR(160),""))="Devis 2",IFERROR(VALUE(TRIM(SUBSTITUTE(P92,CHAR(160),""))),0),TRIM(SUBSTITUTE(V92,CHAR(160),""))="Devis 3",IFERROR(VALUE(TRIM(SUBSTITUTE(S92,CHAR(160),""))),0),TRUE,0)*IFERROR(VALUE(TRIM(SUBSTITUTE(D92,CHAR(160),""))),0))=0,"",_xlfn.IFS(TRIM(SUBSTITUTE(V92,CHAR(160),""))="Devis 1",IFERROR(VALUE(TRIM(SUBSTITUTE(M92,CHAR(160),""))),0),TRIM(SUBSTITUTE(V92,CHAR(160),""))="Devis 2",IFERROR(VALUE(TRIM(SUBSTITUTE(P92,CHAR(160),""))),0),TRIM(SUBSTITUTE(V92,CHAR(160),""))="Devis 3",IFERROR(VALUE(TRIM(SUBSTITUTE(S92,CHAR(160),""))),0),TRUE,0)*IFERROR(VALUE(TRIM(SUBSTITUTE(D92,CHAR(160),""))),0))</f>
        <v/>
      </c>
      <c r="X92" s="73" t="str" cm="1">
        <f t="array" ref="X92">IF(_xlfn.IFS(TRIM(SUBSTITUTE(V92,CHAR(160),""))="Devis 1",IFERROR(VALUE(TRIM(SUBSTITUTE(N92,CHAR(160),""))),0),TRIM(SUBSTITUTE(V92,CHAR(160),""))="Devis 2",IFERROR(VALUE(TRIM(SUBSTITUTE(Q92,CHAR(160),""))),0),TRIM(SUBSTITUTE(V92,CHAR(160),""))="Devis 3",IFERROR(VALUE(TRIM(SUBSTITUTE(T92,CHAR(160),""))),0),TRUE,0)*IFERROR(VALUE(TRIM(SUBSTITUTE(D92,CHAR(160),""))),0)=0,IF(W92&lt;&gt;"",0,""),_xlfn.IFS(TRIM(SUBSTITUTE(V92,CHAR(160),""))="Devis 1",IFERROR(VALUE(TRIM(SUBSTITUTE(N92,CHAR(160),""))),0),TRIM(SUBSTITUTE(V92,CHAR(160),""))="Devis 2",IFERROR(VALUE(TRIM(SUBSTITUTE(Q92,CHAR(160),""))),0),TRIM(SUBSTITUTE(V92,CHAR(160),""))="Devis 3",IFERROR(VALUE(TRIM(SUBSTITUTE(T92,CHAR(160),""))),0),TRUE,0)*IFERROR(VALUE(TRIM(SUBSTITUTE(D92,CHAR(160),""))),0))</f>
        <v/>
      </c>
      <c r="Y92" s="149" t="str">
        <f t="shared" si="64"/>
        <v/>
      </c>
      <c r="Z92" s="150"/>
      <c r="AA92" s="36" t="str">
        <f t="shared" si="65"/>
        <v/>
      </c>
      <c r="AB92" s="37" t="str">
        <f t="shared" si="66"/>
        <v/>
      </c>
      <c r="AC92" s="37" t="str">
        <f t="shared" si="90"/>
        <v/>
      </c>
      <c r="AD92" s="14" t="str">
        <f t="shared" si="67"/>
        <v/>
      </c>
      <c r="AE92" s="14" t="str">
        <f t="shared" si="68"/>
        <v/>
      </c>
      <c r="AF92" s="14" t="str">
        <f t="shared" si="69"/>
        <v/>
      </c>
      <c r="AG92" s="14" t="str">
        <f t="shared" si="70"/>
        <v/>
      </c>
      <c r="AH92" s="38" t="str">
        <f t="shared" si="71"/>
        <v/>
      </c>
      <c r="AI92" s="14" t="str">
        <f t="shared" si="72"/>
        <v/>
      </c>
      <c r="AJ92" s="39" t="str">
        <f t="shared" si="73"/>
        <v/>
      </c>
      <c r="AK92" s="40" t="str">
        <f t="shared" si="74"/>
        <v/>
      </c>
      <c r="AL92" s="20" t="str">
        <f t="shared" si="75"/>
        <v/>
      </c>
      <c r="AM92" s="35" t="str">
        <f t="shared" si="76"/>
        <v/>
      </c>
      <c r="AN92" s="41" t="str">
        <f t="shared" si="77"/>
        <v/>
      </c>
      <c r="AO92" s="20" t="str">
        <f t="shared" si="78"/>
        <v/>
      </c>
      <c r="AP92" s="35" t="str">
        <f t="shared" si="79"/>
        <v/>
      </c>
      <c r="AQ92" s="42" t="str">
        <f t="shared" si="80"/>
        <v/>
      </c>
      <c r="AR92" s="20" t="str">
        <f t="shared" si="81"/>
        <v/>
      </c>
      <c r="AS92" s="43" t="str">
        <f t="shared" si="82"/>
        <v/>
      </c>
      <c r="AT92" s="36" t="str">
        <f t="shared" si="83"/>
        <v/>
      </c>
      <c r="AU92" s="184"/>
      <c r="AV92" s="44" t="str">
        <f t="shared" si="84"/>
        <v/>
      </c>
      <c r="AW92" s="44" t="str">
        <f t="shared" si="85"/>
        <v/>
      </c>
      <c r="AX92" s="44" t="str">
        <f t="shared" si="86"/>
        <v/>
      </c>
      <c r="AY92" s="74" t="str" cm="1">
        <f t="array" ref="AY92">IF($AB92="","",IF((IFERROR(_xlfn.IFS($AT92="Devis 1",(IFERROR(VALUE(TRIM(SUBSTITUTE(AK92,CHAR(160),""))),0)),$AT92="Devis 2",(IFERROR(VALUE(TRIM(SUBSTITUTE(AN92,CHAR(160),""))),0)),$AT92="Devis 3",(IFERROR(VALUE(TRIM(SUBSTITUTE(AQ92,CHAR(160),""))),0))),0))*(IFERROR(VALUE(TRIM(SUBSTITUTE($AB92,CHAR(160),""))),0))=0,"",(IFERROR(_xlfn.IFS($AT92="Devis 1",(IFERROR(VALUE(TRIM(SUBSTITUTE(AK92,CHAR(160),""))),0)),$AT92="Devis 2",(IFERROR(VALUE(TRIM(SUBSTITUTE(AN92,CHAR(160),""))),0)),$AT92="Devis 3",(IFERROR(VALUE(TRIM(SUBSTITUTE(AQ92,CHAR(160),""))),0))),0))*(IFERROR(VALUE(TRIM(SUBSTITUTE($AB92,CHAR(160),""))),0))))</f>
        <v/>
      </c>
      <c r="AZ92" s="74" t="str" cm="1">
        <f t="array" ref="AZ92">IF($AB92="","",IF((IFERROR(_xlfn.IFS(TRIM(SUBSTITUTE($AT92,CHAR(160),""))="Devis 1", IFERROR(VALUE(TRIM(SUBSTITUTE(AL92,CHAR(160),""))),0),TRIM(SUBSTITUTE($AT92,CHAR(160),""))="Devis 2", IFERROR(VALUE(TRIM(SUBSTITUTE(AO92,CHAR(160),""))),0),TRIM(SUBSTITUTE($AT92,CHAR(160),""))="Devis 3", IFERROR(VALUE(TRIM(SUBSTITUTE(AR92,CHAR(160),""))),0)),0) * IFERROR(VALUE(TRIM(SUBSTITUTE($AB92,CHAR(160),""))),0)) = 0,IF(AY92&lt;&gt;"",0,""),(IFERROR(_xlfn.IFS(TRIM(SUBSTITUTE($AT92,CHAR(160),""))="Devis 1", IFERROR(VALUE(TRIM(SUBSTITUTE(AL92,CHAR(160),""))),0),TRIM(SUBSTITUTE($AT92,CHAR(160),""))="Devis 2", IFERROR(VALUE(TRIM(SUBSTITUTE(AO92,CHAR(160),""))),0),TRIM(SUBSTITUTE($AT92,CHAR(160),""))="Devis 3", IFERROR(VALUE(TRIM(SUBSTITUTE(AR92,CHAR(160),""))),0)),0) * IFERROR(VALUE(TRIM(SUBSTITUTE($AB92,CHAR(160),""))),0))))</f>
        <v/>
      </c>
      <c r="BA92" s="74" t="str" cm="1">
        <f t="array" ref="BA92">IF($AB92="","",IF(IFERROR(_xlfn.IFS($AT92="Devis 1",IFERROR(VALUE(TRIM(SUBSTITUTE(AM92,CHAR(160),""))),0),$AT92="Devis 2",IFERROR(VALUE(TRIM(SUBSTITUTE(AP92,CHAR(160),""))),0),$AT92="Devis 3",IFERROR(VALUE(TRIM(SUBSTITUTE(AS92,CHAR(160),""))),0)),0)*IFERROR(VALUE(TRIM(SUBSTITUTE($AB92,CHAR(160),""))),0)=0,"",IFERROR(_xlfn.IFS($AT92="Devis 1",IFERROR(VALUE(TRIM(SUBSTITUTE(AM92,CHAR(160),""))),0),$AT92="Devis 2",IFERROR(VALUE(TRIM(SUBSTITUTE(AP92,CHAR(160),""))),0),$AT92="Devis 3",IFERROR(VALUE(TRIM(SUBSTITUTE(AS92,CHAR(160),""))),0)),0)*IFERROR(VALUE(TRIM(SUBSTITUTE($AB92,CHAR(160),""))),0)))</f>
        <v/>
      </c>
      <c r="BB92" s="45"/>
      <c r="BC92" s="13" t="str" cm="1">
        <f t="array" ref="BC92">IF(OR(BA92="",AX92="",AY92="",AV92="",AZ92="",AW92=""),"",_xlfn.IFS((IFERROR(VALUE(TRIM(SUBSTITUTE(BA92,CHAR(160),""))),0))&gt;(IFERROR(VALUE(TRIM(SUBSTITUTE(AX92,CHAR(160),""))),0)),"KO : Le montant retenu TTC est supérieur au montant raisonnable TTC. Merci de revoir la ligne de dépense ou plafonner son montant.",(IFERROR(VALUE(TRIM(SUBSTITUTE(AY92,CHAR(160),""))),0))&gt;(IFERROR(VALUE(TRIM(SUBSTITUTE(AV92,CHAR(160),""))),0)),"Attention : Le montant retenu HT est supérieur au montant HT raisonnable. Merci de revoir la ligne de dépense, plafonner son montant, ou justifier la reventillation HT / TVA.",(IFERROR(VALUE(TRIM(SUBSTITUTE(AZ92,CHAR(160),""))),0))&gt;(IFERROR(VALUE(TRIM(SUBSTITUTE(AW92,CHAR(160),""))),0)),"Attention : Le montant TVA retenu est supérieur au montant TVA raisonnable. Merci de revoir la ligne de dépense, plafonner son montant, ou justifier la reventillation HT / TVA.",(IFERROR(VALUE(TRIM(SUBSTITUTE(BA92,CHAR(160),""))),0))=0,"",(IFERROR(VALUE(TRIM(SUBSTITUTE(AX92,CHAR(160),""))),0))=(IFERROR(VALUE(TRIM(SUBSTITUTE(BA92,CHAR(160),""))),0)),"OK",(IFERROR(VALUE(TRIM(SUBSTITUTE(AX92,CHAR(160),""))),0))&gt;(IFERROR(VALUE(TRIM(SUBSTITUTE(BA92,CHAR(160),""))),0))," OK : Montant instruit inférieur au montant raisonnable.",TRUE,""))</f>
        <v/>
      </c>
      <c r="BD92" s="187" t="str" cm="1">
        <f t="array" ref="BD92">IF(OR(BA92="",Y92="",AY92="",W92="",AZ92="",X92=""),"",_xlfn.IFS((IFERROR(VALUE(TRIM(SUBSTITUTE(BA92,CHAR(160),""))),0))&gt;(IFERROR(VALUE(TRIM(SUBSTITUTE(Y92,CHAR(160),""))),0)),"KO : Le montant retenu TTC est supérieur au montant présenté TTC. Merci de revoir la ligne de dépense ou plafonner son montant.",(IFERROR(VALUE(TRIM(SUBSTITUTE(AY92,CHAR(160),""))),0))&gt;(IFERROR(VALUE(TRIM(SUBSTITUTE(W92,CHAR(160),""))),0)),"Attention : Le montant retenu HT est supérieur au montant HT présenté. Merci de revoir la ligne de dépense,plafonner son montant,ou justifier la reventillation HT/TVA.",(IFERROR(VALUE(TRIM(SUBSTITUTE(AZ92,CHAR(160),""))),0))&gt;(IFERROR(VALUE(TRIM(SUBSTITUTE(X92,CHAR(160),""))),0)),"Attention : Le montant TVA retenu est supérieur au montant TVA présenté. Merci de revoir la ligne de dépense,plafonner son montant,ou justifier la reventillation HT/TVA.",(IFERROR(VALUE(TRIM(SUBSTITUTE(Y92,CHAR(160),""))),0))=0,"",(IFERROR(VALUE(TRIM(SUBSTITUTE(BA92,CHAR(160),""))),0))=(IFERROR(VALUE(TRIM(SUBSTITUTE(Y92,CHAR(160),""))),0)),"OK",
OR((IFERROR(VALUE(TRIM(SUBSTITUTE(BA92,CHAR(160),""))),0))=0,(IFERROR(VALUE(TRIM(SUBSTITUTE(AY92,CHAR(160),""))),0))=0),"Attention : montant présenté entièrement écarté",(IFERROR(VALUE(TRIM(SUBSTITUTE(BA92,CHAR(160),""))),0))&lt;(IFERROR(VALUE(TRIM(SUBSTITUTE(Y92,CHAR(160),""))),0)),"Attention : montant présenté partiellement écarté",TRUE,""))</f>
        <v/>
      </c>
      <c r="BE92" s="44" t="str">
        <f t="shared" si="87"/>
        <v/>
      </c>
      <c r="BF92" s="44" t="str">
        <f t="shared" si="88"/>
        <v/>
      </c>
      <c r="BG92" s="21" t="str">
        <f t="shared" si="89"/>
        <v/>
      </c>
    </row>
    <row r="93" spans="1:59" ht="15" customHeight="1">
      <c r="A93" s="70">
        <v>84</v>
      </c>
      <c r="B93" s="784"/>
      <c r="C93" s="7"/>
      <c r="D93" s="11"/>
      <c r="E93" s="11"/>
      <c r="F93" s="7"/>
      <c r="G93" s="7"/>
      <c r="H93" s="7"/>
      <c r="I93" s="7"/>
      <c r="J93" s="17"/>
      <c r="K93" s="7"/>
      <c r="L93" s="132"/>
      <c r="M93" s="138"/>
      <c r="N93" s="8"/>
      <c r="O93" s="35" t="str">
        <f t="shared" si="61"/>
        <v/>
      </c>
      <c r="P93" s="9"/>
      <c r="Q93" s="8"/>
      <c r="R93" s="35" t="str">
        <f t="shared" si="62"/>
        <v/>
      </c>
      <c r="S93" s="10"/>
      <c r="T93" s="8"/>
      <c r="U93" s="139" t="str">
        <f t="shared" si="63"/>
        <v/>
      </c>
      <c r="V93" s="147"/>
      <c r="W93" s="770" t="str" cm="1">
        <f t="array" ref="W93">IF((_xlfn.IFS(TRIM(SUBSTITUTE(V93,CHAR(160),""))="Devis 1",IFERROR(VALUE(TRIM(SUBSTITUTE(M93,CHAR(160),""))),0),TRIM(SUBSTITUTE(V93,CHAR(160),""))="Devis 2",IFERROR(VALUE(TRIM(SUBSTITUTE(P93,CHAR(160),""))),0),TRIM(SUBSTITUTE(V93,CHAR(160),""))="Devis 3",IFERROR(VALUE(TRIM(SUBSTITUTE(S93,CHAR(160),""))),0),TRUE,0)*IFERROR(VALUE(TRIM(SUBSTITUTE(D93,CHAR(160),""))),0))=0,"",_xlfn.IFS(TRIM(SUBSTITUTE(V93,CHAR(160),""))="Devis 1",IFERROR(VALUE(TRIM(SUBSTITUTE(M93,CHAR(160),""))),0),TRIM(SUBSTITUTE(V93,CHAR(160),""))="Devis 2",IFERROR(VALUE(TRIM(SUBSTITUTE(P93,CHAR(160),""))),0),TRIM(SUBSTITUTE(V93,CHAR(160),""))="Devis 3",IFERROR(VALUE(TRIM(SUBSTITUTE(S93,CHAR(160),""))),0),TRUE,0)*IFERROR(VALUE(TRIM(SUBSTITUTE(D93,CHAR(160),""))),0))</f>
        <v/>
      </c>
      <c r="X93" s="73" t="str" cm="1">
        <f t="array" ref="X93">IF(_xlfn.IFS(TRIM(SUBSTITUTE(V93,CHAR(160),""))="Devis 1",IFERROR(VALUE(TRIM(SUBSTITUTE(N93,CHAR(160),""))),0),TRIM(SUBSTITUTE(V93,CHAR(160),""))="Devis 2",IFERROR(VALUE(TRIM(SUBSTITUTE(Q93,CHAR(160),""))),0),TRIM(SUBSTITUTE(V93,CHAR(160),""))="Devis 3",IFERROR(VALUE(TRIM(SUBSTITUTE(T93,CHAR(160),""))),0),TRUE,0)*IFERROR(VALUE(TRIM(SUBSTITUTE(D93,CHAR(160),""))),0)=0,IF(W93&lt;&gt;"",0,""),_xlfn.IFS(TRIM(SUBSTITUTE(V93,CHAR(160),""))="Devis 1",IFERROR(VALUE(TRIM(SUBSTITUTE(N93,CHAR(160),""))),0),TRIM(SUBSTITUTE(V93,CHAR(160),""))="Devis 2",IFERROR(VALUE(TRIM(SUBSTITUTE(Q93,CHAR(160),""))),0),TRIM(SUBSTITUTE(V93,CHAR(160),""))="Devis 3",IFERROR(VALUE(TRIM(SUBSTITUTE(T93,CHAR(160),""))),0),TRUE,0)*IFERROR(VALUE(TRIM(SUBSTITUTE(D93,CHAR(160),""))),0))</f>
        <v/>
      </c>
      <c r="Y93" s="149" t="str">
        <f t="shared" si="64"/>
        <v/>
      </c>
      <c r="Z93" s="150"/>
      <c r="AA93" s="36" t="str">
        <f t="shared" si="65"/>
        <v/>
      </c>
      <c r="AB93" s="37" t="str">
        <f t="shared" si="66"/>
        <v/>
      </c>
      <c r="AC93" s="37" t="str">
        <f t="shared" si="90"/>
        <v/>
      </c>
      <c r="AD93" s="14" t="str">
        <f t="shared" si="67"/>
        <v/>
      </c>
      <c r="AE93" s="14" t="str">
        <f t="shared" si="68"/>
        <v/>
      </c>
      <c r="AF93" s="14" t="str">
        <f t="shared" si="69"/>
        <v/>
      </c>
      <c r="AG93" s="14" t="str">
        <f t="shared" si="70"/>
        <v/>
      </c>
      <c r="AH93" s="38" t="str">
        <f t="shared" si="71"/>
        <v/>
      </c>
      <c r="AI93" s="14" t="str">
        <f t="shared" si="72"/>
        <v/>
      </c>
      <c r="AJ93" s="39" t="str">
        <f t="shared" si="73"/>
        <v/>
      </c>
      <c r="AK93" s="40" t="str">
        <f t="shared" si="74"/>
        <v/>
      </c>
      <c r="AL93" s="20" t="str">
        <f t="shared" si="75"/>
        <v/>
      </c>
      <c r="AM93" s="35" t="str">
        <f t="shared" si="76"/>
        <v/>
      </c>
      <c r="AN93" s="41" t="str">
        <f t="shared" si="77"/>
        <v/>
      </c>
      <c r="AO93" s="20" t="str">
        <f t="shared" si="78"/>
        <v/>
      </c>
      <c r="AP93" s="35" t="str">
        <f t="shared" si="79"/>
        <v/>
      </c>
      <c r="AQ93" s="42" t="str">
        <f t="shared" si="80"/>
        <v/>
      </c>
      <c r="AR93" s="20" t="str">
        <f t="shared" si="81"/>
        <v/>
      </c>
      <c r="AS93" s="43" t="str">
        <f t="shared" si="82"/>
        <v/>
      </c>
      <c r="AT93" s="36" t="str">
        <f t="shared" si="83"/>
        <v/>
      </c>
      <c r="AU93" s="184"/>
      <c r="AV93" s="44" t="str">
        <f t="shared" si="84"/>
        <v/>
      </c>
      <c r="AW93" s="44" t="str">
        <f t="shared" si="85"/>
        <v/>
      </c>
      <c r="AX93" s="44" t="str">
        <f t="shared" si="86"/>
        <v/>
      </c>
      <c r="AY93" s="74" t="str" cm="1">
        <f t="array" ref="AY93">IF($AB93="","",IF((IFERROR(_xlfn.IFS($AT93="Devis 1",(IFERROR(VALUE(TRIM(SUBSTITUTE(AK93,CHAR(160),""))),0)),$AT93="Devis 2",(IFERROR(VALUE(TRIM(SUBSTITUTE(AN93,CHAR(160),""))),0)),$AT93="Devis 3",(IFERROR(VALUE(TRIM(SUBSTITUTE(AQ93,CHAR(160),""))),0))),0))*(IFERROR(VALUE(TRIM(SUBSTITUTE($AB93,CHAR(160),""))),0))=0,"",(IFERROR(_xlfn.IFS($AT93="Devis 1",(IFERROR(VALUE(TRIM(SUBSTITUTE(AK93,CHAR(160),""))),0)),$AT93="Devis 2",(IFERROR(VALUE(TRIM(SUBSTITUTE(AN93,CHAR(160),""))),0)),$AT93="Devis 3",(IFERROR(VALUE(TRIM(SUBSTITUTE(AQ93,CHAR(160),""))),0))),0))*(IFERROR(VALUE(TRIM(SUBSTITUTE($AB93,CHAR(160),""))),0))))</f>
        <v/>
      </c>
      <c r="AZ93" s="74" t="str" cm="1">
        <f t="array" ref="AZ93">IF($AB93="","",IF((IFERROR(_xlfn.IFS(TRIM(SUBSTITUTE($AT93,CHAR(160),""))="Devis 1", IFERROR(VALUE(TRIM(SUBSTITUTE(AL93,CHAR(160),""))),0),TRIM(SUBSTITUTE($AT93,CHAR(160),""))="Devis 2", IFERROR(VALUE(TRIM(SUBSTITUTE(AO93,CHAR(160),""))),0),TRIM(SUBSTITUTE($AT93,CHAR(160),""))="Devis 3", IFERROR(VALUE(TRIM(SUBSTITUTE(AR93,CHAR(160),""))),0)),0) * IFERROR(VALUE(TRIM(SUBSTITUTE($AB93,CHAR(160),""))),0)) = 0,IF(AY93&lt;&gt;"",0,""),(IFERROR(_xlfn.IFS(TRIM(SUBSTITUTE($AT93,CHAR(160),""))="Devis 1", IFERROR(VALUE(TRIM(SUBSTITUTE(AL93,CHAR(160),""))),0),TRIM(SUBSTITUTE($AT93,CHAR(160),""))="Devis 2", IFERROR(VALUE(TRIM(SUBSTITUTE(AO93,CHAR(160),""))),0),TRIM(SUBSTITUTE($AT93,CHAR(160),""))="Devis 3", IFERROR(VALUE(TRIM(SUBSTITUTE(AR93,CHAR(160),""))),0)),0) * IFERROR(VALUE(TRIM(SUBSTITUTE($AB93,CHAR(160),""))),0))))</f>
        <v/>
      </c>
      <c r="BA93" s="74" t="str" cm="1">
        <f t="array" ref="BA93">IF($AB93="","",IF(IFERROR(_xlfn.IFS($AT93="Devis 1",IFERROR(VALUE(TRIM(SUBSTITUTE(AM93,CHAR(160),""))),0),$AT93="Devis 2",IFERROR(VALUE(TRIM(SUBSTITUTE(AP93,CHAR(160),""))),0),$AT93="Devis 3",IFERROR(VALUE(TRIM(SUBSTITUTE(AS93,CHAR(160),""))),0)),0)*IFERROR(VALUE(TRIM(SUBSTITUTE($AB93,CHAR(160),""))),0)=0,"",IFERROR(_xlfn.IFS($AT93="Devis 1",IFERROR(VALUE(TRIM(SUBSTITUTE(AM93,CHAR(160),""))),0),$AT93="Devis 2",IFERROR(VALUE(TRIM(SUBSTITUTE(AP93,CHAR(160),""))),0),$AT93="Devis 3",IFERROR(VALUE(TRIM(SUBSTITUTE(AS93,CHAR(160),""))),0)),0)*IFERROR(VALUE(TRIM(SUBSTITUTE($AB93,CHAR(160),""))),0)))</f>
        <v/>
      </c>
      <c r="BB93" s="45"/>
      <c r="BC93" s="13" t="str" cm="1">
        <f t="array" ref="BC93">IF(OR(BA93="",AX93="",AY93="",AV93="",AZ93="",AW93=""),"",_xlfn.IFS((IFERROR(VALUE(TRIM(SUBSTITUTE(BA93,CHAR(160),""))),0))&gt;(IFERROR(VALUE(TRIM(SUBSTITUTE(AX93,CHAR(160),""))),0)),"KO : Le montant retenu TTC est supérieur au montant raisonnable TTC. Merci de revoir la ligne de dépense ou plafonner son montant.",(IFERROR(VALUE(TRIM(SUBSTITUTE(AY93,CHAR(160),""))),0))&gt;(IFERROR(VALUE(TRIM(SUBSTITUTE(AV93,CHAR(160),""))),0)),"Attention : Le montant retenu HT est supérieur au montant HT raisonnable. Merci de revoir la ligne de dépense, plafonner son montant, ou justifier la reventillation HT / TVA.",(IFERROR(VALUE(TRIM(SUBSTITUTE(AZ93,CHAR(160),""))),0))&gt;(IFERROR(VALUE(TRIM(SUBSTITUTE(AW93,CHAR(160),""))),0)),"Attention : Le montant TVA retenu est supérieur au montant TVA raisonnable. Merci de revoir la ligne de dépense, plafonner son montant, ou justifier la reventillation HT / TVA.",(IFERROR(VALUE(TRIM(SUBSTITUTE(BA93,CHAR(160),""))),0))=0,"",(IFERROR(VALUE(TRIM(SUBSTITUTE(AX93,CHAR(160),""))),0))=(IFERROR(VALUE(TRIM(SUBSTITUTE(BA93,CHAR(160),""))),0)),"OK",(IFERROR(VALUE(TRIM(SUBSTITUTE(AX93,CHAR(160),""))),0))&gt;(IFERROR(VALUE(TRIM(SUBSTITUTE(BA93,CHAR(160),""))),0))," OK : Montant instruit inférieur au montant raisonnable.",TRUE,""))</f>
        <v/>
      </c>
      <c r="BD93" s="187" t="str" cm="1">
        <f t="array" ref="BD93">IF(OR(BA93="",Y93="",AY93="",W93="",AZ93="",X93=""),"",_xlfn.IFS((IFERROR(VALUE(TRIM(SUBSTITUTE(BA93,CHAR(160),""))),0))&gt;(IFERROR(VALUE(TRIM(SUBSTITUTE(Y93,CHAR(160),""))),0)),"KO : Le montant retenu TTC est supérieur au montant présenté TTC. Merci de revoir la ligne de dépense ou plafonner son montant.",(IFERROR(VALUE(TRIM(SUBSTITUTE(AY93,CHAR(160),""))),0))&gt;(IFERROR(VALUE(TRIM(SUBSTITUTE(W93,CHAR(160),""))),0)),"Attention : Le montant retenu HT est supérieur au montant HT présenté. Merci de revoir la ligne de dépense,plafonner son montant,ou justifier la reventillation HT/TVA.",(IFERROR(VALUE(TRIM(SUBSTITUTE(AZ93,CHAR(160),""))),0))&gt;(IFERROR(VALUE(TRIM(SUBSTITUTE(X93,CHAR(160),""))),0)),"Attention : Le montant TVA retenu est supérieur au montant TVA présenté. Merci de revoir la ligne de dépense,plafonner son montant,ou justifier la reventillation HT/TVA.",(IFERROR(VALUE(TRIM(SUBSTITUTE(Y93,CHAR(160),""))),0))=0,"",(IFERROR(VALUE(TRIM(SUBSTITUTE(BA93,CHAR(160),""))),0))=(IFERROR(VALUE(TRIM(SUBSTITUTE(Y93,CHAR(160),""))),0)),"OK",
OR((IFERROR(VALUE(TRIM(SUBSTITUTE(BA93,CHAR(160),""))),0))=0,(IFERROR(VALUE(TRIM(SUBSTITUTE(AY93,CHAR(160),""))),0))=0),"Attention : montant présenté entièrement écarté",(IFERROR(VALUE(TRIM(SUBSTITUTE(BA93,CHAR(160),""))),0))&lt;(IFERROR(VALUE(TRIM(SUBSTITUTE(Y93,CHAR(160),""))),0)),"Attention : montant présenté partiellement écarté",TRUE,""))</f>
        <v/>
      </c>
      <c r="BE93" s="44" t="str">
        <f t="shared" si="87"/>
        <v/>
      </c>
      <c r="BF93" s="44" t="str">
        <f t="shared" si="88"/>
        <v/>
      </c>
      <c r="BG93" s="21" t="str">
        <f t="shared" si="89"/>
        <v/>
      </c>
    </row>
    <row r="94" spans="1:59" ht="15" customHeight="1">
      <c r="A94" s="70">
        <v>85</v>
      </c>
      <c r="B94" s="784"/>
      <c r="C94" s="7"/>
      <c r="D94" s="11"/>
      <c r="E94" s="11"/>
      <c r="F94" s="7"/>
      <c r="G94" s="7"/>
      <c r="H94" s="7"/>
      <c r="I94" s="7"/>
      <c r="J94" s="17"/>
      <c r="K94" s="7"/>
      <c r="L94" s="132"/>
      <c r="M94" s="138"/>
      <c r="N94" s="8"/>
      <c r="O94" s="35" t="str">
        <f t="shared" si="61"/>
        <v/>
      </c>
      <c r="P94" s="9"/>
      <c r="Q94" s="8"/>
      <c r="R94" s="35" t="str">
        <f t="shared" si="62"/>
        <v/>
      </c>
      <c r="S94" s="10"/>
      <c r="T94" s="8"/>
      <c r="U94" s="139" t="str">
        <f t="shared" si="63"/>
        <v/>
      </c>
      <c r="V94" s="147"/>
      <c r="W94" s="770" t="str" cm="1">
        <f t="array" ref="W94">IF((_xlfn.IFS(TRIM(SUBSTITUTE(V94,CHAR(160),""))="Devis 1",IFERROR(VALUE(TRIM(SUBSTITUTE(M94,CHAR(160),""))),0),TRIM(SUBSTITUTE(V94,CHAR(160),""))="Devis 2",IFERROR(VALUE(TRIM(SUBSTITUTE(P94,CHAR(160),""))),0),TRIM(SUBSTITUTE(V94,CHAR(160),""))="Devis 3",IFERROR(VALUE(TRIM(SUBSTITUTE(S94,CHAR(160),""))),0),TRUE,0)*IFERROR(VALUE(TRIM(SUBSTITUTE(D94,CHAR(160),""))),0))=0,"",_xlfn.IFS(TRIM(SUBSTITUTE(V94,CHAR(160),""))="Devis 1",IFERROR(VALUE(TRIM(SUBSTITUTE(M94,CHAR(160),""))),0),TRIM(SUBSTITUTE(V94,CHAR(160),""))="Devis 2",IFERROR(VALUE(TRIM(SUBSTITUTE(P94,CHAR(160),""))),0),TRIM(SUBSTITUTE(V94,CHAR(160),""))="Devis 3",IFERROR(VALUE(TRIM(SUBSTITUTE(S94,CHAR(160),""))),0),TRUE,0)*IFERROR(VALUE(TRIM(SUBSTITUTE(D94,CHAR(160),""))),0))</f>
        <v/>
      </c>
      <c r="X94" s="73" t="str" cm="1">
        <f t="array" ref="X94">IF(_xlfn.IFS(TRIM(SUBSTITUTE(V94,CHAR(160),""))="Devis 1",IFERROR(VALUE(TRIM(SUBSTITUTE(N94,CHAR(160),""))),0),TRIM(SUBSTITUTE(V94,CHAR(160),""))="Devis 2",IFERROR(VALUE(TRIM(SUBSTITUTE(Q94,CHAR(160),""))),0),TRIM(SUBSTITUTE(V94,CHAR(160),""))="Devis 3",IFERROR(VALUE(TRIM(SUBSTITUTE(T94,CHAR(160),""))),0),TRUE,0)*IFERROR(VALUE(TRIM(SUBSTITUTE(D94,CHAR(160),""))),0)=0,IF(W94&lt;&gt;"",0,""),_xlfn.IFS(TRIM(SUBSTITUTE(V94,CHAR(160),""))="Devis 1",IFERROR(VALUE(TRIM(SUBSTITUTE(N94,CHAR(160),""))),0),TRIM(SUBSTITUTE(V94,CHAR(160),""))="Devis 2",IFERROR(VALUE(TRIM(SUBSTITUTE(Q94,CHAR(160),""))),0),TRIM(SUBSTITUTE(V94,CHAR(160),""))="Devis 3",IFERROR(VALUE(TRIM(SUBSTITUTE(T94,CHAR(160),""))),0),TRUE,0)*IFERROR(VALUE(TRIM(SUBSTITUTE(D94,CHAR(160),""))),0))</f>
        <v/>
      </c>
      <c r="Y94" s="149" t="str">
        <f t="shared" si="64"/>
        <v/>
      </c>
      <c r="Z94" s="150"/>
      <c r="AA94" s="36" t="str">
        <f t="shared" si="65"/>
        <v/>
      </c>
      <c r="AB94" s="37" t="str">
        <f t="shared" si="66"/>
        <v/>
      </c>
      <c r="AC94" s="37" t="str">
        <f t="shared" si="90"/>
        <v/>
      </c>
      <c r="AD94" s="14" t="str">
        <f t="shared" si="67"/>
        <v/>
      </c>
      <c r="AE94" s="14" t="str">
        <f t="shared" si="68"/>
        <v/>
      </c>
      <c r="AF94" s="14" t="str">
        <f t="shared" si="69"/>
        <v/>
      </c>
      <c r="AG94" s="14" t="str">
        <f t="shared" si="70"/>
        <v/>
      </c>
      <c r="AH94" s="38" t="str">
        <f t="shared" si="71"/>
        <v/>
      </c>
      <c r="AI94" s="14" t="str">
        <f t="shared" si="72"/>
        <v/>
      </c>
      <c r="AJ94" s="39" t="str">
        <f t="shared" si="73"/>
        <v/>
      </c>
      <c r="AK94" s="40" t="str">
        <f t="shared" si="74"/>
        <v/>
      </c>
      <c r="AL94" s="20" t="str">
        <f t="shared" si="75"/>
        <v/>
      </c>
      <c r="AM94" s="35" t="str">
        <f t="shared" si="76"/>
        <v/>
      </c>
      <c r="AN94" s="41" t="str">
        <f t="shared" si="77"/>
        <v/>
      </c>
      <c r="AO94" s="20" t="str">
        <f t="shared" si="78"/>
        <v/>
      </c>
      <c r="AP94" s="35" t="str">
        <f t="shared" si="79"/>
        <v/>
      </c>
      <c r="AQ94" s="42" t="str">
        <f t="shared" si="80"/>
        <v/>
      </c>
      <c r="AR94" s="20" t="str">
        <f t="shared" si="81"/>
        <v/>
      </c>
      <c r="AS94" s="43" t="str">
        <f t="shared" si="82"/>
        <v/>
      </c>
      <c r="AT94" s="36" t="str">
        <f t="shared" si="83"/>
        <v/>
      </c>
      <c r="AU94" s="184"/>
      <c r="AV94" s="44" t="str">
        <f t="shared" si="84"/>
        <v/>
      </c>
      <c r="AW94" s="44" t="str">
        <f t="shared" si="85"/>
        <v/>
      </c>
      <c r="AX94" s="44" t="str">
        <f t="shared" si="86"/>
        <v/>
      </c>
      <c r="AY94" s="74" t="str" cm="1">
        <f t="array" ref="AY94">IF($AB94="","",IF((IFERROR(_xlfn.IFS($AT94="Devis 1",(IFERROR(VALUE(TRIM(SUBSTITUTE(AK94,CHAR(160),""))),0)),$AT94="Devis 2",(IFERROR(VALUE(TRIM(SUBSTITUTE(AN94,CHAR(160),""))),0)),$AT94="Devis 3",(IFERROR(VALUE(TRIM(SUBSTITUTE(AQ94,CHAR(160),""))),0))),0))*(IFERROR(VALUE(TRIM(SUBSTITUTE($AB94,CHAR(160),""))),0))=0,"",(IFERROR(_xlfn.IFS($AT94="Devis 1",(IFERROR(VALUE(TRIM(SUBSTITUTE(AK94,CHAR(160),""))),0)),$AT94="Devis 2",(IFERROR(VALUE(TRIM(SUBSTITUTE(AN94,CHAR(160),""))),0)),$AT94="Devis 3",(IFERROR(VALUE(TRIM(SUBSTITUTE(AQ94,CHAR(160),""))),0))),0))*(IFERROR(VALUE(TRIM(SUBSTITUTE($AB94,CHAR(160),""))),0))))</f>
        <v/>
      </c>
      <c r="AZ94" s="74" t="str" cm="1">
        <f t="array" ref="AZ94">IF($AB94="","",IF((IFERROR(_xlfn.IFS(TRIM(SUBSTITUTE($AT94,CHAR(160),""))="Devis 1", IFERROR(VALUE(TRIM(SUBSTITUTE(AL94,CHAR(160),""))),0),TRIM(SUBSTITUTE($AT94,CHAR(160),""))="Devis 2", IFERROR(VALUE(TRIM(SUBSTITUTE(AO94,CHAR(160),""))),0),TRIM(SUBSTITUTE($AT94,CHAR(160),""))="Devis 3", IFERROR(VALUE(TRIM(SUBSTITUTE(AR94,CHAR(160),""))),0)),0) * IFERROR(VALUE(TRIM(SUBSTITUTE($AB94,CHAR(160),""))),0)) = 0,IF(AY94&lt;&gt;"",0,""),(IFERROR(_xlfn.IFS(TRIM(SUBSTITUTE($AT94,CHAR(160),""))="Devis 1", IFERROR(VALUE(TRIM(SUBSTITUTE(AL94,CHAR(160),""))),0),TRIM(SUBSTITUTE($AT94,CHAR(160),""))="Devis 2", IFERROR(VALUE(TRIM(SUBSTITUTE(AO94,CHAR(160),""))),0),TRIM(SUBSTITUTE($AT94,CHAR(160),""))="Devis 3", IFERROR(VALUE(TRIM(SUBSTITUTE(AR94,CHAR(160),""))),0)),0) * IFERROR(VALUE(TRIM(SUBSTITUTE($AB94,CHAR(160),""))),0))))</f>
        <v/>
      </c>
      <c r="BA94" s="74" t="str" cm="1">
        <f t="array" ref="BA94">IF($AB94="","",IF(IFERROR(_xlfn.IFS($AT94="Devis 1",IFERROR(VALUE(TRIM(SUBSTITUTE(AM94,CHAR(160),""))),0),$AT94="Devis 2",IFERROR(VALUE(TRIM(SUBSTITUTE(AP94,CHAR(160),""))),0),$AT94="Devis 3",IFERROR(VALUE(TRIM(SUBSTITUTE(AS94,CHAR(160),""))),0)),0)*IFERROR(VALUE(TRIM(SUBSTITUTE($AB94,CHAR(160),""))),0)=0,"",IFERROR(_xlfn.IFS($AT94="Devis 1",IFERROR(VALUE(TRIM(SUBSTITUTE(AM94,CHAR(160),""))),0),$AT94="Devis 2",IFERROR(VALUE(TRIM(SUBSTITUTE(AP94,CHAR(160),""))),0),$AT94="Devis 3",IFERROR(VALUE(TRIM(SUBSTITUTE(AS94,CHAR(160),""))),0)),0)*IFERROR(VALUE(TRIM(SUBSTITUTE($AB94,CHAR(160),""))),0)))</f>
        <v/>
      </c>
      <c r="BB94" s="45"/>
      <c r="BC94" s="13" t="str" cm="1">
        <f t="array" ref="BC94">IF(OR(BA94="",AX94="",AY94="",AV94="",AZ94="",AW94=""),"",_xlfn.IFS((IFERROR(VALUE(TRIM(SUBSTITUTE(BA94,CHAR(160),""))),0))&gt;(IFERROR(VALUE(TRIM(SUBSTITUTE(AX94,CHAR(160),""))),0)),"KO : Le montant retenu TTC est supérieur au montant raisonnable TTC. Merci de revoir la ligne de dépense ou plafonner son montant.",(IFERROR(VALUE(TRIM(SUBSTITUTE(AY94,CHAR(160),""))),0))&gt;(IFERROR(VALUE(TRIM(SUBSTITUTE(AV94,CHAR(160),""))),0)),"Attention : Le montant retenu HT est supérieur au montant HT raisonnable. Merci de revoir la ligne de dépense, plafonner son montant, ou justifier la reventillation HT / TVA.",(IFERROR(VALUE(TRIM(SUBSTITUTE(AZ94,CHAR(160),""))),0))&gt;(IFERROR(VALUE(TRIM(SUBSTITUTE(AW94,CHAR(160),""))),0)),"Attention : Le montant TVA retenu est supérieur au montant TVA raisonnable. Merci de revoir la ligne de dépense, plafonner son montant, ou justifier la reventillation HT / TVA.",(IFERROR(VALUE(TRIM(SUBSTITUTE(BA94,CHAR(160),""))),0))=0,"",(IFERROR(VALUE(TRIM(SUBSTITUTE(AX94,CHAR(160),""))),0))=(IFERROR(VALUE(TRIM(SUBSTITUTE(BA94,CHAR(160),""))),0)),"OK",(IFERROR(VALUE(TRIM(SUBSTITUTE(AX94,CHAR(160),""))),0))&gt;(IFERROR(VALUE(TRIM(SUBSTITUTE(BA94,CHAR(160),""))),0))," OK : Montant instruit inférieur au montant raisonnable.",TRUE,""))</f>
        <v/>
      </c>
      <c r="BD94" s="187" t="str" cm="1">
        <f t="array" ref="BD94">IF(OR(BA94="",Y94="",AY94="",W94="",AZ94="",X94=""),"",_xlfn.IFS((IFERROR(VALUE(TRIM(SUBSTITUTE(BA94,CHAR(160),""))),0))&gt;(IFERROR(VALUE(TRIM(SUBSTITUTE(Y94,CHAR(160),""))),0)),"KO : Le montant retenu TTC est supérieur au montant présenté TTC. Merci de revoir la ligne de dépense ou plafonner son montant.",(IFERROR(VALUE(TRIM(SUBSTITUTE(AY94,CHAR(160),""))),0))&gt;(IFERROR(VALUE(TRIM(SUBSTITUTE(W94,CHAR(160),""))),0)),"Attention : Le montant retenu HT est supérieur au montant HT présenté. Merci de revoir la ligne de dépense,plafonner son montant,ou justifier la reventillation HT/TVA.",(IFERROR(VALUE(TRIM(SUBSTITUTE(AZ94,CHAR(160),""))),0))&gt;(IFERROR(VALUE(TRIM(SUBSTITUTE(X94,CHAR(160),""))),0)),"Attention : Le montant TVA retenu est supérieur au montant TVA présenté. Merci de revoir la ligne de dépense,plafonner son montant,ou justifier la reventillation HT/TVA.",(IFERROR(VALUE(TRIM(SUBSTITUTE(Y94,CHAR(160),""))),0))=0,"",(IFERROR(VALUE(TRIM(SUBSTITUTE(BA94,CHAR(160),""))),0))=(IFERROR(VALUE(TRIM(SUBSTITUTE(Y94,CHAR(160),""))),0)),"OK",
OR((IFERROR(VALUE(TRIM(SUBSTITUTE(BA94,CHAR(160),""))),0))=0,(IFERROR(VALUE(TRIM(SUBSTITUTE(AY94,CHAR(160),""))),0))=0),"Attention : montant présenté entièrement écarté",(IFERROR(VALUE(TRIM(SUBSTITUTE(BA94,CHAR(160),""))),0))&lt;(IFERROR(VALUE(TRIM(SUBSTITUTE(Y94,CHAR(160),""))),0)),"Attention : montant présenté partiellement écarté",TRUE,""))</f>
        <v/>
      </c>
      <c r="BE94" s="44" t="str">
        <f t="shared" si="87"/>
        <v/>
      </c>
      <c r="BF94" s="44" t="str">
        <f t="shared" si="88"/>
        <v/>
      </c>
      <c r="BG94" s="21" t="str">
        <f t="shared" si="89"/>
        <v/>
      </c>
    </row>
    <row r="95" spans="1:59" ht="15" customHeight="1">
      <c r="A95" s="70">
        <v>86</v>
      </c>
      <c r="B95" s="784"/>
      <c r="C95" s="7"/>
      <c r="D95" s="11"/>
      <c r="E95" s="11"/>
      <c r="F95" s="7"/>
      <c r="G95" s="7"/>
      <c r="H95" s="7"/>
      <c r="I95" s="7"/>
      <c r="J95" s="17"/>
      <c r="K95" s="7"/>
      <c r="L95" s="132"/>
      <c r="M95" s="138"/>
      <c r="N95" s="8"/>
      <c r="O95" s="35" t="str">
        <f t="shared" si="61"/>
        <v/>
      </c>
      <c r="P95" s="9"/>
      <c r="Q95" s="8"/>
      <c r="R95" s="35" t="str">
        <f t="shared" si="62"/>
        <v/>
      </c>
      <c r="S95" s="10"/>
      <c r="T95" s="8"/>
      <c r="U95" s="139" t="str">
        <f t="shared" si="63"/>
        <v/>
      </c>
      <c r="V95" s="147"/>
      <c r="W95" s="770" t="str" cm="1">
        <f t="array" ref="W95">IF((_xlfn.IFS(TRIM(SUBSTITUTE(V95,CHAR(160),""))="Devis 1",IFERROR(VALUE(TRIM(SUBSTITUTE(M95,CHAR(160),""))),0),TRIM(SUBSTITUTE(V95,CHAR(160),""))="Devis 2",IFERROR(VALUE(TRIM(SUBSTITUTE(P95,CHAR(160),""))),0),TRIM(SUBSTITUTE(V95,CHAR(160),""))="Devis 3",IFERROR(VALUE(TRIM(SUBSTITUTE(S95,CHAR(160),""))),0),TRUE,0)*IFERROR(VALUE(TRIM(SUBSTITUTE(D95,CHAR(160),""))),0))=0,"",_xlfn.IFS(TRIM(SUBSTITUTE(V95,CHAR(160),""))="Devis 1",IFERROR(VALUE(TRIM(SUBSTITUTE(M95,CHAR(160),""))),0),TRIM(SUBSTITUTE(V95,CHAR(160),""))="Devis 2",IFERROR(VALUE(TRIM(SUBSTITUTE(P95,CHAR(160),""))),0),TRIM(SUBSTITUTE(V95,CHAR(160),""))="Devis 3",IFERROR(VALUE(TRIM(SUBSTITUTE(S95,CHAR(160),""))),0),TRUE,0)*IFERROR(VALUE(TRIM(SUBSTITUTE(D95,CHAR(160),""))),0))</f>
        <v/>
      </c>
      <c r="X95" s="73" t="str" cm="1">
        <f t="array" ref="X95">IF(_xlfn.IFS(TRIM(SUBSTITUTE(V95,CHAR(160),""))="Devis 1",IFERROR(VALUE(TRIM(SUBSTITUTE(N95,CHAR(160),""))),0),TRIM(SUBSTITUTE(V95,CHAR(160),""))="Devis 2",IFERROR(VALUE(TRIM(SUBSTITUTE(Q95,CHAR(160),""))),0),TRIM(SUBSTITUTE(V95,CHAR(160),""))="Devis 3",IFERROR(VALUE(TRIM(SUBSTITUTE(T95,CHAR(160),""))),0),TRUE,0)*IFERROR(VALUE(TRIM(SUBSTITUTE(D95,CHAR(160),""))),0)=0,IF(W95&lt;&gt;"",0,""),_xlfn.IFS(TRIM(SUBSTITUTE(V95,CHAR(160),""))="Devis 1",IFERROR(VALUE(TRIM(SUBSTITUTE(N95,CHAR(160),""))),0),TRIM(SUBSTITUTE(V95,CHAR(160),""))="Devis 2",IFERROR(VALUE(TRIM(SUBSTITUTE(Q95,CHAR(160),""))),0),TRIM(SUBSTITUTE(V95,CHAR(160),""))="Devis 3",IFERROR(VALUE(TRIM(SUBSTITUTE(T95,CHAR(160),""))),0),TRUE,0)*IFERROR(VALUE(TRIM(SUBSTITUTE(D95,CHAR(160),""))),0))</f>
        <v/>
      </c>
      <c r="Y95" s="149" t="str">
        <f t="shared" si="64"/>
        <v/>
      </c>
      <c r="Z95" s="150"/>
      <c r="AA95" s="36" t="str">
        <f t="shared" si="65"/>
        <v/>
      </c>
      <c r="AB95" s="37" t="str">
        <f t="shared" si="66"/>
        <v/>
      </c>
      <c r="AC95" s="37" t="str">
        <f t="shared" si="90"/>
        <v/>
      </c>
      <c r="AD95" s="14" t="str">
        <f t="shared" si="67"/>
        <v/>
      </c>
      <c r="AE95" s="14" t="str">
        <f t="shared" si="68"/>
        <v/>
      </c>
      <c r="AF95" s="14" t="str">
        <f t="shared" si="69"/>
        <v/>
      </c>
      <c r="AG95" s="14" t="str">
        <f t="shared" si="70"/>
        <v/>
      </c>
      <c r="AH95" s="38" t="str">
        <f t="shared" si="71"/>
        <v/>
      </c>
      <c r="AI95" s="14" t="str">
        <f t="shared" si="72"/>
        <v/>
      </c>
      <c r="AJ95" s="39" t="str">
        <f t="shared" si="73"/>
        <v/>
      </c>
      <c r="AK95" s="40" t="str">
        <f t="shared" si="74"/>
        <v/>
      </c>
      <c r="AL95" s="20" t="str">
        <f t="shared" si="75"/>
        <v/>
      </c>
      <c r="AM95" s="35" t="str">
        <f t="shared" si="76"/>
        <v/>
      </c>
      <c r="AN95" s="41" t="str">
        <f t="shared" si="77"/>
        <v/>
      </c>
      <c r="AO95" s="20" t="str">
        <f t="shared" si="78"/>
        <v/>
      </c>
      <c r="AP95" s="35" t="str">
        <f t="shared" si="79"/>
        <v/>
      </c>
      <c r="AQ95" s="42" t="str">
        <f t="shared" si="80"/>
        <v/>
      </c>
      <c r="AR95" s="20" t="str">
        <f t="shared" si="81"/>
        <v/>
      </c>
      <c r="AS95" s="43" t="str">
        <f t="shared" si="82"/>
        <v/>
      </c>
      <c r="AT95" s="36" t="str">
        <f t="shared" si="83"/>
        <v/>
      </c>
      <c r="AU95" s="184"/>
      <c r="AV95" s="44" t="str">
        <f t="shared" si="84"/>
        <v/>
      </c>
      <c r="AW95" s="44" t="str">
        <f t="shared" si="85"/>
        <v/>
      </c>
      <c r="AX95" s="44" t="str">
        <f t="shared" si="86"/>
        <v/>
      </c>
      <c r="AY95" s="74" t="str" cm="1">
        <f t="array" ref="AY95">IF($AB95="","",IF((IFERROR(_xlfn.IFS($AT95="Devis 1",(IFERROR(VALUE(TRIM(SUBSTITUTE(AK95,CHAR(160),""))),0)),$AT95="Devis 2",(IFERROR(VALUE(TRIM(SUBSTITUTE(AN95,CHAR(160),""))),0)),$AT95="Devis 3",(IFERROR(VALUE(TRIM(SUBSTITUTE(AQ95,CHAR(160),""))),0))),0))*(IFERROR(VALUE(TRIM(SUBSTITUTE($AB95,CHAR(160),""))),0))=0,"",(IFERROR(_xlfn.IFS($AT95="Devis 1",(IFERROR(VALUE(TRIM(SUBSTITUTE(AK95,CHAR(160),""))),0)),$AT95="Devis 2",(IFERROR(VALUE(TRIM(SUBSTITUTE(AN95,CHAR(160),""))),0)),$AT95="Devis 3",(IFERROR(VALUE(TRIM(SUBSTITUTE(AQ95,CHAR(160),""))),0))),0))*(IFERROR(VALUE(TRIM(SUBSTITUTE($AB95,CHAR(160),""))),0))))</f>
        <v/>
      </c>
      <c r="AZ95" s="74" t="str" cm="1">
        <f t="array" ref="AZ95">IF($AB95="","",IF((IFERROR(_xlfn.IFS(TRIM(SUBSTITUTE($AT95,CHAR(160),""))="Devis 1", IFERROR(VALUE(TRIM(SUBSTITUTE(AL95,CHAR(160),""))),0),TRIM(SUBSTITUTE($AT95,CHAR(160),""))="Devis 2", IFERROR(VALUE(TRIM(SUBSTITUTE(AO95,CHAR(160),""))),0),TRIM(SUBSTITUTE($AT95,CHAR(160),""))="Devis 3", IFERROR(VALUE(TRIM(SUBSTITUTE(AR95,CHAR(160),""))),0)),0) * IFERROR(VALUE(TRIM(SUBSTITUTE($AB95,CHAR(160),""))),0)) = 0,IF(AY95&lt;&gt;"",0,""),(IFERROR(_xlfn.IFS(TRIM(SUBSTITUTE($AT95,CHAR(160),""))="Devis 1", IFERROR(VALUE(TRIM(SUBSTITUTE(AL95,CHAR(160),""))),0),TRIM(SUBSTITUTE($AT95,CHAR(160),""))="Devis 2", IFERROR(VALUE(TRIM(SUBSTITUTE(AO95,CHAR(160),""))),0),TRIM(SUBSTITUTE($AT95,CHAR(160),""))="Devis 3", IFERROR(VALUE(TRIM(SUBSTITUTE(AR95,CHAR(160),""))),0)),0) * IFERROR(VALUE(TRIM(SUBSTITUTE($AB95,CHAR(160),""))),0))))</f>
        <v/>
      </c>
      <c r="BA95" s="74" t="str" cm="1">
        <f t="array" ref="BA95">IF($AB95="","",IF(IFERROR(_xlfn.IFS($AT95="Devis 1",IFERROR(VALUE(TRIM(SUBSTITUTE(AM95,CHAR(160),""))),0),$AT95="Devis 2",IFERROR(VALUE(TRIM(SUBSTITUTE(AP95,CHAR(160),""))),0),$AT95="Devis 3",IFERROR(VALUE(TRIM(SUBSTITUTE(AS95,CHAR(160),""))),0)),0)*IFERROR(VALUE(TRIM(SUBSTITUTE($AB95,CHAR(160),""))),0)=0,"",IFERROR(_xlfn.IFS($AT95="Devis 1",IFERROR(VALUE(TRIM(SUBSTITUTE(AM95,CHAR(160),""))),0),$AT95="Devis 2",IFERROR(VALUE(TRIM(SUBSTITUTE(AP95,CHAR(160),""))),0),$AT95="Devis 3",IFERROR(VALUE(TRIM(SUBSTITUTE(AS95,CHAR(160),""))),0)),0)*IFERROR(VALUE(TRIM(SUBSTITUTE($AB95,CHAR(160),""))),0)))</f>
        <v/>
      </c>
      <c r="BB95" s="45"/>
      <c r="BC95" s="13" t="str" cm="1">
        <f t="array" ref="BC95">IF(OR(BA95="",AX95="",AY95="",AV95="",AZ95="",AW95=""),"",_xlfn.IFS((IFERROR(VALUE(TRIM(SUBSTITUTE(BA95,CHAR(160),""))),0))&gt;(IFERROR(VALUE(TRIM(SUBSTITUTE(AX95,CHAR(160),""))),0)),"KO : Le montant retenu TTC est supérieur au montant raisonnable TTC. Merci de revoir la ligne de dépense ou plafonner son montant.",(IFERROR(VALUE(TRIM(SUBSTITUTE(AY95,CHAR(160),""))),0))&gt;(IFERROR(VALUE(TRIM(SUBSTITUTE(AV95,CHAR(160),""))),0)),"Attention : Le montant retenu HT est supérieur au montant HT raisonnable. Merci de revoir la ligne de dépense, plafonner son montant, ou justifier la reventillation HT / TVA.",(IFERROR(VALUE(TRIM(SUBSTITUTE(AZ95,CHAR(160),""))),0))&gt;(IFERROR(VALUE(TRIM(SUBSTITUTE(AW95,CHAR(160),""))),0)),"Attention : Le montant TVA retenu est supérieur au montant TVA raisonnable. Merci de revoir la ligne de dépense, plafonner son montant, ou justifier la reventillation HT / TVA.",(IFERROR(VALUE(TRIM(SUBSTITUTE(BA95,CHAR(160),""))),0))=0,"",(IFERROR(VALUE(TRIM(SUBSTITUTE(AX95,CHAR(160),""))),0))=(IFERROR(VALUE(TRIM(SUBSTITUTE(BA95,CHAR(160),""))),0)),"OK",(IFERROR(VALUE(TRIM(SUBSTITUTE(AX95,CHAR(160),""))),0))&gt;(IFERROR(VALUE(TRIM(SUBSTITUTE(BA95,CHAR(160),""))),0))," OK : Montant instruit inférieur au montant raisonnable.",TRUE,""))</f>
        <v/>
      </c>
      <c r="BD95" s="187" t="str" cm="1">
        <f t="array" ref="BD95">IF(OR(BA95="",Y95="",AY95="",W95="",AZ95="",X95=""),"",_xlfn.IFS((IFERROR(VALUE(TRIM(SUBSTITUTE(BA95,CHAR(160),""))),0))&gt;(IFERROR(VALUE(TRIM(SUBSTITUTE(Y95,CHAR(160),""))),0)),"KO : Le montant retenu TTC est supérieur au montant présenté TTC. Merci de revoir la ligne de dépense ou plafonner son montant.",(IFERROR(VALUE(TRIM(SUBSTITUTE(AY95,CHAR(160),""))),0))&gt;(IFERROR(VALUE(TRIM(SUBSTITUTE(W95,CHAR(160),""))),0)),"Attention : Le montant retenu HT est supérieur au montant HT présenté. Merci de revoir la ligne de dépense,plafonner son montant,ou justifier la reventillation HT/TVA.",(IFERROR(VALUE(TRIM(SUBSTITUTE(AZ95,CHAR(160),""))),0))&gt;(IFERROR(VALUE(TRIM(SUBSTITUTE(X95,CHAR(160),""))),0)),"Attention : Le montant TVA retenu est supérieur au montant TVA présenté. Merci de revoir la ligne de dépense,plafonner son montant,ou justifier la reventillation HT/TVA.",(IFERROR(VALUE(TRIM(SUBSTITUTE(Y95,CHAR(160),""))),0))=0,"",(IFERROR(VALUE(TRIM(SUBSTITUTE(BA95,CHAR(160),""))),0))=(IFERROR(VALUE(TRIM(SUBSTITUTE(Y95,CHAR(160),""))),0)),"OK",
OR((IFERROR(VALUE(TRIM(SUBSTITUTE(BA95,CHAR(160),""))),0))=0,(IFERROR(VALUE(TRIM(SUBSTITUTE(AY95,CHAR(160),""))),0))=0),"Attention : montant présenté entièrement écarté",(IFERROR(VALUE(TRIM(SUBSTITUTE(BA95,CHAR(160),""))),0))&lt;(IFERROR(VALUE(TRIM(SUBSTITUTE(Y95,CHAR(160),""))),0)),"Attention : montant présenté partiellement écarté",TRUE,""))</f>
        <v/>
      </c>
      <c r="BE95" s="44" t="str">
        <f t="shared" si="87"/>
        <v/>
      </c>
      <c r="BF95" s="44" t="str">
        <f t="shared" si="88"/>
        <v/>
      </c>
      <c r="BG95" s="21" t="str">
        <f t="shared" si="89"/>
        <v/>
      </c>
    </row>
    <row r="96" spans="1:59" ht="15" customHeight="1">
      <c r="A96" s="70">
        <v>87</v>
      </c>
      <c r="B96" s="784"/>
      <c r="C96" s="7"/>
      <c r="D96" s="11"/>
      <c r="E96" s="11"/>
      <c r="F96" s="7"/>
      <c r="G96" s="7"/>
      <c r="H96" s="7"/>
      <c r="I96" s="7"/>
      <c r="J96" s="17"/>
      <c r="K96" s="7"/>
      <c r="L96" s="132"/>
      <c r="M96" s="138"/>
      <c r="N96" s="8"/>
      <c r="O96" s="35" t="str">
        <f t="shared" si="61"/>
        <v/>
      </c>
      <c r="P96" s="9"/>
      <c r="Q96" s="8"/>
      <c r="R96" s="35" t="str">
        <f t="shared" si="62"/>
        <v/>
      </c>
      <c r="S96" s="10"/>
      <c r="T96" s="8"/>
      <c r="U96" s="139" t="str">
        <f t="shared" si="63"/>
        <v/>
      </c>
      <c r="V96" s="147"/>
      <c r="W96" s="770" t="str" cm="1">
        <f t="array" ref="W96">IF((_xlfn.IFS(TRIM(SUBSTITUTE(V96,CHAR(160),""))="Devis 1",IFERROR(VALUE(TRIM(SUBSTITUTE(M96,CHAR(160),""))),0),TRIM(SUBSTITUTE(V96,CHAR(160),""))="Devis 2",IFERROR(VALUE(TRIM(SUBSTITUTE(P96,CHAR(160),""))),0),TRIM(SUBSTITUTE(V96,CHAR(160),""))="Devis 3",IFERROR(VALUE(TRIM(SUBSTITUTE(S96,CHAR(160),""))),0),TRUE,0)*IFERROR(VALUE(TRIM(SUBSTITUTE(D96,CHAR(160),""))),0))=0,"",_xlfn.IFS(TRIM(SUBSTITUTE(V96,CHAR(160),""))="Devis 1",IFERROR(VALUE(TRIM(SUBSTITUTE(M96,CHAR(160),""))),0),TRIM(SUBSTITUTE(V96,CHAR(160),""))="Devis 2",IFERROR(VALUE(TRIM(SUBSTITUTE(P96,CHAR(160),""))),0),TRIM(SUBSTITUTE(V96,CHAR(160),""))="Devis 3",IFERROR(VALUE(TRIM(SUBSTITUTE(S96,CHAR(160),""))),0),TRUE,0)*IFERROR(VALUE(TRIM(SUBSTITUTE(D96,CHAR(160),""))),0))</f>
        <v/>
      </c>
      <c r="X96" s="73" t="str" cm="1">
        <f t="array" ref="X96">IF(_xlfn.IFS(TRIM(SUBSTITUTE(V96,CHAR(160),""))="Devis 1",IFERROR(VALUE(TRIM(SUBSTITUTE(N96,CHAR(160),""))),0),TRIM(SUBSTITUTE(V96,CHAR(160),""))="Devis 2",IFERROR(VALUE(TRIM(SUBSTITUTE(Q96,CHAR(160),""))),0),TRIM(SUBSTITUTE(V96,CHAR(160),""))="Devis 3",IFERROR(VALUE(TRIM(SUBSTITUTE(T96,CHAR(160),""))),0),TRUE,0)*IFERROR(VALUE(TRIM(SUBSTITUTE(D96,CHAR(160),""))),0)=0,IF(W96&lt;&gt;"",0,""),_xlfn.IFS(TRIM(SUBSTITUTE(V96,CHAR(160),""))="Devis 1",IFERROR(VALUE(TRIM(SUBSTITUTE(N96,CHAR(160),""))),0),TRIM(SUBSTITUTE(V96,CHAR(160),""))="Devis 2",IFERROR(VALUE(TRIM(SUBSTITUTE(Q96,CHAR(160),""))),0),TRIM(SUBSTITUTE(V96,CHAR(160),""))="Devis 3",IFERROR(VALUE(TRIM(SUBSTITUTE(T96,CHAR(160),""))),0),TRUE,0)*IFERROR(VALUE(TRIM(SUBSTITUTE(D96,CHAR(160),""))),0))</f>
        <v/>
      </c>
      <c r="Y96" s="149" t="str">
        <f t="shared" si="64"/>
        <v/>
      </c>
      <c r="Z96" s="150"/>
      <c r="AA96" s="36" t="str">
        <f t="shared" si="65"/>
        <v/>
      </c>
      <c r="AB96" s="37" t="str">
        <f t="shared" si="66"/>
        <v/>
      </c>
      <c r="AC96" s="37" t="str">
        <f t="shared" si="90"/>
        <v/>
      </c>
      <c r="AD96" s="14" t="str">
        <f t="shared" si="67"/>
        <v/>
      </c>
      <c r="AE96" s="14" t="str">
        <f t="shared" si="68"/>
        <v/>
      </c>
      <c r="AF96" s="14" t="str">
        <f t="shared" si="69"/>
        <v/>
      </c>
      <c r="AG96" s="14" t="str">
        <f t="shared" si="70"/>
        <v/>
      </c>
      <c r="AH96" s="38" t="str">
        <f t="shared" si="71"/>
        <v/>
      </c>
      <c r="AI96" s="14" t="str">
        <f t="shared" si="72"/>
        <v/>
      </c>
      <c r="AJ96" s="39" t="str">
        <f t="shared" si="73"/>
        <v/>
      </c>
      <c r="AK96" s="40" t="str">
        <f t="shared" si="74"/>
        <v/>
      </c>
      <c r="AL96" s="20" t="str">
        <f t="shared" si="75"/>
        <v/>
      </c>
      <c r="AM96" s="35" t="str">
        <f t="shared" si="76"/>
        <v/>
      </c>
      <c r="AN96" s="41" t="str">
        <f t="shared" si="77"/>
        <v/>
      </c>
      <c r="AO96" s="20" t="str">
        <f t="shared" si="78"/>
        <v/>
      </c>
      <c r="AP96" s="35" t="str">
        <f t="shared" si="79"/>
        <v/>
      </c>
      <c r="AQ96" s="42" t="str">
        <f t="shared" si="80"/>
        <v/>
      </c>
      <c r="AR96" s="20" t="str">
        <f t="shared" si="81"/>
        <v/>
      </c>
      <c r="AS96" s="43" t="str">
        <f t="shared" si="82"/>
        <v/>
      </c>
      <c r="AT96" s="36" t="str">
        <f t="shared" si="83"/>
        <v/>
      </c>
      <c r="AU96" s="184"/>
      <c r="AV96" s="44" t="str">
        <f t="shared" si="84"/>
        <v/>
      </c>
      <c r="AW96" s="44" t="str">
        <f t="shared" si="85"/>
        <v/>
      </c>
      <c r="AX96" s="44" t="str">
        <f t="shared" si="86"/>
        <v/>
      </c>
      <c r="AY96" s="74" t="str" cm="1">
        <f t="array" ref="AY96">IF($AB96="","",IF((IFERROR(_xlfn.IFS($AT96="Devis 1",(IFERROR(VALUE(TRIM(SUBSTITUTE(AK96,CHAR(160),""))),0)),$AT96="Devis 2",(IFERROR(VALUE(TRIM(SUBSTITUTE(AN96,CHAR(160),""))),0)),$AT96="Devis 3",(IFERROR(VALUE(TRIM(SUBSTITUTE(AQ96,CHAR(160),""))),0))),0))*(IFERROR(VALUE(TRIM(SUBSTITUTE($AB96,CHAR(160),""))),0))=0,"",(IFERROR(_xlfn.IFS($AT96="Devis 1",(IFERROR(VALUE(TRIM(SUBSTITUTE(AK96,CHAR(160),""))),0)),$AT96="Devis 2",(IFERROR(VALUE(TRIM(SUBSTITUTE(AN96,CHAR(160),""))),0)),$AT96="Devis 3",(IFERROR(VALUE(TRIM(SUBSTITUTE(AQ96,CHAR(160),""))),0))),0))*(IFERROR(VALUE(TRIM(SUBSTITUTE($AB96,CHAR(160),""))),0))))</f>
        <v/>
      </c>
      <c r="AZ96" s="74" t="str" cm="1">
        <f t="array" ref="AZ96">IF($AB96="","",IF((IFERROR(_xlfn.IFS(TRIM(SUBSTITUTE($AT96,CHAR(160),""))="Devis 1", IFERROR(VALUE(TRIM(SUBSTITUTE(AL96,CHAR(160),""))),0),TRIM(SUBSTITUTE($AT96,CHAR(160),""))="Devis 2", IFERROR(VALUE(TRIM(SUBSTITUTE(AO96,CHAR(160),""))),0),TRIM(SUBSTITUTE($AT96,CHAR(160),""))="Devis 3", IFERROR(VALUE(TRIM(SUBSTITUTE(AR96,CHAR(160),""))),0)),0) * IFERROR(VALUE(TRIM(SUBSTITUTE($AB96,CHAR(160),""))),0)) = 0,IF(AY96&lt;&gt;"",0,""),(IFERROR(_xlfn.IFS(TRIM(SUBSTITUTE($AT96,CHAR(160),""))="Devis 1", IFERROR(VALUE(TRIM(SUBSTITUTE(AL96,CHAR(160),""))),0),TRIM(SUBSTITUTE($AT96,CHAR(160),""))="Devis 2", IFERROR(VALUE(TRIM(SUBSTITUTE(AO96,CHAR(160),""))),0),TRIM(SUBSTITUTE($AT96,CHAR(160),""))="Devis 3", IFERROR(VALUE(TRIM(SUBSTITUTE(AR96,CHAR(160),""))),0)),0) * IFERROR(VALUE(TRIM(SUBSTITUTE($AB96,CHAR(160),""))),0))))</f>
        <v/>
      </c>
      <c r="BA96" s="74" t="str" cm="1">
        <f t="array" ref="BA96">IF($AB96="","",IF(IFERROR(_xlfn.IFS($AT96="Devis 1",IFERROR(VALUE(TRIM(SUBSTITUTE(AM96,CHAR(160),""))),0),$AT96="Devis 2",IFERROR(VALUE(TRIM(SUBSTITUTE(AP96,CHAR(160),""))),0),$AT96="Devis 3",IFERROR(VALUE(TRIM(SUBSTITUTE(AS96,CHAR(160),""))),0)),0)*IFERROR(VALUE(TRIM(SUBSTITUTE($AB96,CHAR(160),""))),0)=0,"",IFERROR(_xlfn.IFS($AT96="Devis 1",IFERROR(VALUE(TRIM(SUBSTITUTE(AM96,CHAR(160),""))),0),$AT96="Devis 2",IFERROR(VALUE(TRIM(SUBSTITUTE(AP96,CHAR(160),""))),0),$AT96="Devis 3",IFERROR(VALUE(TRIM(SUBSTITUTE(AS96,CHAR(160),""))),0)),0)*IFERROR(VALUE(TRIM(SUBSTITUTE($AB96,CHAR(160),""))),0)))</f>
        <v/>
      </c>
      <c r="BB96" s="45"/>
      <c r="BC96" s="13" t="str" cm="1">
        <f t="array" ref="BC96">IF(OR(BA96="",AX96="",AY96="",AV96="",AZ96="",AW96=""),"",_xlfn.IFS((IFERROR(VALUE(TRIM(SUBSTITUTE(BA96,CHAR(160),""))),0))&gt;(IFERROR(VALUE(TRIM(SUBSTITUTE(AX96,CHAR(160),""))),0)),"KO : Le montant retenu TTC est supérieur au montant raisonnable TTC. Merci de revoir la ligne de dépense ou plafonner son montant.",(IFERROR(VALUE(TRIM(SUBSTITUTE(AY96,CHAR(160),""))),0))&gt;(IFERROR(VALUE(TRIM(SUBSTITUTE(AV96,CHAR(160),""))),0)),"Attention : Le montant retenu HT est supérieur au montant HT raisonnable. Merci de revoir la ligne de dépense, plafonner son montant, ou justifier la reventillation HT / TVA.",(IFERROR(VALUE(TRIM(SUBSTITUTE(AZ96,CHAR(160),""))),0))&gt;(IFERROR(VALUE(TRIM(SUBSTITUTE(AW96,CHAR(160),""))),0)),"Attention : Le montant TVA retenu est supérieur au montant TVA raisonnable. Merci de revoir la ligne de dépense, plafonner son montant, ou justifier la reventillation HT / TVA.",(IFERROR(VALUE(TRIM(SUBSTITUTE(BA96,CHAR(160),""))),0))=0,"",(IFERROR(VALUE(TRIM(SUBSTITUTE(AX96,CHAR(160),""))),0))=(IFERROR(VALUE(TRIM(SUBSTITUTE(BA96,CHAR(160),""))),0)),"OK",(IFERROR(VALUE(TRIM(SUBSTITUTE(AX96,CHAR(160),""))),0))&gt;(IFERROR(VALUE(TRIM(SUBSTITUTE(BA96,CHAR(160),""))),0))," OK : Montant instruit inférieur au montant raisonnable.",TRUE,""))</f>
        <v/>
      </c>
      <c r="BD96" s="187" t="str" cm="1">
        <f t="array" ref="BD96">IF(OR(BA96="",Y96="",AY96="",W96="",AZ96="",X96=""),"",_xlfn.IFS((IFERROR(VALUE(TRIM(SUBSTITUTE(BA96,CHAR(160),""))),0))&gt;(IFERROR(VALUE(TRIM(SUBSTITUTE(Y96,CHAR(160),""))),0)),"KO : Le montant retenu TTC est supérieur au montant présenté TTC. Merci de revoir la ligne de dépense ou plafonner son montant.",(IFERROR(VALUE(TRIM(SUBSTITUTE(AY96,CHAR(160),""))),0))&gt;(IFERROR(VALUE(TRIM(SUBSTITUTE(W96,CHAR(160),""))),0)),"Attention : Le montant retenu HT est supérieur au montant HT présenté. Merci de revoir la ligne de dépense,plafonner son montant,ou justifier la reventillation HT/TVA.",(IFERROR(VALUE(TRIM(SUBSTITUTE(AZ96,CHAR(160),""))),0))&gt;(IFERROR(VALUE(TRIM(SUBSTITUTE(X96,CHAR(160),""))),0)),"Attention : Le montant TVA retenu est supérieur au montant TVA présenté. Merci de revoir la ligne de dépense,plafonner son montant,ou justifier la reventillation HT/TVA.",(IFERROR(VALUE(TRIM(SUBSTITUTE(Y96,CHAR(160),""))),0))=0,"",(IFERROR(VALUE(TRIM(SUBSTITUTE(BA96,CHAR(160),""))),0))=(IFERROR(VALUE(TRIM(SUBSTITUTE(Y96,CHAR(160),""))),0)),"OK",
OR((IFERROR(VALUE(TRIM(SUBSTITUTE(BA96,CHAR(160),""))),0))=0,(IFERROR(VALUE(TRIM(SUBSTITUTE(AY96,CHAR(160),""))),0))=0),"Attention : montant présenté entièrement écarté",(IFERROR(VALUE(TRIM(SUBSTITUTE(BA96,CHAR(160),""))),0))&lt;(IFERROR(VALUE(TRIM(SUBSTITUTE(Y96,CHAR(160),""))),0)),"Attention : montant présenté partiellement écarté",TRUE,""))</f>
        <v/>
      </c>
      <c r="BE96" s="44" t="str">
        <f t="shared" si="87"/>
        <v/>
      </c>
      <c r="BF96" s="44" t="str">
        <f t="shared" si="88"/>
        <v/>
      </c>
      <c r="BG96" s="21" t="str">
        <f t="shared" si="89"/>
        <v/>
      </c>
    </row>
    <row r="97" spans="1:59" ht="15" customHeight="1">
      <c r="A97" s="70">
        <v>88</v>
      </c>
      <c r="B97" s="784"/>
      <c r="C97" s="7"/>
      <c r="D97" s="11"/>
      <c r="E97" s="11"/>
      <c r="F97" s="7"/>
      <c r="G97" s="7"/>
      <c r="H97" s="7"/>
      <c r="I97" s="7"/>
      <c r="J97" s="17"/>
      <c r="K97" s="7"/>
      <c r="L97" s="132"/>
      <c r="M97" s="138"/>
      <c r="N97" s="8"/>
      <c r="O97" s="35" t="str">
        <f t="shared" si="61"/>
        <v/>
      </c>
      <c r="P97" s="9"/>
      <c r="Q97" s="8"/>
      <c r="R97" s="35" t="str">
        <f t="shared" si="62"/>
        <v/>
      </c>
      <c r="S97" s="10"/>
      <c r="T97" s="8"/>
      <c r="U97" s="139" t="str">
        <f t="shared" si="63"/>
        <v/>
      </c>
      <c r="V97" s="147"/>
      <c r="W97" s="770" t="str" cm="1">
        <f t="array" ref="W97">IF((_xlfn.IFS(TRIM(SUBSTITUTE(V97,CHAR(160),""))="Devis 1",IFERROR(VALUE(TRIM(SUBSTITUTE(M97,CHAR(160),""))),0),TRIM(SUBSTITUTE(V97,CHAR(160),""))="Devis 2",IFERROR(VALUE(TRIM(SUBSTITUTE(P97,CHAR(160),""))),0),TRIM(SUBSTITUTE(V97,CHAR(160),""))="Devis 3",IFERROR(VALUE(TRIM(SUBSTITUTE(S97,CHAR(160),""))),0),TRUE,0)*IFERROR(VALUE(TRIM(SUBSTITUTE(D97,CHAR(160),""))),0))=0,"",_xlfn.IFS(TRIM(SUBSTITUTE(V97,CHAR(160),""))="Devis 1",IFERROR(VALUE(TRIM(SUBSTITUTE(M97,CHAR(160),""))),0),TRIM(SUBSTITUTE(V97,CHAR(160),""))="Devis 2",IFERROR(VALUE(TRIM(SUBSTITUTE(P97,CHAR(160),""))),0),TRIM(SUBSTITUTE(V97,CHAR(160),""))="Devis 3",IFERROR(VALUE(TRIM(SUBSTITUTE(S97,CHAR(160),""))),0),TRUE,0)*IFERROR(VALUE(TRIM(SUBSTITUTE(D97,CHAR(160),""))),0))</f>
        <v/>
      </c>
      <c r="X97" s="73" t="str" cm="1">
        <f t="array" ref="X97">IF(_xlfn.IFS(TRIM(SUBSTITUTE(V97,CHAR(160),""))="Devis 1",IFERROR(VALUE(TRIM(SUBSTITUTE(N97,CHAR(160),""))),0),TRIM(SUBSTITUTE(V97,CHAR(160),""))="Devis 2",IFERROR(VALUE(TRIM(SUBSTITUTE(Q97,CHAR(160),""))),0),TRIM(SUBSTITUTE(V97,CHAR(160),""))="Devis 3",IFERROR(VALUE(TRIM(SUBSTITUTE(T97,CHAR(160),""))),0),TRUE,0)*IFERROR(VALUE(TRIM(SUBSTITUTE(D97,CHAR(160),""))),0)=0,IF(W97&lt;&gt;"",0,""),_xlfn.IFS(TRIM(SUBSTITUTE(V97,CHAR(160),""))="Devis 1",IFERROR(VALUE(TRIM(SUBSTITUTE(N97,CHAR(160),""))),0),TRIM(SUBSTITUTE(V97,CHAR(160),""))="Devis 2",IFERROR(VALUE(TRIM(SUBSTITUTE(Q97,CHAR(160),""))),0),TRIM(SUBSTITUTE(V97,CHAR(160),""))="Devis 3",IFERROR(VALUE(TRIM(SUBSTITUTE(T97,CHAR(160),""))),0),TRUE,0)*IFERROR(VALUE(TRIM(SUBSTITUTE(D97,CHAR(160),""))),0))</f>
        <v/>
      </c>
      <c r="Y97" s="149" t="str">
        <f t="shared" si="64"/>
        <v/>
      </c>
      <c r="Z97" s="150"/>
      <c r="AA97" s="36" t="str">
        <f t="shared" si="65"/>
        <v/>
      </c>
      <c r="AB97" s="37" t="str">
        <f t="shared" si="66"/>
        <v/>
      </c>
      <c r="AC97" s="37" t="str">
        <f t="shared" si="90"/>
        <v/>
      </c>
      <c r="AD97" s="14" t="str">
        <f t="shared" si="67"/>
        <v/>
      </c>
      <c r="AE97" s="14" t="str">
        <f t="shared" si="68"/>
        <v/>
      </c>
      <c r="AF97" s="14" t="str">
        <f t="shared" si="69"/>
        <v/>
      </c>
      <c r="AG97" s="14" t="str">
        <f t="shared" si="70"/>
        <v/>
      </c>
      <c r="AH97" s="38" t="str">
        <f t="shared" si="71"/>
        <v/>
      </c>
      <c r="AI97" s="14" t="str">
        <f t="shared" si="72"/>
        <v/>
      </c>
      <c r="AJ97" s="39" t="str">
        <f t="shared" si="73"/>
        <v/>
      </c>
      <c r="AK97" s="40" t="str">
        <f t="shared" si="74"/>
        <v/>
      </c>
      <c r="AL97" s="20" t="str">
        <f t="shared" si="75"/>
        <v/>
      </c>
      <c r="AM97" s="35" t="str">
        <f t="shared" si="76"/>
        <v/>
      </c>
      <c r="AN97" s="41" t="str">
        <f t="shared" si="77"/>
        <v/>
      </c>
      <c r="AO97" s="20" t="str">
        <f t="shared" si="78"/>
        <v/>
      </c>
      <c r="AP97" s="35" t="str">
        <f t="shared" si="79"/>
        <v/>
      </c>
      <c r="AQ97" s="42" t="str">
        <f t="shared" si="80"/>
        <v/>
      </c>
      <c r="AR97" s="20" t="str">
        <f t="shared" si="81"/>
        <v/>
      </c>
      <c r="AS97" s="43" t="str">
        <f t="shared" si="82"/>
        <v/>
      </c>
      <c r="AT97" s="36" t="str">
        <f t="shared" si="83"/>
        <v/>
      </c>
      <c r="AU97" s="184"/>
      <c r="AV97" s="44" t="str">
        <f t="shared" si="84"/>
        <v/>
      </c>
      <c r="AW97" s="44" t="str">
        <f t="shared" si="85"/>
        <v/>
      </c>
      <c r="AX97" s="44" t="str">
        <f t="shared" si="86"/>
        <v/>
      </c>
      <c r="AY97" s="74" t="str" cm="1">
        <f t="array" ref="AY97">IF($AB97="","",IF((IFERROR(_xlfn.IFS($AT97="Devis 1",(IFERROR(VALUE(TRIM(SUBSTITUTE(AK97,CHAR(160),""))),0)),$AT97="Devis 2",(IFERROR(VALUE(TRIM(SUBSTITUTE(AN97,CHAR(160),""))),0)),$AT97="Devis 3",(IFERROR(VALUE(TRIM(SUBSTITUTE(AQ97,CHAR(160),""))),0))),0))*(IFERROR(VALUE(TRIM(SUBSTITUTE($AB97,CHAR(160),""))),0))=0,"",(IFERROR(_xlfn.IFS($AT97="Devis 1",(IFERROR(VALUE(TRIM(SUBSTITUTE(AK97,CHAR(160),""))),0)),$AT97="Devis 2",(IFERROR(VALUE(TRIM(SUBSTITUTE(AN97,CHAR(160),""))),0)),$AT97="Devis 3",(IFERROR(VALUE(TRIM(SUBSTITUTE(AQ97,CHAR(160),""))),0))),0))*(IFERROR(VALUE(TRIM(SUBSTITUTE($AB97,CHAR(160),""))),0))))</f>
        <v/>
      </c>
      <c r="AZ97" s="74" t="str" cm="1">
        <f t="array" ref="AZ97">IF($AB97="","",IF((IFERROR(_xlfn.IFS(TRIM(SUBSTITUTE($AT97,CHAR(160),""))="Devis 1", IFERROR(VALUE(TRIM(SUBSTITUTE(AL97,CHAR(160),""))),0),TRIM(SUBSTITUTE($AT97,CHAR(160),""))="Devis 2", IFERROR(VALUE(TRIM(SUBSTITUTE(AO97,CHAR(160),""))),0),TRIM(SUBSTITUTE($AT97,CHAR(160),""))="Devis 3", IFERROR(VALUE(TRIM(SUBSTITUTE(AR97,CHAR(160),""))),0)),0) * IFERROR(VALUE(TRIM(SUBSTITUTE($AB97,CHAR(160),""))),0)) = 0,IF(AY97&lt;&gt;"",0,""),(IFERROR(_xlfn.IFS(TRIM(SUBSTITUTE($AT97,CHAR(160),""))="Devis 1", IFERROR(VALUE(TRIM(SUBSTITUTE(AL97,CHAR(160),""))),0),TRIM(SUBSTITUTE($AT97,CHAR(160),""))="Devis 2", IFERROR(VALUE(TRIM(SUBSTITUTE(AO97,CHAR(160),""))),0),TRIM(SUBSTITUTE($AT97,CHAR(160),""))="Devis 3", IFERROR(VALUE(TRIM(SUBSTITUTE(AR97,CHAR(160),""))),0)),0) * IFERROR(VALUE(TRIM(SUBSTITUTE($AB97,CHAR(160),""))),0))))</f>
        <v/>
      </c>
      <c r="BA97" s="74" t="str" cm="1">
        <f t="array" ref="BA97">IF($AB97="","",IF(IFERROR(_xlfn.IFS($AT97="Devis 1",IFERROR(VALUE(TRIM(SUBSTITUTE(AM97,CHAR(160),""))),0),$AT97="Devis 2",IFERROR(VALUE(TRIM(SUBSTITUTE(AP97,CHAR(160),""))),0),$AT97="Devis 3",IFERROR(VALUE(TRIM(SUBSTITUTE(AS97,CHAR(160),""))),0)),0)*IFERROR(VALUE(TRIM(SUBSTITUTE($AB97,CHAR(160),""))),0)=0,"",IFERROR(_xlfn.IFS($AT97="Devis 1",IFERROR(VALUE(TRIM(SUBSTITUTE(AM97,CHAR(160),""))),0),$AT97="Devis 2",IFERROR(VALUE(TRIM(SUBSTITUTE(AP97,CHAR(160),""))),0),$AT97="Devis 3",IFERROR(VALUE(TRIM(SUBSTITUTE(AS97,CHAR(160),""))),0)),0)*IFERROR(VALUE(TRIM(SUBSTITUTE($AB97,CHAR(160),""))),0)))</f>
        <v/>
      </c>
      <c r="BB97" s="45"/>
      <c r="BC97" s="13" t="str" cm="1">
        <f t="array" ref="BC97">IF(OR(BA97="",AX97="",AY97="",AV97="",AZ97="",AW97=""),"",_xlfn.IFS((IFERROR(VALUE(TRIM(SUBSTITUTE(BA97,CHAR(160),""))),0))&gt;(IFERROR(VALUE(TRIM(SUBSTITUTE(AX97,CHAR(160),""))),0)),"KO : Le montant retenu TTC est supérieur au montant raisonnable TTC. Merci de revoir la ligne de dépense ou plafonner son montant.",(IFERROR(VALUE(TRIM(SUBSTITUTE(AY97,CHAR(160),""))),0))&gt;(IFERROR(VALUE(TRIM(SUBSTITUTE(AV97,CHAR(160),""))),0)),"Attention : Le montant retenu HT est supérieur au montant HT raisonnable. Merci de revoir la ligne de dépense, plafonner son montant, ou justifier la reventillation HT / TVA.",(IFERROR(VALUE(TRIM(SUBSTITUTE(AZ97,CHAR(160),""))),0))&gt;(IFERROR(VALUE(TRIM(SUBSTITUTE(AW97,CHAR(160),""))),0)),"Attention : Le montant TVA retenu est supérieur au montant TVA raisonnable. Merci de revoir la ligne de dépense, plafonner son montant, ou justifier la reventillation HT / TVA.",(IFERROR(VALUE(TRIM(SUBSTITUTE(BA97,CHAR(160),""))),0))=0,"",(IFERROR(VALUE(TRIM(SUBSTITUTE(AX97,CHAR(160),""))),0))=(IFERROR(VALUE(TRIM(SUBSTITUTE(BA97,CHAR(160),""))),0)),"OK",(IFERROR(VALUE(TRIM(SUBSTITUTE(AX97,CHAR(160),""))),0))&gt;(IFERROR(VALUE(TRIM(SUBSTITUTE(BA97,CHAR(160),""))),0))," OK : Montant instruit inférieur au montant raisonnable.",TRUE,""))</f>
        <v/>
      </c>
      <c r="BD97" s="187" t="str" cm="1">
        <f t="array" ref="BD97">IF(OR(BA97="",Y97="",AY97="",W97="",AZ97="",X97=""),"",_xlfn.IFS((IFERROR(VALUE(TRIM(SUBSTITUTE(BA97,CHAR(160),""))),0))&gt;(IFERROR(VALUE(TRIM(SUBSTITUTE(Y97,CHAR(160),""))),0)),"KO : Le montant retenu TTC est supérieur au montant présenté TTC. Merci de revoir la ligne de dépense ou plafonner son montant.",(IFERROR(VALUE(TRIM(SUBSTITUTE(AY97,CHAR(160),""))),0))&gt;(IFERROR(VALUE(TRIM(SUBSTITUTE(W97,CHAR(160),""))),0)),"Attention : Le montant retenu HT est supérieur au montant HT présenté. Merci de revoir la ligne de dépense,plafonner son montant,ou justifier la reventillation HT/TVA.",(IFERROR(VALUE(TRIM(SUBSTITUTE(AZ97,CHAR(160),""))),0))&gt;(IFERROR(VALUE(TRIM(SUBSTITUTE(X97,CHAR(160),""))),0)),"Attention : Le montant TVA retenu est supérieur au montant TVA présenté. Merci de revoir la ligne de dépense,plafonner son montant,ou justifier la reventillation HT/TVA.",(IFERROR(VALUE(TRIM(SUBSTITUTE(Y97,CHAR(160),""))),0))=0,"",(IFERROR(VALUE(TRIM(SUBSTITUTE(BA97,CHAR(160),""))),0))=(IFERROR(VALUE(TRIM(SUBSTITUTE(Y97,CHAR(160),""))),0)),"OK",
OR((IFERROR(VALUE(TRIM(SUBSTITUTE(BA97,CHAR(160),""))),0))=0,(IFERROR(VALUE(TRIM(SUBSTITUTE(AY97,CHAR(160),""))),0))=0),"Attention : montant présenté entièrement écarté",(IFERROR(VALUE(TRIM(SUBSTITUTE(BA97,CHAR(160),""))),0))&lt;(IFERROR(VALUE(TRIM(SUBSTITUTE(Y97,CHAR(160),""))),0)),"Attention : montant présenté partiellement écarté",TRUE,""))</f>
        <v/>
      </c>
      <c r="BE97" s="44" t="str">
        <f t="shared" si="87"/>
        <v/>
      </c>
      <c r="BF97" s="44" t="str">
        <f t="shared" si="88"/>
        <v/>
      </c>
      <c r="BG97" s="21" t="str">
        <f t="shared" si="89"/>
        <v/>
      </c>
    </row>
    <row r="98" spans="1:59" ht="15" customHeight="1">
      <c r="A98" s="70">
        <v>89</v>
      </c>
      <c r="B98" s="784"/>
      <c r="C98" s="7"/>
      <c r="D98" s="11"/>
      <c r="E98" s="11"/>
      <c r="F98" s="7"/>
      <c r="G98" s="7"/>
      <c r="H98" s="7"/>
      <c r="I98" s="7"/>
      <c r="J98" s="17"/>
      <c r="K98" s="7"/>
      <c r="L98" s="132"/>
      <c r="M98" s="138"/>
      <c r="N98" s="8"/>
      <c r="O98" s="35" t="str">
        <f t="shared" si="61"/>
        <v/>
      </c>
      <c r="P98" s="9"/>
      <c r="Q98" s="8"/>
      <c r="R98" s="35" t="str">
        <f t="shared" si="62"/>
        <v/>
      </c>
      <c r="S98" s="10"/>
      <c r="T98" s="8"/>
      <c r="U98" s="139" t="str">
        <f t="shared" si="63"/>
        <v/>
      </c>
      <c r="V98" s="147"/>
      <c r="W98" s="770" t="str" cm="1">
        <f t="array" ref="W98">IF((_xlfn.IFS(TRIM(SUBSTITUTE(V98,CHAR(160),""))="Devis 1",IFERROR(VALUE(TRIM(SUBSTITUTE(M98,CHAR(160),""))),0),TRIM(SUBSTITUTE(V98,CHAR(160),""))="Devis 2",IFERROR(VALUE(TRIM(SUBSTITUTE(P98,CHAR(160),""))),0),TRIM(SUBSTITUTE(V98,CHAR(160),""))="Devis 3",IFERROR(VALUE(TRIM(SUBSTITUTE(S98,CHAR(160),""))),0),TRUE,0)*IFERROR(VALUE(TRIM(SUBSTITUTE(D98,CHAR(160),""))),0))=0,"",_xlfn.IFS(TRIM(SUBSTITUTE(V98,CHAR(160),""))="Devis 1",IFERROR(VALUE(TRIM(SUBSTITUTE(M98,CHAR(160),""))),0),TRIM(SUBSTITUTE(V98,CHAR(160),""))="Devis 2",IFERROR(VALUE(TRIM(SUBSTITUTE(P98,CHAR(160),""))),0),TRIM(SUBSTITUTE(V98,CHAR(160),""))="Devis 3",IFERROR(VALUE(TRIM(SUBSTITUTE(S98,CHAR(160),""))),0),TRUE,0)*IFERROR(VALUE(TRIM(SUBSTITUTE(D98,CHAR(160),""))),0))</f>
        <v/>
      </c>
      <c r="X98" s="73" t="str" cm="1">
        <f t="array" ref="X98">IF(_xlfn.IFS(TRIM(SUBSTITUTE(V98,CHAR(160),""))="Devis 1",IFERROR(VALUE(TRIM(SUBSTITUTE(N98,CHAR(160),""))),0),TRIM(SUBSTITUTE(V98,CHAR(160),""))="Devis 2",IFERROR(VALUE(TRIM(SUBSTITUTE(Q98,CHAR(160),""))),0),TRIM(SUBSTITUTE(V98,CHAR(160),""))="Devis 3",IFERROR(VALUE(TRIM(SUBSTITUTE(T98,CHAR(160),""))),0),TRUE,0)*IFERROR(VALUE(TRIM(SUBSTITUTE(D98,CHAR(160),""))),0)=0,IF(W98&lt;&gt;"",0,""),_xlfn.IFS(TRIM(SUBSTITUTE(V98,CHAR(160),""))="Devis 1",IFERROR(VALUE(TRIM(SUBSTITUTE(N98,CHAR(160),""))),0),TRIM(SUBSTITUTE(V98,CHAR(160),""))="Devis 2",IFERROR(VALUE(TRIM(SUBSTITUTE(Q98,CHAR(160),""))),0),TRIM(SUBSTITUTE(V98,CHAR(160),""))="Devis 3",IFERROR(VALUE(TRIM(SUBSTITUTE(T98,CHAR(160),""))),0),TRUE,0)*IFERROR(VALUE(TRIM(SUBSTITUTE(D98,CHAR(160),""))),0))</f>
        <v/>
      </c>
      <c r="Y98" s="149" t="str">
        <f t="shared" si="64"/>
        <v/>
      </c>
      <c r="Z98" s="150"/>
      <c r="AA98" s="36" t="str">
        <f t="shared" si="65"/>
        <v/>
      </c>
      <c r="AB98" s="37" t="str">
        <f t="shared" si="66"/>
        <v/>
      </c>
      <c r="AC98" s="37" t="str">
        <f t="shared" si="90"/>
        <v/>
      </c>
      <c r="AD98" s="14" t="str">
        <f t="shared" si="67"/>
        <v/>
      </c>
      <c r="AE98" s="14" t="str">
        <f t="shared" si="68"/>
        <v/>
      </c>
      <c r="AF98" s="14" t="str">
        <f t="shared" si="69"/>
        <v/>
      </c>
      <c r="AG98" s="14" t="str">
        <f t="shared" si="70"/>
        <v/>
      </c>
      <c r="AH98" s="38" t="str">
        <f t="shared" si="71"/>
        <v/>
      </c>
      <c r="AI98" s="14" t="str">
        <f t="shared" si="72"/>
        <v/>
      </c>
      <c r="AJ98" s="39" t="str">
        <f t="shared" si="73"/>
        <v/>
      </c>
      <c r="AK98" s="40" t="str">
        <f t="shared" si="74"/>
        <v/>
      </c>
      <c r="AL98" s="20" t="str">
        <f t="shared" si="75"/>
        <v/>
      </c>
      <c r="AM98" s="35" t="str">
        <f t="shared" si="76"/>
        <v/>
      </c>
      <c r="AN98" s="41" t="str">
        <f t="shared" si="77"/>
        <v/>
      </c>
      <c r="AO98" s="20" t="str">
        <f t="shared" si="78"/>
        <v/>
      </c>
      <c r="AP98" s="35" t="str">
        <f t="shared" si="79"/>
        <v/>
      </c>
      <c r="AQ98" s="42" t="str">
        <f t="shared" si="80"/>
        <v/>
      </c>
      <c r="AR98" s="20" t="str">
        <f t="shared" si="81"/>
        <v/>
      </c>
      <c r="AS98" s="43" t="str">
        <f t="shared" si="82"/>
        <v/>
      </c>
      <c r="AT98" s="36" t="str">
        <f t="shared" si="83"/>
        <v/>
      </c>
      <c r="AU98" s="184"/>
      <c r="AV98" s="44" t="str">
        <f t="shared" si="84"/>
        <v/>
      </c>
      <c r="AW98" s="44" t="str">
        <f t="shared" si="85"/>
        <v/>
      </c>
      <c r="AX98" s="44" t="str">
        <f t="shared" si="86"/>
        <v/>
      </c>
      <c r="AY98" s="74" t="str" cm="1">
        <f t="array" ref="AY98">IF($AB98="","",IF((IFERROR(_xlfn.IFS($AT98="Devis 1",(IFERROR(VALUE(TRIM(SUBSTITUTE(AK98,CHAR(160),""))),0)),$AT98="Devis 2",(IFERROR(VALUE(TRIM(SUBSTITUTE(AN98,CHAR(160),""))),0)),$AT98="Devis 3",(IFERROR(VALUE(TRIM(SUBSTITUTE(AQ98,CHAR(160),""))),0))),0))*(IFERROR(VALUE(TRIM(SUBSTITUTE($AB98,CHAR(160),""))),0))=0,"",(IFERROR(_xlfn.IFS($AT98="Devis 1",(IFERROR(VALUE(TRIM(SUBSTITUTE(AK98,CHAR(160),""))),0)),$AT98="Devis 2",(IFERROR(VALUE(TRIM(SUBSTITUTE(AN98,CHAR(160),""))),0)),$AT98="Devis 3",(IFERROR(VALUE(TRIM(SUBSTITUTE(AQ98,CHAR(160),""))),0))),0))*(IFERROR(VALUE(TRIM(SUBSTITUTE($AB98,CHAR(160),""))),0))))</f>
        <v/>
      </c>
      <c r="AZ98" s="74" t="str" cm="1">
        <f t="array" ref="AZ98">IF($AB98="","",IF((IFERROR(_xlfn.IFS(TRIM(SUBSTITUTE($AT98,CHAR(160),""))="Devis 1", IFERROR(VALUE(TRIM(SUBSTITUTE(AL98,CHAR(160),""))),0),TRIM(SUBSTITUTE($AT98,CHAR(160),""))="Devis 2", IFERROR(VALUE(TRIM(SUBSTITUTE(AO98,CHAR(160),""))),0),TRIM(SUBSTITUTE($AT98,CHAR(160),""))="Devis 3", IFERROR(VALUE(TRIM(SUBSTITUTE(AR98,CHAR(160),""))),0)),0) * IFERROR(VALUE(TRIM(SUBSTITUTE($AB98,CHAR(160),""))),0)) = 0,IF(AY98&lt;&gt;"",0,""),(IFERROR(_xlfn.IFS(TRIM(SUBSTITUTE($AT98,CHAR(160),""))="Devis 1", IFERROR(VALUE(TRIM(SUBSTITUTE(AL98,CHAR(160),""))),0),TRIM(SUBSTITUTE($AT98,CHAR(160),""))="Devis 2", IFERROR(VALUE(TRIM(SUBSTITUTE(AO98,CHAR(160),""))),0),TRIM(SUBSTITUTE($AT98,CHAR(160),""))="Devis 3", IFERROR(VALUE(TRIM(SUBSTITUTE(AR98,CHAR(160),""))),0)),0) * IFERROR(VALUE(TRIM(SUBSTITUTE($AB98,CHAR(160),""))),0))))</f>
        <v/>
      </c>
      <c r="BA98" s="74" t="str" cm="1">
        <f t="array" ref="BA98">IF($AB98="","",IF(IFERROR(_xlfn.IFS($AT98="Devis 1",IFERROR(VALUE(TRIM(SUBSTITUTE(AM98,CHAR(160),""))),0),$AT98="Devis 2",IFERROR(VALUE(TRIM(SUBSTITUTE(AP98,CHAR(160),""))),0),$AT98="Devis 3",IFERROR(VALUE(TRIM(SUBSTITUTE(AS98,CHAR(160),""))),0)),0)*IFERROR(VALUE(TRIM(SUBSTITUTE($AB98,CHAR(160),""))),0)=0,"",IFERROR(_xlfn.IFS($AT98="Devis 1",IFERROR(VALUE(TRIM(SUBSTITUTE(AM98,CHAR(160),""))),0),$AT98="Devis 2",IFERROR(VALUE(TRIM(SUBSTITUTE(AP98,CHAR(160),""))),0),$AT98="Devis 3",IFERROR(VALUE(TRIM(SUBSTITUTE(AS98,CHAR(160),""))),0)),0)*IFERROR(VALUE(TRIM(SUBSTITUTE($AB98,CHAR(160),""))),0)))</f>
        <v/>
      </c>
      <c r="BB98" s="45"/>
      <c r="BC98" s="13" t="str" cm="1">
        <f t="array" ref="BC98">IF(OR(BA98="",AX98="",AY98="",AV98="",AZ98="",AW98=""),"",_xlfn.IFS((IFERROR(VALUE(TRIM(SUBSTITUTE(BA98,CHAR(160),""))),0))&gt;(IFERROR(VALUE(TRIM(SUBSTITUTE(AX98,CHAR(160),""))),0)),"KO : Le montant retenu TTC est supérieur au montant raisonnable TTC. Merci de revoir la ligne de dépense ou plafonner son montant.",(IFERROR(VALUE(TRIM(SUBSTITUTE(AY98,CHAR(160),""))),0))&gt;(IFERROR(VALUE(TRIM(SUBSTITUTE(AV98,CHAR(160),""))),0)),"Attention : Le montant retenu HT est supérieur au montant HT raisonnable. Merci de revoir la ligne de dépense, plafonner son montant, ou justifier la reventillation HT / TVA.",(IFERROR(VALUE(TRIM(SUBSTITUTE(AZ98,CHAR(160),""))),0))&gt;(IFERROR(VALUE(TRIM(SUBSTITUTE(AW98,CHAR(160),""))),0)),"Attention : Le montant TVA retenu est supérieur au montant TVA raisonnable. Merci de revoir la ligne de dépense, plafonner son montant, ou justifier la reventillation HT / TVA.",(IFERROR(VALUE(TRIM(SUBSTITUTE(BA98,CHAR(160),""))),0))=0,"",(IFERROR(VALUE(TRIM(SUBSTITUTE(AX98,CHAR(160),""))),0))=(IFERROR(VALUE(TRIM(SUBSTITUTE(BA98,CHAR(160),""))),0)),"OK",(IFERROR(VALUE(TRIM(SUBSTITUTE(AX98,CHAR(160),""))),0))&gt;(IFERROR(VALUE(TRIM(SUBSTITUTE(BA98,CHAR(160),""))),0))," OK : Montant instruit inférieur au montant raisonnable.",TRUE,""))</f>
        <v/>
      </c>
      <c r="BD98" s="187" t="str" cm="1">
        <f t="array" ref="BD98">IF(OR(BA98="",Y98="",AY98="",W98="",AZ98="",X98=""),"",_xlfn.IFS((IFERROR(VALUE(TRIM(SUBSTITUTE(BA98,CHAR(160),""))),0))&gt;(IFERROR(VALUE(TRIM(SUBSTITUTE(Y98,CHAR(160),""))),0)),"KO : Le montant retenu TTC est supérieur au montant présenté TTC. Merci de revoir la ligne de dépense ou plafonner son montant.",(IFERROR(VALUE(TRIM(SUBSTITUTE(AY98,CHAR(160),""))),0))&gt;(IFERROR(VALUE(TRIM(SUBSTITUTE(W98,CHAR(160),""))),0)),"Attention : Le montant retenu HT est supérieur au montant HT présenté. Merci de revoir la ligne de dépense,plafonner son montant,ou justifier la reventillation HT/TVA.",(IFERROR(VALUE(TRIM(SUBSTITUTE(AZ98,CHAR(160),""))),0))&gt;(IFERROR(VALUE(TRIM(SUBSTITUTE(X98,CHAR(160),""))),0)),"Attention : Le montant TVA retenu est supérieur au montant TVA présenté. Merci de revoir la ligne de dépense,plafonner son montant,ou justifier la reventillation HT/TVA.",(IFERROR(VALUE(TRIM(SUBSTITUTE(Y98,CHAR(160),""))),0))=0,"",(IFERROR(VALUE(TRIM(SUBSTITUTE(BA98,CHAR(160),""))),0))=(IFERROR(VALUE(TRIM(SUBSTITUTE(Y98,CHAR(160),""))),0)),"OK",
OR((IFERROR(VALUE(TRIM(SUBSTITUTE(BA98,CHAR(160),""))),0))=0,(IFERROR(VALUE(TRIM(SUBSTITUTE(AY98,CHAR(160),""))),0))=0),"Attention : montant présenté entièrement écarté",(IFERROR(VALUE(TRIM(SUBSTITUTE(BA98,CHAR(160),""))),0))&lt;(IFERROR(VALUE(TRIM(SUBSTITUTE(Y98,CHAR(160),""))),0)),"Attention : montant présenté partiellement écarté",TRUE,""))</f>
        <v/>
      </c>
      <c r="BE98" s="44" t="str">
        <f t="shared" si="87"/>
        <v/>
      </c>
      <c r="BF98" s="44" t="str">
        <f t="shared" si="88"/>
        <v/>
      </c>
      <c r="BG98" s="21" t="str">
        <f t="shared" si="89"/>
        <v/>
      </c>
    </row>
    <row r="99" spans="1:59" ht="15" customHeight="1">
      <c r="A99" s="70">
        <v>90</v>
      </c>
      <c r="B99" s="784"/>
      <c r="C99" s="7"/>
      <c r="D99" s="11"/>
      <c r="E99" s="11"/>
      <c r="F99" s="7"/>
      <c r="G99" s="7"/>
      <c r="H99" s="7"/>
      <c r="I99" s="7"/>
      <c r="J99" s="17"/>
      <c r="K99" s="7"/>
      <c r="L99" s="132"/>
      <c r="M99" s="138"/>
      <c r="N99" s="8"/>
      <c r="O99" s="35" t="str">
        <f t="shared" si="61"/>
        <v/>
      </c>
      <c r="P99" s="9"/>
      <c r="Q99" s="8"/>
      <c r="R99" s="35" t="str">
        <f t="shared" si="62"/>
        <v/>
      </c>
      <c r="S99" s="10"/>
      <c r="T99" s="8"/>
      <c r="U99" s="139" t="str">
        <f t="shared" si="63"/>
        <v/>
      </c>
      <c r="V99" s="147"/>
      <c r="W99" s="770" t="str" cm="1">
        <f t="array" ref="W99">IF((_xlfn.IFS(TRIM(SUBSTITUTE(V99,CHAR(160),""))="Devis 1",IFERROR(VALUE(TRIM(SUBSTITUTE(M99,CHAR(160),""))),0),TRIM(SUBSTITUTE(V99,CHAR(160),""))="Devis 2",IFERROR(VALUE(TRIM(SUBSTITUTE(P99,CHAR(160),""))),0),TRIM(SUBSTITUTE(V99,CHAR(160),""))="Devis 3",IFERROR(VALUE(TRIM(SUBSTITUTE(S99,CHAR(160),""))),0),TRUE,0)*IFERROR(VALUE(TRIM(SUBSTITUTE(D99,CHAR(160),""))),0))=0,"",_xlfn.IFS(TRIM(SUBSTITUTE(V99,CHAR(160),""))="Devis 1",IFERROR(VALUE(TRIM(SUBSTITUTE(M99,CHAR(160),""))),0),TRIM(SUBSTITUTE(V99,CHAR(160),""))="Devis 2",IFERROR(VALUE(TRIM(SUBSTITUTE(P99,CHAR(160),""))),0),TRIM(SUBSTITUTE(V99,CHAR(160),""))="Devis 3",IFERROR(VALUE(TRIM(SUBSTITUTE(S99,CHAR(160),""))),0),TRUE,0)*IFERROR(VALUE(TRIM(SUBSTITUTE(D99,CHAR(160),""))),0))</f>
        <v/>
      </c>
      <c r="X99" s="73" t="str" cm="1">
        <f t="array" ref="X99">IF(_xlfn.IFS(TRIM(SUBSTITUTE(V99,CHAR(160),""))="Devis 1",IFERROR(VALUE(TRIM(SUBSTITUTE(N99,CHAR(160),""))),0),TRIM(SUBSTITUTE(V99,CHAR(160),""))="Devis 2",IFERROR(VALUE(TRIM(SUBSTITUTE(Q99,CHAR(160),""))),0),TRIM(SUBSTITUTE(V99,CHAR(160),""))="Devis 3",IFERROR(VALUE(TRIM(SUBSTITUTE(T99,CHAR(160),""))),0),TRUE,0)*IFERROR(VALUE(TRIM(SUBSTITUTE(D99,CHAR(160),""))),0)=0,IF(W99&lt;&gt;"",0,""),_xlfn.IFS(TRIM(SUBSTITUTE(V99,CHAR(160),""))="Devis 1",IFERROR(VALUE(TRIM(SUBSTITUTE(N99,CHAR(160),""))),0),TRIM(SUBSTITUTE(V99,CHAR(160),""))="Devis 2",IFERROR(VALUE(TRIM(SUBSTITUTE(Q99,CHAR(160),""))),0),TRIM(SUBSTITUTE(V99,CHAR(160),""))="Devis 3",IFERROR(VALUE(TRIM(SUBSTITUTE(T99,CHAR(160),""))),0),TRUE,0)*IFERROR(VALUE(TRIM(SUBSTITUTE(D99,CHAR(160),""))),0))</f>
        <v/>
      </c>
      <c r="Y99" s="149" t="str">
        <f t="shared" si="64"/>
        <v/>
      </c>
      <c r="Z99" s="150"/>
      <c r="AA99" s="36" t="str">
        <f t="shared" si="65"/>
        <v/>
      </c>
      <c r="AB99" s="37" t="str">
        <f t="shared" si="66"/>
        <v/>
      </c>
      <c r="AC99" s="37" t="str">
        <f t="shared" si="90"/>
        <v/>
      </c>
      <c r="AD99" s="14" t="str">
        <f t="shared" si="67"/>
        <v/>
      </c>
      <c r="AE99" s="14" t="str">
        <f t="shared" si="68"/>
        <v/>
      </c>
      <c r="AF99" s="14" t="str">
        <f t="shared" si="69"/>
        <v/>
      </c>
      <c r="AG99" s="14" t="str">
        <f t="shared" si="70"/>
        <v/>
      </c>
      <c r="AH99" s="38" t="str">
        <f t="shared" si="71"/>
        <v/>
      </c>
      <c r="AI99" s="14" t="str">
        <f t="shared" si="72"/>
        <v/>
      </c>
      <c r="AJ99" s="39" t="str">
        <f t="shared" si="73"/>
        <v/>
      </c>
      <c r="AK99" s="40" t="str">
        <f t="shared" si="74"/>
        <v/>
      </c>
      <c r="AL99" s="20" t="str">
        <f t="shared" si="75"/>
        <v/>
      </c>
      <c r="AM99" s="35" t="str">
        <f t="shared" si="76"/>
        <v/>
      </c>
      <c r="AN99" s="41" t="str">
        <f t="shared" si="77"/>
        <v/>
      </c>
      <c r="AO99" s="20" t="str">
        <f t="shared" si="78"/>
        <v/>
      </c>
      <c r="AP99" s="35" t="str">
        <f t="shared" si="79"/>
        <v/>
      </c>
      <c r="AQ99" s="42" t="str">
        <f t="shared" si="80"/>
        <v/>
      </c>
      <c r="AR99" s="20" t="str">
        <f t="shared" si="81"/>
        <v/>
      </c>
      <c r="AS99" s="43" t="str">
        <f t="shared" si="82"/>
        <v/>
      </c>
      <c r="AT99" s="36" t="str">
        <f t="shared" si="83"/>
        <v/>
      </c>
      <c r="AU99" s="184"/>
      <c r="AV99" s="44" t="str">
        <f t="shared" si="84"/>
        <v/>
      </c>
      <c r="AW99" s="44" t="str">
        <f t="shared" si="85"/>
        <v/>
      </c>
      <c r="AX99" s="44" t="str">
        <f t="shared" si="86"/>
        <v/>
      </c>
      <c r="AY99" s="74" t="str" cm="1">
        <f t="array" ref="AY99">IF($AB99="","",IF((IFERROR(_xlfn.IFS($AT99="Devis 1",(IFERROR(VALUE(TRIM(SUBSTITUTE(AK99,CHAR(160),""))),0)),$AT99="Devis 2",(IFERROR(VALUE(TRIM(SUBSTITUTE(AN99,CHAR(160),""))),0)),$AT99="Devis 3",(IFERROR(VALUE(TRIM(SUBSTITUTE(AQ99,CHAR(160),""))),0))),0))*(IFERROR(VALUE(TRIM(SUBSTITUTE($AB99,CHAR(160),""))),0))=0,"",(IFERROR(_xlfn.IFS($AT99="Devis 1",(IFERROR(VALUE(TRIM(SUBSTITUTE(AK99,CHAR(160),""))),0)),$AT99="Devis 2",(IFERROR(VALUE(TRIM(SUBSTITUTE(AN99,CHAR(160),""))),0)),$AT99="Devis 3",(IFERROR(VALUE(TRIM(SUBSTITUTE(AQ99,CHAR(160),""))),0))),0))*(IFERROR(VALUE(TRIM(SUBSTITUTE($AB99,CHAR(160),""))),0))))</f>
        <v/>
      </c>
      <c r="AZ99" s="74" t="str" cm="1">
        <f t="array" ref="AZ99">IF($AB99="","",IF((IFERROR(_xlfn.IFS(TRIM(SUBSTITUTE($AT99,CHAR(160),""))="Devis 1", IFERROR(VALUE(TRIM(SUBSTITUTE(AL99,CHAR(160),""))),0),TRIM(SUBSTITUTE($AT99,CHAR(160),""))="Devis 2", IFERROR(VALUE(TRIM(SUBSTITUTE(AO99,CHAR(160),""))),0),TRIM(SUBSTITUTE($AT99,CHAR(160),""))="Devis 3", IFERROR(VALUE(TRIM(SUBSTITUTE(AR99,CHAR(160),""))),0)),0) * IFERROR(VALUE(TRIM(SUBSTITUTE($AB99,CHAR(160),""))),0)) = 0,IF(AY99&lt;&gt;"",0,""),(IFERROR(_xlfn.IFS(TRIM(SUBSTITUTE($AT99,CHAR(160),""))="Devis 1", IFERROR(VALUE(TRIM(SUBSTITUTE(AL99,CHAR(160),""))),0),TRIM(SUBSTITUTE($AT99,CHAR(160),""))="Devis 2", IFERROR(VALUE(TRIM(SUBSTITUTE(AO99,CHAR(160),""))),0),TRIM(SUBSTITUTE($AT99,CHAR(160),""))="Devis 3", IFERROR(VALUE(TRIM(SUBSTITUTE(AR99,CHAR(160),""))),0)),0) * IFERROR(VALUE(TRIM(SUBSTITUTE($AB99,CHAR(160),""))),0))))</f>
        <v/>
      </c>
      <c r="BA99" s="74" t="str" cm="1">
        <f t="array" ref="BA99">IF($AB99="","",IF(IFERROR(_xlfn.IFS($AT99="Devis 1",IFERROR(VALUE(TRIM(SUBSTITUTE(AM99,CHAR(160),""))),0),$AT99="Devis 2",IFERROR(VALUE(TRIM(SUBSTITUTE(AP99,CHAR(160),""))),0),$AT99="Devis 3",IFERROR(VALUE(TRIM(SUBSTITUTE(AS99,CHAR(160),""))),0)),0)*IFERROR(VALUE(TRIM(SUBSTITUTE($AB99,CHAR(160),""))),0)=0,"",IFERROR(_xlfn.IFS($AT99="Devis 1",IFERROR(VALUE(TRIM(SUBSTITUTE(AM99,CHAR(160),""))),0),$AT99="Devis 2",IFERROR(VALUE(TRIM(SUBSTITUTE(AP99,CHAR(160),""))),0),$AT99="Devis 3",IFERROR(VALUE(TRIM(SUBSTITUTE(AS99,CHAR(160),""))),0)),0)*IFERROR(VALUE(TRIM(SUBSTITUTE($AB99,CHAR(160),""))),0)))</f>
        <v/>
      </c>
      <c r="BB99" s="45"/>
      <c r="BC99" s="13" t="str" cm="1">
        <f t="array" ref="BC99">IF(OR(BA99="",AX99="",AY99="",AV99="",AZ99="",AW99=""),"",_xlfn.IFS((IFERROR(VALUE(TRIM(SUBSTITUTE(BA99,CHAR(160),""))),0))&gt;(IFERROR(VALUE(TRIM(SUBSTITUTE(AX99,CHAR(160),""))),0)),"KO : Le montant retenu TTC est supérieur au montant raisonnable TTC. Merci de revoir la ligne de dépense ou plafonner son montant.",(IFERROR(VALUE(TRIM(SUBSTITUTE(AY99,CHAR(160),""))),0))&gt;(IFERROR(VALUE(TRIM(SUBSTITUTE(AV99,CHAR(160),""))),0)),"Attention : Le montant retenu HT est supérieur au montant HT raisonnable. Merci de revoir la ligne de dépense, plafonner son montant, ou justifier la reventillation HT / TVA.",(IFERROR(VALUE(TRIM(SUBSTITUTE(AZ99,CHAR(160),""))),0))&gt;(IFERROR(VALUE(TRIM(SUBSTITUTE(AW99,CHAR(160),""))),0)),"Attention : Le montant TVA retenu est supérieur au montant TVA raisonnable. Merci de revoir la ligne de dépense, plafonner son montant, ou justifier la reventillation HT / TVA.",(IFERROR(VALUE(TRIM(SUBSTITUTE(BA99,CHAR(160),""))),0))=0,"",(IFERROR(VALUE(TRIM(SUBSTITUTE(AX99,CHAR(160),""))),0))=(IFERROR(VALUE(TRIM(SUBSTITUTE(BA99,CHAR(160),""))),0)),"OK",(IFERROR(VALUE(TRIM(SUBSTITUTE(AX99,CHAR(160),""))),0))&gt;(IFERROR(VALUE(TRIM(SUBSTITUTE(BA99,CHAR(160),""))),0))," OK : Montant instruit inférieur au montant raisonnable.",TRUE,""))</f>
        <v/>
      </c>
      <c r="BD99" s="187" t="str" cm="1">
        <f t="array" ref="BD99">IF(OR(BA99="",Y99="",AY99="",W99="",AZ99="",X99=""),"",_xlfn.IFS((IFERROR(VALUE(TRIM(SUBSTITUTE(BA99,CHAR(160),""))),0))&gt;(IFERROR(VALUE(TRIM(SUBSTITUTE(Y99,CHAR(160),""))),0)),"KO : Le montant retenu TTC est supérieur au montant présenté TTC. Merci de revoir la ligne de dépense ou plafonner son montant.",(IFERROR(VALUE(TRIM(SUBSTITUTE(AY99,CHAR(160),""))),0))&gt;(IFERROR(VALUE(TRIM(SUBSTITUTE(W99,CHAR(160),""))),0)),"Attention : Le montant retenu HT est supérieur au montant HT présenté. Merci de revoir la ligne de dépense,plafonner son montant,ou justifier la reventillation HT/TVA.",(IFERROR(VALUE(TRIM(SUBSTITUTE(AZ99,CHAR(160),""))),0))&gt;(IFERROR(VALUE(TRIM(SUBSTITUTE(X99,CHAR(160),""))),0)),"Attention : Le montant TVA retenu est supérieur au montant TVA présenté. Merci de revoir la ligne de dépense,plafonner son montant,ou justifier la reventillation HT/TVA.",(IFERROR(VALUE(TRIM(SUBSTITUTE(Y99,CHAR(160),""))),0))=0,"",(IFERROR(VALUE(TRIM(SUBSTITUTE(BA99,CHAR(160),""))),0))=(IFERROR(VALUE(TRIM(SUBSTITUTE(Y99,CHAR(160),""))),0)),"OK",
OR((IFERROR(VALUE(TRIM(SUBSTITUTE(BA99,CHAR(160),""))),0))=0,(IFERROR(VALUE(TRIM(SUBSTITUTE(AY99,CHAR(160),""))),0))=0),"Attention : montant présenté entièrement écarté",(IFERROR(VALUE(TRIM(SUBSTITUTE(BA99,CHAR(160),""))),0))&lt;(IFERROR(VALUE(TRIM(SUBSTITUTE(Y99,CHAR(160),""))),0)),"Attention : montant présenté partiellement écarté",TRUE,""))</f>
        <v/>
      </c>
      <c r="BE99" s="44" t="str">
        <f t="shared" si="87"/>
        <v/>
      </c>
      <c r="BF99" s="44" t="str">
        <f t="shared" si="88"/>
        <v/>
      </c>
      <c r="BG99" s="21" t="str">
        <f t="shared" si="89"/>
        <v/>
      </c>
    </row>
    <row r="100" spans="1:59" ht="15" customHeight="1">
      <c r="A100" s="70">
        <v>91</v>
      </c>
      <c r="B100" s="784"/>
      <c r="C100" s="7"/>
      <c r="D100" s="11"/>
      <c r="E100" s="11"/>
      <c r="F100" s="7"/>
      <c r="G100" s="7"/>
      <c r="H100" s="7"/>
      <c r="I100" s="7"/>
      <c r="J100" s="17"/>
      <c r="K100" s="7"/>
      <c r="L100" s="132"/>
      <c r="M100" s="138"/>
      <c r="N100" s="8"/>
      <c r="O100" s="35" t="str">
        <f t="shared" si="61"/>
        <v/>
      </c>
      <c r="P100" s="9"/>
      <c r="Q100" s="8"/>
      <c r="R100" s="35" t="str">
        <f t="shared" si="62"/>
        <v/>
      </c>
      <c r="S100" s="10"/>
      <c r="T100" s="8"/>
      <c r="U100" s="139" t="str">
        <f t="shared" si="63"/>
        <v/>
      </c>
      <c r="V100" s="147"/>
      <c r="W100" s="770" t="str" cm="1">
        <f t="array" ref="W100">IF((_xlfn.IFS(TRIM(SUBSTITUTE(V100,CHAR(160),""))="Devis 1",IFERROR(VALUE(TRIM(SUBSTITUTE(M100,CHAR(160),""))),0),TRIM(SUBSTITUTE(V100,CHAR(160),""))="Devis 2",IFERROR(VALUE(TRIM(SUBSTITUTE(P100,CHAR(160),""))),0),TRIM(SUBSTITUTE(V100,CHAR(160),""))="Devis 3",IFERROR(VALUE(TRIM(SUBSTITUTE(S100,CHAR(160),""))),0),TRUE,0)*IFERROR(VALUE(TRIM(SUBSTITUTE(D100,CHAR(160),""))),0))=0,"",_xlfn.IFS(TRIM(SUBSTITUTE(V100,CHAR(160),""))="Devis 1",IFERROR(VALUE(TRIM(SUBSTITUTE(M100,CHAR(160),""))),0),TRIM(SUBSTITUTE(V100,CHAR(160),""))="Devis 2",IFERROR(VALUE(TRIM(SUBSTITUTE(P100,CHAR(160),""))),0),TRIM(SUBSTITUTE(V100,CHAR(160),""))="Devis 3",IFERROR(VALUE(TRIM(SUBSTITUTE(S100,CHAR(160),""))),0),TRUE,0)*IFERROR(VALUE(TRIM(SUBSTITUTE(D100,CHAR(160),""))),0))</f>
        <v/>
      </c>
      <c r="X100" s="73" t="str" cm="1">
        <f t="array" ref="X100">IF(_xlfn.IFS(TRIM(SUBSTITUTE(V100,CHAR(160),""))="Devis 1",IFERROR(VALUE(TRIM(SUBSTITUTE(N100,CHAR(160),""))),0),TRIM(SUBSTITUTE(V100,CHAR(160),""))="Devis 2",IFERROR(VALUE(TRIM(SUBSTITUTE(Q100,CHAR(160),""))),0),TRIM(SUBSTITUTE(V100,CHAR(160),""))="Devis 3",IFERROR(VALUE(TRIM(SUBSTITUTE(T100,CHAR(160),""))),0),TRUE,0)*IFERROR(VALUE(TRIM(SUBSTITUTE(D100,CHAR(160),""))),0)=0,IF(W100&lt;&gt;"",0,""),_xlfn.IFS(TRIM(SUBSTITUTE(V100,CHAR(160),""))="Devis 1",IFERROR(VALUE(TRIM(SUBSTITUTE(N100,CHAR(160),""))),0),TRIM(SUBSTITUTE(V100,CHAR(160),""))="Devis 2",IFERROR(VALUE(TRIM(SUBSTITUTE(Q100,CHAR(160),""))),0),TRIM(SUBSTITUTE(V100,CHAR(160),""))="Devis 3",IFERROR(VALUE(TRIM(SUBSTITUTE(T100,CHAR(160),""))),0),TRUE,0)*IFERROR(VALUE(TRIM(SUBSTITUTE(D100,CHAR(160),""))),0))</f>
        <v/>
      </c>
      <c r="Y100" s="149" t="str">
        <f t="shared" si="64"/>
        <v/>
      </c>
      <c r="Z100" s="150"/>
      <c r="AA100" s="36" t="str">
        <f t="shared" si="65"/>
        <v/>
      </c>
      <c r="AB100" s="37" t="str">
        <f t="shared" si="66"/>
        <v/>
      </c>
      <c r="AC100" s="37" t="str">
        <f t="shared" si="90"/>
        <v/>
      </c>
      <c r="AD100" s="14" t="str">
        <f t="shared" si="67"/>
        <v/>
      </c>
      <c r="AE100" s="14" t="str">
        <f t="shared" si="68"/>
        <v/>
      </c>
      <c r="AF100" s="14" t="str">
        <f t="shared" si="69"/>
        <v/>
      </c>
      <c r="AG100" s="14" t="str">
        <f t="shared" si="70"/>
        <v/>
      </c>
      <c r="AH100" s="38" t="str">
        <f t="shared" si="71"/>
        <v/>
      </c>
      <c r="AI100" s="14" t="str">
        <f t="shared" si="72"/>
        <v/>
      </c>
      <c r="AJ100" s="39" t="str">
        <f t="shared" si="73"/>
        <v/>
      </c>
      <c r="AK100" s="40" t="str">
        <f t="shared" si="74"/>
        <v/>
      </c>
      <c r="AL100" s="20" t="str">
        <f t="shared" si="75"/>
        <v/>
      </c>
      <c r="AM100" s="35" t="str">
        <f t="shared" si="76"/>
        <v/>
      </c>
      <c r="AN100" s="41" t="str">
        <f t="shared" si="77"/>
        <v/>
      </c>
      <c r="AO100" s="20" t="str">
        <f t="shared" si="78"/>
        <v/>
      </c>
      <c r="AP100" s="35" t="str">
        <f t="shared" si="79"/>
        <v/>
      </c>
      <c r="AQ100" s="42" t="str">
        <f t="shared" si="80"/>
        <v/>
      </c>
      <c r="AR100" s="20" t="str">
        <f t="shared" si="81"/>
        <v/>
      </c>
      <c r="AS100" s="43" t="str">
        <f t="shared" si="82"/>
        <v/>
      </c>
      <c r="AT100" s="36" t="str">
        <f t="shared" si="83"/>
        <v/>
      </c>
      <c r="AU100" s="184"/>
      <c r="AV100" s="44" t="str">
        <f t="shared" si="84"/>
        <v/>
      </c>
      <c r="AW100" s="44" t="str">
        <f t="shared" si="85"/>
        <v/>
      </c>
      <c r="AX100" s="44" t="str">
        <f t="shared" si="86"/>
        <v/>
      </c>
      <c r="AY100" s="74" t="str" cm="1">
        <f t="array" ref="AY100">IF($AB100="","",IF((IFERROR(_xlfn.IFS($AT100="Devis 1",(IFERROR(VALUE(TRIM(SUBSTITUTE(AK100,CHAR(160),""))),0)),$AT100="Devis 2",(IFERROR(VALUE(TRIM(SUBSTITUTE(AN100,CHAR(160),""))),0)),$AT100="Devis 3",(IFERROR(VALUE(TRIM(SUBSTITUTE(AQ100,CHAR(160),""))),0))),0))*(IFERROR(VALUE(TRIM(SUBSTITUTE($AB100,CHAR(160),""))),0))=0,"",(IFERROR(_xlfn.IFS($AT100="Devis 1",(IFERROR(VALUE(TRIM(SUBSTITUTE(AK100,CHAR(160),""))),0)),$AT100="Devis 2",(IFERROR(VALUE(TRIM(SUBSTITUTE(AN100,CHAR(160),""))),0)),$AT100="Devis 3",(IFERROR(VALUE(TRIM(SUBSTITUTE(AQ100,CHAR(160),""))),0))),0))*(IFERROR(VALUE(TRIM(SUBSTITUTE($AB100,CHAR(160),""))),0))))</f>
        <v/>
      </c>
      <c r="AZ100" s="74" t="str" cm="1">
        <f t="array" ref="AZ100">IF($AB100="","",IF((IFERROR(_xlfn.IFS(TRIM(SUBSTITUTE($AT100,CHAR(160),""))="Devis 1", IFERROR(VALUE(TRIM(SUBSTITUTE(AL100,CHAR(160),""))),0),TRIM(SUBSTITUTE($AT100,CHAR(160),""))="Devis 2", IFERROR(VALUE(TRIM(SUBSTITUTE(AO100,CHAR(160),""))),0),TRIM(SUBSTITUTE($AT100,CHAR(160),""))="Devis 3", IFERROR(VALUE(TRIM(SUBSTITUTE(AR100,CHAR(160),""))),0)),0) * IFERROR(VALUE(TRIM(SUBSTITUTE($AB100,CHAR(160),""))),0)) = 0,IF(AY100&lt;&gt;"",0,""),(IFERROR(_xlfn.IFS(TRIM(SUBSTITUTE($AT100,CHAR(160),""))="Devis 1", IFERROR(VALUE(TRIM(SUBSTITUTE(AL100,CHAR(160),""))),0),TRIM(SUBSTITUTE($AT100,CHAR(160),""))="Devis 2", IFERROR(VALUE(TRIM(SUBSTITUTE(AO100,CHAR(160),""))),0),TRIM(SUBSTITUTE($AT100,CHAR(160),""))="Devis 3", IFERROR(VALUE(TRIM(SUBSTITUTE(AR100,CHAR(160),""))),0)),0) * IFERROR(VALUE(TRIM(SUBSTITUTE($AB100,CHAR(160),""))),0))))</f>
        <v/>
      </c>
      <c r="BA100" s="74" t="str" cm="1">
        <f t="array" ref="BA100">IF($AB100="","",IF(IFERROR(_xlfn.IFS($AT100="Devis 1",IFERROR(VALUE(TRIM(SUBSTITUTE(AM100,CHAR(160),""))),0),$AT100="Devis 2",IFERROR(VALUE(TRIM(SUBSTITUTE(AP100,CHAR(160),""))),0),$AT100="Devis 3",IFERROR(VALUE(TRIM(SUBSTITUTE(AS100,CHAR(160),""))),0)),0)*IFERROR(VALUE(TRIM(SUBSTITUTE($AB100,CHAR(160),""))),0)=0,"",IFERROR(_xlfn.IFS($AT100="Devis 1",IFERROR(VALUE(TRIM(SUBSTITUTE(AM100,CHAR(160),""))),0),$AT100="Devis 2",IFERROR(VALUE(TRIM(SUBSTITUTE(AP100,CHAR(160),""))),0),$AT100="Devis 3",IFERROR(VALUE(TRIM(SUBSTITUTE(AS100,CHAR(160),""))),0)),0)*IFERROR(VALUE(TRIM(SUBSTITUTE($AB100,CHAR(160),""))),0)))</f>
        <v/>
      </c>
      <c r="BB100" s="45"/>
      <c r="BC100" s="13" t="str" cm="1">
        <f t="array" ref="BC100">IF(OR(BA100="",AX100="",AY100="",AV100="",AZ100="",AW100=""),"",_xlfn.IFS((IFERROR(VALUE(TRIM(SUBSTITUTE(BA100,CHAR(160),""))),0))&gt;(IFERROR(VALUE(TRIM(SUBSTITUTE(AX100,CHAR(160),""))),0)),"KO : Le montant retenu TTC est supérieur au montant raisonnable TTC. Merci de revoir la ligne de dépense ou plafonner son montant.",(IFERROR(VALUE(TRIM(SUBSTITUTE(AY100,CHAR(160),""))),0))&gt;(IFERROR(VALUE(TRIM(SUBSTITUTE(AV100,CHAR(160),""))),0)),"Attention : Le montant retenu HT est supérieur au montant HT raisonnable. Merci de revoir la ligne de dépense, plafonner son montant, ou justifier la reventillation HT / TVA.",(IFERROR(VALUE(TRIM(SUBSTITUTE(AZ100,CHAR(160),""))),0))&gt;(IFERROR(VALUE(TRIM(SUBSTITUTE(AW100,CHAR(160),""))),0)),"Attention : Le montant TVA retenu est supérieur au montant TVA raisonnable. Merci de revoir la ligne de dépense, plafonner son montant, ou justifier la reventillation HT / TVA.",(IFERROR(VALUE(TRIM(SUBSTITUTE(BA100,CHAR(160),""))),0))=0,"",(IFERROR(VALUE(TRIM(SUBSTITUTE(AX100,CHAR(160),""))),0))=(IFERROR(VALUE(TRIM(SUBSTITUTE(BA100,CHAR(160),""))),0)),"OK",(IFERROR(VALUE(TRIM(SUBSTITUTE(AX100,CHAR(160),""))),0))&gt;(IFERROR(VALUE(TRIM(SUBSTITUTE(BA100,CHAR(160),""))),0))," OK : Montant instruit inférieur au montant raisonnable.",TRUE,""))</f>
        <v/>
      </c>
      <c r="BD100" s="187" t="str" cm="1">
        <f t="array" ref="BD100">IF(OR(BA100="",Y100="",AY100="",W100="",AZ100="",X100=""),"",_xlfn.IFS((IFERROR(VALUE(TRIM(SUBSTITUTE(BA100,CHAR(160),""))),0))&gt;(IFERROR(VALUE(TRIM(SUBSTITUTE(Y100,CHAR(160),""))),0)),"KO : Le montant retenu TTC est supérieur au montant présenté TTC. Merci de revoir la ligne de dépense ou plafonner son montant.",(IFERROR(VALUE(TRIM(SUBSTITUTE(AY100,CHAR(160),""))),0))&gt;(IFERROR(VALUE(TRIM(SUBSTITUTE(W100,CHAR(160),""))),0)),"Attention : Le montant retenu HT est supérieur au montant HT présenté. Merci de revoir la ligne de dépense,plafonner son montant,ou justifier la reventillation HT/TVA.",(IFERROR(VALUE(TRIM(SUBSTITUTE(AZ100,CHAR(160),""))),0))&gt;(IFERROR(VALUE(TRIM(SUBSTITUTE(X100,CHAR(160),""))),0)),"Attention : Le montant TVA retenu est supérieur au montant TVA présenté. Merci de revoir la ligne de dépense,plafonner son montant,ou justifier la reventillation HT/TVA.",(IFERROR(VALUE(TRIM(SUBSTITUTE(Y100,CHAR(160),""))),0))=0,"",(IFERROR(VALUE(TRIM(SUBSTITUTE(BA100,CHAR(160),""))),0))=(IFERROR(VALUE(TRIM(SUBSTITUTE(Y100,CHAR(160),""))),0)),"OK",
OR((IFERROR(VALUE(TRIM(SUBSTITUTE(BA100,CHAR(160),""))),0))=0,(IFERROR(VALUE(TRIM(SUBSTITUTE(AY100,CHAR(160),""))),0))=0),"Attention : montant présenté entièrement écarté",(IFERROR(VALUE(TRIM(SUBSTITUTE(BA100,CHAR(160),""))),0))&lt;(IFERROR(VALUE(TRIM(SUBSTITUTE(Y100,CHAR(160),""))),0)),"Attention : montant présenté partiellement écarté",TRUE,""))</f>
        <v/>
      </c>
      <c r="BE100" s="44" t="str">
        <f t="shared" si="87"/>
        <v/>
      </c>
      <c r="BF100" s="44" t="str">
        <f t="shared" si="88"/>
        <v/>
      </c>
      <c r="BG100" s="21" t="str">
        <f t="shared" si="89"/>
        <v/>
      </c>
    </row>
    <row r="101" spans="1:59" ht="15" customHeight="1">
      <c r="A101" s="70">
        <v>92</v>
      </c>
      <c r="B101" s="784"/>
      <c r="C101" s="7"/>
      <c r="D101" s="11"/>
      <c r="E101" s="11"/>
      <c r="F101" s="7"/>
      <c r="G101" s="7"/>
      <c r="H101" s="7"/>
      <c r="I101" s="7"/>
      <c r="J101" s="17"/>
      <c r="K101" s="7"/>
      <c r="L101" s="132"/>
      <c r="M101" s="138"/>
      <c r="N101" s="8"/>
      <c r="O101" s="35" t="str">
        <f t="shared" si="61"/>
        <v/>
      </c>
      <c r="P101" s="9"/>
      <c r="Q101" s="8"/>
      <c r="R101" s="35" t="str">
        <f t="shared" si="62"/>
        <v/>
      </c>
      <c r="S101" s="10"/>
      <c r="T101" s="8"/>
      <c r="U101" s="139" t="str">
        <f t="shared" si="63"/>
        <v/>
      </c>
      <c r="V101" s="147"/>
      <c r="W101" s="770" t="str" cm="1">
        <f t="array" ref="W101">IF((_xlfn.IFS(TRIM(SUBSTITUTE(V101,CHAR(160),""))="Devis 1",IFERROR(VALUE(TRIM(SUBSTITUTE(M101,CHAR(160),""))),0),TRIM(SUBSTITUTE(V101,CHAR(160),""))="Devis 2",IFERROR(VALUE(TRIM(SUBSTITUTE(P101,CHAR(160),""))),0),TRIM(SUBSTITUTE(V101,CHAR(160),""))="Devis 3",IFERROR(VALUE(TRIM(SUBSTITUTE(S101,CHAR(160),""))),0),TRUE,0)*IFERROR(VALUE(TRIM(SUBSTITUTE(D101,CHAR(160),""))),0))=0,"",_xlfn.IFS(TRIM(SUBSTITUTE(V101,CHAR(160),""))="Devis 1",IFERROR(VALUE(TRIM(SUBSTITUTE(M101,CHAR(160),""))),0),TRIM(SUBSTITUTE(V101,CHAR(160),""))="Devis 2",IFERROR(VALUE(TRIM(SUBSTITUTE(P101,CHAR(160),""))),0),TRIM(SUBSTITUTE(V101,CHAR(160),""))="Devis 3",IFERROR(VALUE(TRIM(SUBSTITUTE(S101,CHAR(160),""))),0),TRUE,0)*IFERROR(VALUE(TRIM(SUBSTITUTE(D101,CHAR(160),""))),0))</f>
        <v/>
      </c>
      <c r="X101" s="73" t="str" cm="1">
        <f t="array" ref="X101">IF(_xlfn.IFS(TRIM(SUBSTITUTE(V101,CHAR(160),""))="Devis 1",IFERROR(VALUE(TRIM(SUBSTITUTE(N101,CHAR(160),""))),0),TRIM(SUBSTITUTE(V101,CHAR(160),""))="Devis 2",IFERROR(VALUE(TRIM(SUBSTITUTE(Q101,CHAR(160),""))),0),TRIM(SUBSTITUTE(V101,CHAR(160),""))="Devis 3",IFERROR(VALUE(TRIM(SUBSTITUTE(T101,CHAR(160),""))),0),TRUE,0)*IFERROR(VALUE(TRIM(SUBSTITUTE(D101,CHAR(160),""))),0)=0,IF(W101&lt;&gt;"",0,""),_xlfn.IFS(TRIM(SUBSTITUTE(V101,CHAR(160),""))="Devis 1",IFERROR(VALUE(TRIM(SUBSTITUTE(N101,CHAR(160),""))),0),TRIM(SUBSTITUTE(V101,CHAR(160),""))="Devis 2",IFERROR(VALUE(TRIM(SUBSTITUTE(Q101,CHAR(160),""))),0),TRIM(SUBSTITUTE(V101,CHAR(160),""))="Devis 3",IFERROR(VALUE(TRIM(SUBSTITUTE(T101,CHAR(160),""))),0),TRUE,0)*IFERROR(VALUE(TRIM(SUBSTITUTE(D101,CHAR(160),""))),0))</f>
        <v/>
      </c>
      <c r="Y101" s="149" t="str">
        <f t="shared" si="64"/>
        <v/>
      </c>
      <c r="Z101" s="150"/>
      <c r="AA101" s="36" t="str">
        <f t="shared" si="65"/>
        <v/>
      </c>
      <c r="AB101" s="37" t="str">
        <f t="shared" si="66"/>
        <v/>
      </c>
      <c r="AC101" s="37" t="str">
        <f t="shared" si="90"/>
        <v/>
      </c>
      <c r="AD101" s="14" t="str">
        <f t="shared" si="67"/>
        <v/>
      </c>
      <c r="AE101" s="14" t="str">
        <f t="shared" si="68"/>
        <v/>
      </c>
      <c r="AF101" s="14" t="str">
        <f t="shared" si="69"/>
        <v/>
      </c>
      <c r="AG101" s="14" t="str">
        <f t="shared" si="70"/>
        <v/>
      </c>
      <c r="AH101" s="38" t="str">
        <f t="shared" si="71"/>
        <v/>
      </c>
      <c r="AI101" s="14" t="str">
        <f t="shared" si="72"/>
        <v/>
      </c>
      <c r="AJ101" s="39" t="str">
        <f t="shared" si="73"/>
        <v/>
      </c>
      <c r="AK101" s="40" t="str">
        <f t="shared" si="74"/>
        <v/>
      </c>
      <c r="AL101" s="20" t="str">
        <f t="shared" si="75"/>
        <v/>
      </c>
      <c r="AM101" s="35" t="str">
        <f t="shared" si="76"/>
        <v/>
      </c>
      <c r="AN101" s="41" t="str">
        <f t="shared" si="77"/>
        <v/>
      </c>
      <c r="AO101" s="20" t="str">
        <f t="shared" si="78"/>
        <v/>
      </c>
      <c r="AP101" s="35" t="str">
        <f t="shared" si="79"/>
        <v/>
      </c>
      <c r="AQ101" s="42" t="str">
        <f t="shared" si="80"/>
        <v/>
      </c>
      <c r="AR101" s="20" t="str">
        <f t="shared" si="81"/>
        <v/>
      </c>
      <c r="AS101" s="43" t="str">
        <f t="shared" si="82"/>
        <v/>
      </c>
      <c r="AT101" s="36" t="str">
        <f t="shared" si="83"/>
        <v/>
      </c>
      <c r="AU101" s="184"/>
      <c r="AV101" s="44" t="str">
        <f t="shared" si="84"/>
        <v/>
      </c>
      <c r="AW101" s="44" t="str">
        <f t="shared" si="85"/>
        <v/>
      </c>
      <c r="AX101" s="44" t="str">
        <f t="shared" si="86"/>
        <v/>
      </c>
      <c r="AY101" s="74" t="str" cm="1">
        <f t="array" ref="AY101">IF($AB101="","",IF((IFERROR(_xlfn.IFS($AT101="Devis 1",(IFERROR(VALUE(TRIM(SUBSTITUTE(AK101,CHAR(160),""))),0)),$AT101="Devis 2",(IFERROR(VALUE(TRIM(SUBSTITUTE(AN101,CHAR(160),""))),0)),$AT101="Devis 3",(IFERROR(VALUE(TRIM(SUBSTITUTE(AQ101,CHAR(160),""))),0))),0))*(IFERROR(VALUE(TRIM(SUBSTITUTE($AB101,CHAR(160),""))),0))=0,"",(IFERROR(_xlfn.IFS($AT101="Devis 1",(IFERROR(VALUE(TRIM(SUBSTITUTE(AK101,CHAR(160),""))),0)),$AT101="Devis 2",(IFERROR(VALUE(TRIM(SUBSTITUTE(AN101,CHAR(160),""))),0)),$AT101="Devis 3",(IFERROR(VALUE(TRIM(SUBSTITUTE(AQ101,CHAR(160),""))),0))),0))*(IFERROR(VALUE(TRIM(SUBSTITUTE($AB101,CHAR(160),""))),0))))</f>
        <v/>
      </c>
      <c r="AZ101" s="74" t="str" cm="1">
        <f t="array" ref="AZ101">IF($AB101="","",IF((IFERROR(_xlfn.IFS(TRIM(SUBSTITUTE($AT101,CHAR(160),""))="Devis 1", IFERROR(VALUE(TRIM(SUBSTITUTE(AL101,CHAR(160),""))),0),TRIM(SUBSTITUTE($AT101,CHAR(160),""))="Devis 2", IFERROR(VALUE(TRIM(SUBSTITUTE(AO101,CHAR(160),""))),0),TRIM(SUBSTITUTE($AT101,CHAR(160),""))="Devis 3", IFERROR(VALUE(TRIM(SUBSTITUTE(AR101,CHAR(160),""))),0)),0) * IFERROR(VALUE(TRIM(SUBSTITUTE($AB101,CHAR(160),""))),0)) = 0,IF(AY101&lt;&gt;"",0,""),(IFERROR(_xlfn.IFS(TRIM(SUBSTITUTE($AT101,CHAR(160),""))="Devis 1", IFERROR(VALUE(TRIM(SUBSTITUTE(AL101,CHAR(160),""))),0),TRIM(SUBSTITUTE($AT101,CHAR(160),""))="Devis 2", IFERROR(VALUE(TRIM(SUBSTITUTE(AO101,CHAR(160),""))),0),TRIM(SUBSTITUTE($AT101,CHAR(160),""))="Devis 3", IFERROR(VALUE(TRIM(SUBSTITUTE(AR101,CHAR(160),""))),0)),0) * IFERROR(VALUE(TRIM(SUBSTITUTE($AB101,CHAR(160),""))),0))))</f>
        <v/>
      </c>
      <c r="BA101" s="74" t="str" cm="1">
        <f t="array" ref="BA101">IF($AB101="","",IF(IFERROR(_xlfn.IFS($AT101="Devis 1",IFERROR(VALUE(TRIM(SUBSTITUTE(AM101,CHAR(160),""))),0),$AT101="Devis 2",IFERROR(VALUE(TRIM(SUBSTITUTE(AP101,CHAR(160),""))),0),$AT101="Devis 3",IFERROR(VALUE(TRIM(SUBSTITUTE(AS101,CHAR(160),""))),0)),0)*IFERROR(VALUE(TRIM(SUBSTITUTE($AB101,CHAR(160),""))),0)=0,"",IFERROR(_xlfn.IFS($AT101="Devis 1",IFERROR(VALUE(TRIM(SUBSTITUTE(AM101,CHAR(160),""))),0),$AT101="Devis 2",IFERROR(VALUE(TRIM(SUBSTITUTE(AP101,CHAR(160),""))),0),$AT101="Devis 3",IFERROR(VALUE(TRIM(SUBSTITUTE(AS101,CHAR(160),""))),0)),0)*IFERROR(VALUE(TRIM(SUBSTITUTE($AB101,CHAR(160),""))),0)))</f>
        <v/>
      </c>
      <c r="BB101" s="45"/>
      <c r="BC101" s="13" t="str" cm="1">
        <f t="array" ref="BC101">IF(OR(BA101="",AX101="",AY101="",AV101="",AZ101="",AW101=""),"",_xlfn.IFS((IFERROR(VALUE(TRIM(SUBSTITUTE(BA101,CHAR(160),""))),0))&gt;(IFERROR(VALUE(TRIM(SUBSTITUTE(AX101,CHAR(160),""))),0)),"KO : Le montant retenu TTC est supérieur au montant raisonnable TTC. Merci de revoir la ligne de dépense ou plafonner son montant.",(IFERROR(VALUE(TRIM(SUBSTITUTE(AY101,CHAR(160),""))),0))&gt;(IFERROR(VALUE(TRIM(SUBSTITUTE(AV101,CHAR(160),""))),0)),"Attention : Le montant retenu HT est supérieur au montant HT raisonnable. Merci de revoir la ligne de dépense, plafonner son montant, ou justifier la reventillation HT / TVA.",(IFERROR(VALUE(TRIM(SUBSTITUTE(AZ101,CHAR(160),""))),0))&gt;(IFERROR(VALUE(TRIM(SUBSTITUTE(AW101,CHAR(160),""))),0)),"Attention : Le montant TVA retenu est supérieur au montant TVA raisonnable. Merci de revoir la ligne de dépense, plafonner son montant, ou justifier la reventillation HT / TVA.",(IFERROR(VALUE(TRIM(SUBSTITUTE(BA101,CHAR(160),""))),0))=0,"",(IFERROR(VALUE(TRIM(SUBSTITUTE(AX101,CHAR(160),""))),0))=(IFERROR(VALUE(TRIM(SUBSTITUTE(BA101,CHAR(160),""))),0)),"OK",(IFERROR(VALUE(TRIM(SUBSTITUTE(AX101,CHAR(160),""))),0))&gt;(IFERROR(VALUE(TRIM(SUBSTITUTE(BA101,CHAR(160),""))),0))," OK : Montant instruit inférieur au montant raisonnable.",TRUE,""))</f>
        <v/>
      </c>
      <c r="BD101" s="187" t="str" cm="1">
        <f t="array" ref="BD101">IF(OR(BA101="",Y101="",AY101="",W101="",AZ101="",X101=""),"",_xlfn.IFS((IFERROR(VALUE(TRIM(SUBSTITUTE(BA101,CHAR(160),""))),0))&gt;(IFERROR(VALUE(TRIM(SUBSTITUTE(Y101,CHAR(160),""))),0)),"KO : Le montant retenu TTC est supérieur au montant présenté TTC. Merci de revoir la ligne de dépense ou plafonner son montant.",(IFERROR(VALUE(TRIM(SUBSTITUTE(AY101,CHAR(160),""))),0))&gt;(IFERROR(VALUE(TRIM(SUBSTITUTE(W101,CHAR(160),""))),0)),"Attention : Le montant retenu HT est supérieur au montant HT présenté. Merci de revoir la ligne de dépense,plafonner son montant,ou justifier la reventillation HT/TVA.",(IFERROR(VALUE(TRIM(SUBSTITUTE(AZ101,CHAR(160),""))),0))&gt;(IFERROR(VALUE(TRIM(SUBSTITUTE(X101,CHAR(160),""))),0)),"Attention : Le montant TVA retenu est supérieur au montant TVA présenté. Merci de revoir la ligne de dépense,plafonner son montant,ou justifier la reventillation HT/TVA.",(IFERROR(VALUE(TRIM(SUBSTITUTE(Y101,CHAR(160),""))),0))=0,"",(IFERROR(VALUE(TRIM(SUBSTITUTE(BA101,CHAR(160),""))),0))=(IFERROR(VALUE(TRIM(SUBSTITUTE(Y101,CHAR(160),""))),0)),"OK",
OR((IFERROR(VALUE(TRIM(SUBSTITUTE(BA101,CHAR(160),""))),0))=0,(IFERROR(VALUE(TRIM(SUBSTITUTE(AY101,CHAR(160),""))),0))=0),"Attention : montant présenté entièrement écarté",(IFERROR(VALUE(TRIM(SUBSTITUTE(BA101,CHAR(160),""))),0))&lt;(IFERROR(VALUE(TRIM(SUBSTITUTE(Y101,CHAR(160),""))),0)),"Attention : montant présenté partiellement écarté",TRUE,""))</f>
        <v/>
      </c>
      <c r="BE101" s="44" t="str">
        <f t="shared" si="87"/>
        <v/>
      </c>
      <c r="BF101" s="44" t="str">
        <f t="shared" si="88"/>
        <v/>
      </c>
      <c r="BG101" s="21" t="str">
        <f t="shared" si="89"/>
        <v/>
      </c>
    </row>
    <row r="102" spans="1:59" ht="15" customHeight="1">
      <c r="A102" s="70">
        <v>93</v>
      </c>
      <c r="B102" s="784"/>
      <c r="C102" s="7"/>
      <c r="D102" s="11"/>
      <c r="E102" s="11"/>
      <c r="F102" s="7"/>
      <c r="G102" s="7"/>
      <c r="H102" s="7"/>
      <c r="I102" s="7"/>
      <c r="J102" s="17"/>
      <c r="K102" s="7"/>
      <c r="L102" s="132"/>
      <c r="M102" s="138"/>
      <c r="N102" s="8"/>
      <c r="O102" s="35" t="str">
        <f t="shared" si="61"/>
        <v/>
      </c>
      <c r="P102" s="9"/>
      <c r="Q102" s="8"/>
      <c r="R102" s="35" t="str">
        <f t="shared" si="62"/>
        <v/>
      </c>
      <c r="S102" s="10"/>
      <c r="T102" s="8"/>
      <c r="U102" s="139" t="str">
        <f t="shared" si="63"/>
        <v/>
      </c>
      <c r="V102" s="147"/>
      <c r="W102" s="770" t="str" cm="1">
        <f t="array" ref="W102">IF((_xlfn.IFS(TRIM(SUBSTITUTE(V102,CHAR(160),""))="Devis 1",IFERROR(VALUE(TRIM(SUBSTITUTE(M102,CHAR(160),""))),0),TRIM(SUBSTITUTE(V102,CHAR(160),""))="Devis 2",IFERROR(VALUE(TRIM(SUBSTITUTE(P102,CHAR(160),""))),0),TRIM(SUBSTITUTE(V102,CHAR(160),""))="Devis 3",IFERROR(VALUE(TRIM(SUBSTITUTE(S102,CHAR(160),""))),0),TRUE,0)*IFERROR(VALUE(TRIM(SUBSTITUTE(D102,CHAR(160),""))),0))=0,"",_xlfn.IFS(TRIM(SUBSTITUTE(V102,CHAR(160),""))="Devis 1",IFERROR(VALUE(TRIM(SUBSTITUTE(M102,CHAR(160),""))),0),TRIM(SUBSTITUTE(V102,CHAR(160),""))="Devis 2",IFERROR(VALUE(TRIM(SUBSTITUTE(P102,CHAR(160),""))),0),TRIM(SUBSTITUTE(V102,CHAR(160),""))="Devis 3",IFERROR(VALUE(TRIM(SUBSTITUTE(S102,CHAR(160),""))),0),TRUE,0)*IFERROR(VALUE(TRIM(SUBSTITUTE(D102,CHAR(160),""))),0))</f>
        <v/>
      </c>
      <c r="X102" s="73" t="str" cm="1">
        <f t="array" ref="X102">IF(_xlfn.IFS(TRIM(SUBSTITUTE(V102,CHAR(160),""))="Devis 1",IFERROR(VALUE(TRIM(SUBSTITUTE(N102,CHAR(160),""))),0),TRIM(SUBSTITUTE(V102,CHAR(160),""))="Devis 2",IFERROR(VALUE(TRIM(SUBSTITUTE(Q102,CHAR(160),""))),0),TRIM(SUBSTITUTE(V102,CHAR(160),""))="Devis 3",IFERROR(VALUE(TRIM(SUBSTITUTE(T102,CHAR(160),""))),0),TRUE,0)*IFERROR(VALUE(TRIM(SUBSTITUTE(D102,CHAR(160),""))),0)=0,IF(W102&lt;&gt;"",0,""),_xlfn.IFS(TRIM(SUBSTITUTE(V102,CHAR(160),""))="Devis 1",IFERROR(VALUE(TRIM(SUBSTITUTE(N102,CHAR(160),""))),0),TRIM(SUBSTITUTE(V102,CHAR(160),""))="Devis 2",IFERROR(VALUE(TRIM(SUBSTITUTE(Q102,CHAR(160),""))),0),TRIM(SUBSTITUTE(V102,CHAR(160),""))="Devis 3",IFERROR(VALUE(TRIM(SUBSTITUTE(T102,CHAR(160),""))),0),TRUE,0)*IFERROR(VALUE(TRIM(SUBSTITUTE(D102,CHAR(160),""))),0))</f>
        <v/>
      </c>
      <c r="Y102" s="149" t="str">
        <f t="shared" si="64"/>
        <v/>
      </c>
      <c r="Z102" s="150"/>
      <c r="AA102" s="36" t="str">
        <f t="shared" si="65"/>
        <v/>
      </c>
      <c r="AB102" s="37" t="str">
        <f t="shared" si="66"/>
        <v/>
      </c>
      <c r="AC102" s="37" t="str">
        <f t="shared" si="90"/>
        <v/>
      </c>
      <c r="AD102" s="14" t="str">
        <f t="shared" si="67"/>
        <v/>
      </c>
      <c r="AE102" s="14" t="str">
        <f t="shared" si="68"/>
        <v/>
      </c>
      <c r="AF102" s="14" t="str">
        <f t="shared" si="69"/>
        <v/>
      </c>
      <c r="AG102" s="14" t="str">
        <f t="shared" si="70"/>
        <v/>
      </c>
      <c r="AH102" s="38" t="str">
        <f t="shared" si="71"/>
        <v/>
      </c>
      <c r="AI102" s="14" t="str">
        <f t="shared" si="72"/>
        <v/>
      </c>
      <c r="AJ102" s="39" t="str">
        <f t="shared" si="73"/>
        <v/>
      </c>
      <c r="AK102" s="40" t="str">
        <f t="shared" si="74"/>
        <v/>
      </c>
      <c r="AL102" s="20" t="str">
        <f t="shared" si="75"/>
        <v/>
      </c>
      <c r="AM102" s="35" t="str">
        <f t="shared" si="76"/>
        <v/>
      </c>
      <c r="AN102" s="41" t="str">
        <f t="shared" si="77"/>
        <v/>
      </c>
      <c r="AO102" s="20" t="str">
        <f t="shared" si="78"/>
        <v/>
      </c>
      <c r="AP102" s="35" t="str">
        <f t="shared" si="79"/>
        <v/>
      </c>
      <c r="AQ102" s="42" t="str">
        <f t="shared" si="80"/>
        <v/>
      </c>
      <c r="AR102" s="20" t="str">
        <f t="shared" si="81"/>
        <v/>
      </c>
      <c r="AS102" s="43" t="str">
        <f t="shared" si="82"/>
        <v/>
      </c>
      <c r="AT102" s="36" t="str">
        <f t="shared" si="83"/>
        <v/>
      </c>
      <c r="AU102" s="184"/>
      <c r="AV102" s="44" t="str">
        <f t="shared" si="84"/>
        <v/>
      </c>
      <c r="AW102" s="44" t="str">
        <f t="shared" si="85"/>
        <v/>
      </c>
      <c r="AX102" s="44" t="str">
        <f t="shared" si="86"/>
        <v/>
      </c>
      <c r="AY102" s="74" t="str" cm="1">
        <f t="array" ref="AY102">IF($AB102="","",IF((IFERROR(_xlfn.IFS($AT102="Devis 1",(IFERROR(VALUE(TRIM(SUBSTITUTE(AK102,CHAR(160),""))),0)),$AT102="Devis 2",(IFERROR(VALUE(TRIM(SUBSTITUTE(AN102,CHAR(160),""))),0)),$AT102="Devis 3",(IFERROR(VALUE(TRIM(SUBSTITUTE(AQ102,CHAR(160),""))),0))),0))*(IFERROR(VALUE(TRIM(SUBSTITUTE($AB102,CHAR(160),""))),0))=0,"",(IFERROR(_xlfn.IFS($AT102="Devis 1",(IFERROR(VALUE(TRIM(SUBSTITUTE(AK102,CHAR(160),""))),0)),$AT102="Devis 2",(IFERROR(VALUE(TRIM(SUBSTITUTE(AN102,CHAR(160),""))),0)),$AT102="Devis 3",(IFERROR(VALUE(TRIM(SUBSTITUTE(AQ102,CHAR(160),""))),0))),0))*(IFERROR(VALUE(TRIM(SUBSTITUTE($AB102,CHAR(160),""))),0))))</f>
        <v/>
      </c>
      <c r="AZ102" s="74" t="str" cm="1">
        <f t="array" ref="AZ102">IF($AB102="","",IF((IFERROR(_xlfn.IFS(TRIM(SUBSTITUTE($AT102,CHAR(160),""))="Devis 1", IFERROR(VALUE(TRIM(SUBSTITUTE(AL102,CHAR(160),""))),0),TRIM(SUBSTITUTE($AT102,CHAR(160),""))="Devis 2", IFERROR(VALUE(TRIM(SUBSTITUTE(AO102,CHAR(160),""))),0),TRIM(SUBSTITUTE($AT102,CHAR(160),""))="Devis 3", IFERROR(VALUE(TRIM(SUBSTITUTE(AR102,CHAR(160),""))),0)),0) * IFERROR(VALUE(TRIM(SUBSTITUTE($AB102,CHAR(160),""))),0)) = 0,IF(AY102&lt;&gt;"",0,""),(IFERROR(_xlfn.IFS(TRIM(SUBSTITUTE($AT102,CHAR(160),""))="Devis 1", IFERROR(VALUE(TRIM(SUBSTITUTE(AL102,CHAR(160),""))),0),TRIM(SUBSTITUTE($AT102,CHAR(160),""))="Devis 2", IFERROR(VALUE(TRIM(SUBSTITUTE(AO102,CHAR(160),""))),0),TRIM(SUBSTITUTE($AT102,CHAR(160),""))="Devis 3", IFERROR(VALUE(TRIM(SUBSTITUTE(AR102,CHAR(160),""))),0)),0) * IFERROR(VALUE(TRIM(SUBSTITUTE($AB102,CHAR(160),""))),0))))</f>
        <v/>
      </c>
      <c r="BA102" s="74" t="str" cm="1">
        <f t="array" ref="BA102">IF($AB102="","",IF(IFERROR(_xlfn.IFS($AT102="Devis 1",IFERROR(VALUE(TRIM(SUBSTITUTE(AM102,CHAR(160),""))),0),$AT102="Devis 2",IFERROR(VALUE(TRIM(SUBSTITUTE(AP102,CHAR(160),""))),0),$AT102="Devis 3",IFERROR(VALUE(TRIM(SUBSTITUTE(AS102,CHAR(160),""))),0)),0)*IFERROR(VALUE(TRIM(SUBSTITUTE($AB102,CHAR(160),""))),0)=0,"",IFERROR(_xlfn.IFS($AT102="Devis 1",IFERROR(VALUE(TRIM(SUBSTITUTE(AM102,CHAR(160),""))),0),$AT102="Devis 2",IFERROR(VALUE(TRIM(SUBSTITUTE(AP102,CHAR(160),""))),0),$AT102="Devis 3",IFERROR(VALUE(TRIM(SUBSTITUTE(AS102,CHAR(160),""))),0)),0)*IFERROR(VALUE(TRIM(SUBSTITUTE($AB102,CHAR(160),""))),0)))</f>
        <v/>
      </c>
      <c r="BB102" s="45"/>
      <c r="BC102" s="13" t="str" cm="1">
        <f t="array" ref="BC102">IF(OR(BA102="",AX102="",AY102="",AV102="",AZ102="",AW102=""),"",_xlfn.IFS((IFERROR(VALUE(TRIM(SUBSTITUTE(BA102,CHAR(160),""))),0))&gt;(IFERROR(VALUE(TRIM(SUBSTITUTE(AX102,CHAR(160),""))),0)),"KO : Le montant retenu TTC est supérieur au montant raisonnable TTC. Merci de revoir la ligne de dépense ou plafonner son montant.",(IFERROR(VALUE(TRIM(SUBSTITUTE(AY102,CHAR(160),""))),0))&gt;(IFERROR(VALUE(TRIM(SUBSTITUTE(AV102,CHAR(160),""))),0)),"Attention : Le montant retenu HT est supérieur au montant HT raisonnable. Merci de revoir la ligne de dépense, plafonner son montant, ou justifier la reventillation HT / TVA.",(IFERROR(VALUE(TRIM(SUBSTITUTE(AZ102,CHAR(160),""))),0))&gt;(IFERROR(VALUE(TRIM(SUBSTITUTE(AW102,CHAR(160),""))),0)),"Attention : Le montant TVA retenu est supérieur au montant TVA raisonnable. Merci de revoir la ligne de dépense, plafonner son montant, ou justifier la reventillation HT / TVA.",(IFERROR(VALUE(TRIM(SUBSTITUTE(BA102,CHAR(160),""))),0))=0,"",(IFERROR(VALUE(TRIM(SUBSTITUTE(AX102,CHAR(160),""))),0))=(IFERROR(VALUE(TRIM(SUBSTITUTE(BA102,CHAR(160),""))),0)),"OK",(IFERROR(VALUE(TRIM(SUBSTITUTE(AX102,CHAR(160),""))),0))&gt;(IFERROR(VALUE(TRIM(SUBSTITUTE(BA102,CHAR(160),""))),0))," OK : Montant instruit inférieur au montant raisonnable.",TRUE,""))</f>
        <v/>
      </c>
      <c r="BD102" s="187" t="str" cm="1">
        <f t="array" ref="BD102">IF(OR(BA102="",Y102="",AY102="",W102="",AZ102="",X102=""),"",_xlfn.IFS((IFERROR(VALUE(TRIM(SUBSTITUTE(BA102,CHAR(160),""))),0))&gt;(IFERROR(VALUE(TRIM(SUBSTITUTE(Y102,CHAR(160),""))),0)),"KO : Le montant retenu TTC est supérieur au montant présenté TTC. Merci de revoir la ligne de dépense ou plafonner son montant.",(IFERROR(VALUE(TRIM(SUBSTITUTE(AY102,CHAR(160),""))),0))&gt;(IFERROR(VALUE(TRIM(SUBSTITUTE(W102,CHAR(160),""))),0)),"Attention : Le montant retenu HT est supérieur au montant HT présenté. Merci de revoir la ligne de dépense,plafonner son montant,ou justifier la reventillation HT/TVA.",(IFERROR(VALUE(TRIM(SUBSTITUTE(AZ102,CHAR(160),""))),0))&gt;(IFERROR(VALUE(TRIM(SUBSTITUTE(X102,CHAR(160),""))),0)),"Attention : Le montant TVA retenu est supérieur au montant TVA présenté. Merci de revoir la ligne de dépense,plafonner son montant,ou justifier la reventillation HT/TVA.",(IFERROR(VALUE(TRIM(SUBSTITUTE(Y102,CHAR(160),""))),0))=0,"",(IFERROR(VALUE(TRIM(SUBSTITUTE(BA102,CHAR(160),""))),0))=(IFERROR(VALUE(TRIM(SUBSTITUTE(Y102,CHAR(160),""))),0)),"OK",
OR((IFERROR(VALUE(TRIM(SUBSTITUTE(BA102,CHAR(160),""))),0))=0,(IFERROR(VALUE(TRIM(SUBSTITUTE(AY102,CHAR(160),""))),0))=0),"Attention : montant présenté entièrement écarté",(IFERROR(VALUE(TRIM(SUBSTITUTE(BA102,CHAR(160),""))),0))&lt;(IFERROR(VALUE(TRIM(SUBSTITUTE(Y102,CHAR(160),""))),0)),"Attention : montant présenté partiellement écarté",TRUE,""))</f>
        <v/>
      </c>
      <c r="BE102" s="44" t="str">
        <f t="shared" si="87"/>
        <v/>
      </c>
      <c r="BF102" s="44" t="str">
        <f t="shared" si="88"/>
        <v/>
      </c>
      <c r="BG102" s="21" t="str">
        <f t="shared" si="89"/>
        <v/>
      </c>
    </row>
    <row r="103" spans="1:59" ht="15" customHeight="1">
      <c r="A103" s="70">
        <v>94</v>
      </c>
      <c r="B103" s="784"/>
      <c r="C103" s="7"/>
      <c r="D103" s="11"/>
      <c r="E103" s="11"/>
      <c r="F103" s="7"/>
      <c r="G103" s="7"/>
      <c r="H103" s="7"/>
      <c r="I103" s="7"/>
      <c r="J103" s="17"/>
      <c r="K103" s="7"/>
      <c r="L103" s="132"/>
      <c r="M103" s="138"/>
      <c r="N103" s="8"/>
      <c r="O103" s="35" t="str">
        <f t="shared" si="61"/>
        <v/>
      </c>
      <c r="P103" s="9"/>
      <c r="Q103" s="8"/>
      <c r="R103" s="35" t="str">
        <f t="shared" si="62"/>
        <v/>
      </c>
      <c r="S103" s="10"/>
      <c r="T103" s="8"/>
      <c r="U103" s="139" t="str">
        <f t="shared" si="63"/>
        <v/>
      </c>
      <c r="V103" s="147"/>
      <c r="W103" s="770" t="str" cm="1">
        <f t="array" ref="W103">IF((_xlfn.IFS(TRIM(SUBSTITUTE(V103,CHAR(160),""))="Devis 1",IFERROR(VALUE(TRIM(SUBSTITUTE(M103,CHAR(160),""))),0),TRIM(SUBSTITUTE(V103,CHAR(160),""))="Devis 2",IFERROR(VALUE(TRIM(SUBSTITUTE(P103,CHAR(160),""))),0),TRIM(SUBSTITUTE(V103,CHAR(160),""))="Devis 3",IFERROR(VALUE(TRIM(SUBSTITUTE(S103,CHAR(160),""))),0),TRUE,0)*IFERROR(VALUE(TRIM(SUBSTITUTE(D103,CHAR(160),""))),0))=0,"",_xlfn.IFS(TRIM(SUBSTITUTE(V103,CHAR(160),""))="Devis 1",IFERROR(VALUE(TRIM(SUBSTITUTE(M103,CHAR(160),""))),0),TRIM(SUBSTITUTE(V103,CHAR(160),""))="Devis 2",IFERROR(VALUE(TRIM(SUBSTITUTE(P103,CHAR(160),""))),0),TRIM(SUBSTITUTE(V103,CHAR(160),""))="Devis 3",IFERROR(VALUE(TRIM(SUBSTITUTE(S103,CHAR(160),""))),0),TRUE,0)*IFERROR(VALUE(TRIM(SUBSTITUTE(D103,CHAR(160),""))),0))</f>
        <v/>
      </c>
      <c r="X103" s="73" t="str" cm="1">
        <f t="array" ref="X103">IF(_xlfn.IFS(TRIM(SUBSTITUTE(V103,CHAR(160),""))="Devis 1",IFERROR(VALUE(TRIM(SUBSTITUTE(N103,CHAR(160),""))),0),TRIM(SUBSTITUTE(V103,CHAR(160),""))="Devis 2",IFERROR(VALUE(TRIM(SUBSTITUTE(Q103,CHAR(160),""))),0),TRIM(SUBSTITUTE(V103,CHAR(160),""))="Devis 3",IFERROR(VALUE(TRIM(SUBSTITUTE(T103,CHAR(160),""))),0),TRUE,0)*IFERROR(VALUE(TRIM(SUBSTITUTE(D103,CHAR(160),""))),0)=0,IF(W103&lt;&gt;"",0,""),_xlfn.IFS(TRIM(SUBSTITUTE(V103,CHAR(160),""))="Devis 1",IFERROR(VALUE(TRIM(SUBSTITUTE(N103,CHAR(160),""))),0),TRIM(SUBSTITUTE(V103,CHAR(160),""))="Devis 2",IFERROR(VALUE(TRIM(SUBSTITUTE(Q103,CHAR(160),""))),0),TRIM(SUBSTITUTE(V103,CHAR(160),""))="Devis 3",IFERROR(VALUE(TRIM(SUBSTITUTE(T103,CHAR(160),""))),0),TRUE,0)*IFERROR(VALUE(TRIM(SUBSTITUTE(D103,CHAR(160),""))),0))</f>
        <v/>
      </c>
      <c r="Y103" s="149" t="str">
        <f t="shared" si="64"/>
        <v/>
      </c>
      <c r="Z103" s="150"/>
      <c r="AA103" s="36" t="str">
        <f t="shared" si="65"/>
        <v/>
      </c>
      <c r="AB103" s="37" t="str">
        <f t="shared" si="66"/>
        <v/>
      </c>
      <c r="AC103" s="37" t="str">
        <f t="shared" si="90"/>
        <v/>
      </c>
      <c r="AD103" s="14" t="str">
        <f t="shared" si="67"/>
        <v/>
      </c>
      <c r="AE103" s="14" t="str">
        <f t="shared" si="68"/>
        <v/>
      </c>
      <c r="AF103" s="14" t="str">
        <f t="shared" si="69"/>
        <v/>
      </c>
      <c r="AG103" s="14" t="str">
        <f t="shared" si="70"/>
        <v/>
      </c>
      <c r="AH103" s="38" t="str">
        <f t="shared" si="71"/>
        <v/>
      </c>
      <c r="AI103" s="14" t="str">
        <f t="shared" si="72"/>
        <v/>
      </c>
      <c r="AJ103" s="39" t="str">
        <f t="shared" si="73"/>
        <v/>
      </c>
      <c r="AK103" s="40" t="str">
        <f t="shared" si="74"/>
        <v/>
      </c>
      <c r="AL103" s="20" t="str">
        <f t="shared" si="75"/>
        <v/>
      </c>
      <c r="AM103" s="35" t="str">
        <f t="shared" si="76"/>
        <v/>
      </c>
      <c r="AN103" s="41" t="str">
        <f t="shared" si="77"/>
        <v/>
      </c>
      <c r="AO103" s="20" t="str">
        <f t="shared" si="78"/>
        <v/>
      </c>
      <c r="AP103" s="35" t="str">
        <f t="shared" si="79"/>
        <v/>
      </c>
      <c r="AQ103" s="42" t="str">
        <f t="shared" si="80"/>
        <v/>
      </c>
      <c r="AR103" s="20" t="str">
        <f t="shared" si="81"/>
        <v/>
      </c>
      <c r="AS103" s="43" t="str">
        <f t="shared" si="82"/>
        <v/>
      </c>
      <c r="AT103" s="36" t="str">
        <f t="shared" si="83"/>
        <v/>
      </c>
      <c r="AU103" s="184"/>
      <c r="AV103" s="44" t="str">
        <f t="shared" si="84"/>
        <v/>
      </c>
      <c r="AW103" s="44" t="str">
        <f t="shared" si="85"/>
        <v/>
      </c>
      <c r="AX103" s="44" t="str">
        <f t="shared" si="86"/>
        <v/>
      </c>
      <c r="AY103" s="74" t="str" cm="1">
        <f t="array" ref="AY103">IF($AB103="","",IF((IFERROR(_xlfn.IFS($AT103="Devis 1",(IFERROR(VALUE(TRIM(SUBSTITUTE(AK103,CHAR(160),""))),0)),$AT103="Devis 2",(IFERROR(VALUE(TRIM(SUBSTITUTE(AN103,CHAR(160),""))),0)),$AT103="Devis 3",(IFERROR(VALUE(TRIM(SUBSTITUTE(AQ103,CHAR(160),""))),0))),0))*(IFERROR(VALUE(TRIM(SUBSTITUTE($AB103,CHAR(160),""))),0))=0,"",(IFERROR(_xlfn.IFS($AT103="Devis 1",(IFERROR(VALUE(TRIM(SUBSTITUTE(AK103,CHAR(160),""))),0)),$AT103="Devis 2",(IFERROR(VALUE(TRIM(SUBSTITUTE(AN103,CHAR(160),""))),0)),$AT103="Devis 3",(IFERROR(VALUE(TRIM(SUBSTITUTE(AQ103,CHAR(160),""))),0))),0))*(IFERROR(VALUE(TRIM(SUBSTITUTE($AB103,CHAR(160),""))),0))))</f>
        <v/>
      </c>
      <c r="AZ103" s="74" t="str" cm="1">
        <f t="array" ref="AZ103">IF($AB103="","",IF((IFERROR(_xlfn.IFS(TRIM(SUBSTITUTE($AT103,CHAR(160),""))="Devis 1", IFERROR(VALUE(TRIM(SUBSTITUTE(AL103,CHAR(160),""))),0),TRIM(SUBSTITUTE($AT103,CHAR(160),""))="Devis 2", IFERROR(VALUE(TRIM(SUBSTITUTE(AO103,CHAR(160),""))),0),TRIM(SUBSTITUTE($AT103,CHAR(160),""))="Devis 3", IFERROR(VALUE(TRIM(SUBSTITUTE(AR103,CHAR(160),""))),0)),0) * IFERROR(VALUE(TRIM(SUBSTITUTE($AB103,CHAR(160),""))),0)) = 0,IF(AY103&lt;&gt;"",0,""),(IFERROR(_xlfn.IFS(TRIM(SUBSTITUTE($AT103,CHAR(160),""))="Devis 1", IFERROR(VALUE(TRIM(SUBSTITUTE(AL103,CHAR(160),""))),0),TRIM(SUBSTITUTE($AT103,CHAR(160),""))="Devis 2", IFERROR(VALUE(TRIM(SUBSTITUTE(AO103,CHAR(160),""))),0),TRIM(SUBSTITUTE($AT103,CHAR(160),""))="Devis 3", IFERROR(VALUE(TRIM(SUBSTITUTE(AR103,CHAR(160),""))),0)),0) * IFERROR(VALUE(TRIM(SUBSTITUTE($AB103,CHAR(160),""))),0))))</f>
        <v/>
      </c>
      <c r="BA103" s="74" t="str" cm="1">
        <f t="array" ref="BA103">IF($AB103="","",IF(IFERROR(_xlfn.IFS($AT103="Devis 1",IFERROR(VALUE(TRIM(SUBSTITUTE(AM103,CHAR(160),""))),0),$AT103="Devis 2",IFERROR(VALUE(TRIM(SUBSTITUTE(AP103,CHAR(160),""))),0),$AT103="Devis 3",IFERROR(VALUE(TRIM(SUBSTITUTE(AS103,CHAR(160),""))),0)),0)*IFERROR(VALUE(TRIM(SUBSTITUTE($AB103,CHAR(160),""))),0)=0,"",IFERROR(_xlfn.IFS($AT103="Devis 1",IFERROR(VALUE(TRIM(SUBSTITUTE(AM103,CHAR(160),""))),0),$AT103="Devis 2",IFERROR(VALUE(TRIM(SUBSTITUTE(AP103,CHAR(160),""))),0),$AT103="Devis 3",IFERROR(VALUE(TRIM(SUBSTITUTE(AS103,CHAR(160),""))),0)),0)*IFERROR(VALUE(TRIM(SUBSTITUTE($AB103,CHAR(160),""))),0)))</f>
        <v/>
      </c>
      <c r="BB103" s="45"/>
      <c r="BC103" s="13" t="str" cm="1">
        <f t="array" ref="BC103">IF(OR(BA103="",AX103="",AY103="",AV103="",AZ103="",AW103=""),"",_xlfn.IFS((IFERROR(VALUE(TRIM(SUBSTITUTE(BA103,CHAR(160),""))),0))&gt;(IFERROR(VALUE(TRIM(SUBSTITUTE(AX103,CHAR(160),""))),0)),"KO : Le montant retenu TTC est supérieur au montant raisonnable TTC. Merci de revoir la ligne de dépense ou plafonner son montant.",(IFERROR(VALUE(TRIM(SUBSTITUTE(AY103,CHAR(160),""))),0))&gt;(IFERROR(VALUE(TRIM(SUBSTITUTE(AV103,CHAR(160),""))),0)),"Attention : Le montant retenu HT est supérieur au montant HT raisonnable. Merci de revoir la ligne de dépense, plafonner son montant, ou justifier la reventillation HT / TVA.",(IFERROR(VALUE(TRIM(SUBSTITUTE(AZ103,CHAR(160),""))),0))&gt;(IFERROR(VALUE(TRIM(SUBSTITUTE(AW103,CHAR(160),""))),0)),"Attention : Le montant TVA retenu est supérieur au montant TVA raisonnable. Merci de revoir la ligne de dépense, plafonner son montant, ou justifier la reventillation HT / TVA.",(IFERROR(VALUE(TRIM(SUBSTITUTE(BA103,CHAR(160),""))),0))=0,"",(IFERROR(VALUE(TRIM(SUBSTITUTE(AX103,CHAR(160),""))),0))=(IFERROR(VALUE(TRIM(SUBSTITUTE(BA103,CHAR(160),""))),0)),"OK",(IFERROR(VALUE(TRIM(SUBSTITUTE(AX103,CHAR(160),""))),0))&gt;(IFERROR(VALUE(TRIM(SUBSTITUTE(BA103,CHAR(160),""))),0))," OK : Montant instruit inférieur au montant raisonnable.",TRUE,""))</f>
        <v/>
      </c>
      <c r="BD103" s="187" t="str" cm="1">
        <f t="array" ref="BD103">IF(OR(BA103="",Y103="",AY103="",W103="",AZ103="",X103=""),"",_xlfn.IFS((IFERROR(VALUE(TRIM(SUBSTITUTE(BA103,CHAR(160),""))),0))&gt;(IFERROR(VALUE(TRIM(SUBSTITUTE(Y103,CHAR(160),""))),0)),"KO : Le montant retenu TTC est supérieur au montant présenté TTC. Merci de revoir la ligne de dépense ou plafonner son montant.",(IFERROR(VALUE(TRIM(SUBSTITUTE(AY103,CHAR(160),""))),0))&gt;(IFERROR(VALUE(TRIM(SUBSTITUTE(W103,CHAR(160),""))),0)),"Attention : Le montant retenu HT est supérieur au montant HT présenté. Merci de revoir la ligne de dépense,plafonner son montant,ou justifier la reventillation HT/TVA.",(IFERROR(VALUE(TRIM(SUBSTITUTE(AZ103,CHAR(160),""))),0))&gt;(IFERROR(VALUE(TRIM(SUBSTITUTE(X103,CHAR(160),""))),0)),"Attention : Le montant TVA retenu est supérieur au montant TVA présenté. Merci de revoir la ligne de dépense,plafonner son montant,ou justifier la reventillation HT/TVA.",(IFERROR(VALUE(TRIM(SUBSTITUTE(Y103,CHAR(160),""))),0))=0,"",(IFERROR(VALUE(TRIM(SUBSTITUTE(BA103,CHAR(160),""))),0))=(IFERROR(VALUE(TRIM(SUBSTITUTE(Y103,CHAR(160),""))),0)),"OK",
OR((IFERROR(VALUE(TRIM(SUBSTITUTE(BA103,CHAR(160),""))),0))=0,(IFERROR(VALUE(TRIM(SUBSTITUTE(AY103,CHAR(160),""))),0))=0),"Attention : montant présenté entièrement écarté",(IFERROR(VALUE(TRIM(SUBSTITUTE(BA103,CHAR(160),""))),0))&lt;(IFERROR(VALUE(TRIM(SUBSTITUTE(Y103,CHAR(160),""))),0)),"Attention : montant présenté partiellement écarté",TRUE,""))</f>
        <v/>
      </c>
      <c r="BE103" s="44" t="str">
        <f t="shared" si="87"/>
        <v/>
      </c>
      <c r="BF103" s="44" t="str">
        <f t="shared" si="88"/>
        <v/>
      </c>
      <c r="BG103" s="21" t="str">
        <f t="shared" si="89"/>
        <v/>
      </c>
    </row>
    <row r="104" spans="1:59" ht="15" customHeight="1">
      <c r="A104" s="70">
        <v>95</v>
      </c>
      <c r="B104" s="784"/>
      <c r="C104" s="7"/>
      <c r="D104" s="11"/>
      <c r="E104" s="11"/>
      <c r="F104" s="7"/>
      <c r="G104" s="7"/>
      <c r="H104" s="7"/>
      <c r="I104" s="7"/>
      <c r="J104" s="17"/>
      <c r="K104" s="7"/>
      <c r="L104" s="132"/>
      <c r="M104" s="138"/>
      <c r="N104" s="8"/>
      <c r="O104" s="35" t="str">
        <f t="shared" si="61"/>
        <v/>
      </c>
      <c r="P104" s="9"/>
      <c r="Q104" s="8"/>
      <c r="R104" s="35" t="str">
        <f t="shared" si="62"/>
        <v/>
      </c>
      <c r="S104" s="10"/>
      <c r="T104" s="8"/>
      <c r="U104" s="139" t="str">
        <f t="shared" si="63"/>
        <v/>
      </c>
      <c r="V104" s="147"/>
      <c r="W104" s="770" t="str" cm="1">
        <f t="array" ref="W104">IF((_xlfn.IFS(TRIM(SUBSTITUTE(V104,CHAR(160),""))="Devis 1",IFERROR(VALUE(TRIM(SUBSTITUTE(M104,CHAR(160),""))),0),TRIM(SUBSTITUTE(V104,CHAR(160),""))="Devis 2",IFERROR(VALUE(TRIM(SUBSTITUTE(P104,CHAR(160),""))),0),TRIM(SUBSTITUTE(V104,CHAR(160),""))="Devis 3",IFERROR(VALUE(TRIM(SUBSTITUTE(S104,CHAR(160),""))),0),TRUE,0)*IFERROR(VALUE(TRIM(SUBSTITUTE(D104,CHAR(160),""))),0))=0,"",_xlfn.IFS(TRIM(SUBSTITUTE(V104,CHAR(160),""))="Devis 1",IFERROR(VALUE(TRIM(SUBSTITUTE(M104,CHAR(160),""))),0),TRIM(SUBSTITUTE(V104,CHAR(160),""))="Devis 2",IFERROR(VALUE(TRIM(SUBSTITUTE(P104,CHAR(160),""))),0),TRIM(SUBSTITUTE(V104,CHAR(160),""))="Devis 3",IFERROR(VALUE(TRIM(SUBSTITUTE(S104,CHAR(160),""))),0),TRUE,0)*IFERROR(VALUE(TRIM(SUBSTITUTE(D104,CHAR(160),""))),0))</f>
        <v/>
      </c>
      <c r="X104" s="73" t="str" cm="1">
        <f t="array" ref="X104">IF(_xlfn.IFS(TRIM(SUBSTITUTE(V104,CHAR(160),""))="Devis 1",IFERROR(VALUE(TRIM(SUBSTITUTE(N104,CHAR(160),""))),0),TRIM(SUBSTITUTE(V104,CHAR(160),""))="Devis 2",IFERROR(VALUE(TRIM(SUBSTITUTE(Q104,CHAR(160),""))),0),TRIM(SUBSTITUTE(V104,CHAR(160),""))="Devis 3",IFERROR(VALUE(TRIM(SUBSTITUTE(T104,CHAR(160),""))),0),TRUE,0)*IFERROR(VALUE(TRIM(SUBSTITUTE(D104,CHAR(160),""))),0)=0,IF(W104&lt;&gt;"",0,""),_xlfn.IFS(TRIM(SUBSTITUTE(V104,CHAR(160),""))="Devis 1",IFERROR(VALUE(TRIM(SUBSTITUTE(N104,CHAR(160),""))),0),TRIM(SUBSTITUTE(V104,CHAR(160),""))="Devis 2",IFERROR(VALUE(TRIM(SUBSTITUTE(Q104,CHAR(160),""))),0),TRIM(SUBSTITUTE(V104,CHAR(160),""))="Devis 3",IFERROR(VALUE(TRIM(SUBSTITUTE(T104,CHAR(160),""))),0),TRUE,0)*IFERROR(VALUE(TRIM(SUBSTITUTE(D104,CHAR(160),""))),0))</f>
        <v/>
      </c>
      <c r="Y104" s="149" t="str">
        <f t="shared" si="64"/>
        <v/>
      </c>
      <c r="Z104" s="150"/>
      <c r="AA104" s="36" t="str">
        <f t="shared" si="65"/>
        <v/>
      </c>
      <c r="AB104" s="37" t="str">
        <f t="shared" si="66"/>
        <v/>
      </c>
      <c r="AC104" s="37" t="str">
        <f t="shared" si="90"/>
        <v/>
      </c>
      <c r="AD104" s="14" t="str">
        <f t="shared" si="67"/>
        <v/>
      </c>
      <c r="AE104" s="14" t="str">
        <f t="shared" si="68"/>
        <v/>
      </c>
      <c r="AF104" s="14" t="str">
        <f t="shared" si="69"/>
        <v/>
      </c>
      <c r="AG104" s="14" t="str">
        <f t="shared" si="70"/>
        <v/>
      </c>
      <c r="AH104" s="38" t="str">
        <f t="shared" si="71"/>
        <v/>
      </c>
      <c r="AI104" s="14" t="str">
        <f t="shared" si="72"/>
        <v/>
      </c>
      <c r="AJ104" s="39" t="str">
        <f t="shared" si="73"/>
        <v/>
      </c>
      <c r="AK104" s="40" t="str">
        <f t="shared" si="74"/>
        <v/>
      </c>
      <c r="AL104" s="20" t="str">
        <f t="shared" si="75"/>
        <v/>
      </c>
      <c r="AM104" s="35" t="str">
        <f t="shared" si="76"/>
        <v/>
      </c>
      <c r="AN104" s="41" t="str">
        <f t="shared" si="77"/>
        <v/>
      </c>
      <c r="AO104" s="20" t="str">
        <f t="shared" si="78"/>
        <v/>
      </c>
      <c r="AP104" s="35" t="str">
        <f t="shared" si="79"/>
        <v/>
      </c>
      <c r="AQ104" s="42" t="str">
        <f t="shared" si="80"/>
        <v/>
      </c>
      <c r="AR104" s="20" t="str">
        <f t="shared" si="81"/>
        <v/>
      </c>
      <c r="AS104" s="43" t="str">
        <f t="shared" si="82"/>
        <v/>
      </c>
      <c r="AT104" s="36" t="str">
        <f t="shared" si="83"/>
        <v/>
      </c>
      <c r="AU104" s="184"/>
      <c r="AV104" s="44" t="str">
        <f t="shared" si="84"/>
        <v/>
      </c>
      <c r="AW104" s="44" t="str">
        <f t="shared" si="85"/>
        <v/>
      </c>
      <c r="AX104" s="44" t="str">
        <f t="shared" si="86"/>
        <v/>
      </c>
      <c r="AY104" s="74" t="str" cm="1">
        <f t="array" ref="AY104">IF($AB104="","",IF((IFERROR(_xlfn.IFS($AT104="Devis 1",(IFERROR(VALUE(TRIM(SUBSTITUTE(AK104,CHAR(160),""))),0)),$AT104="Devis 2",(IFERROR(VALUE(TRIM(SUBSTITUTE(AN104,CHAR(160),""))),0)),$AT104="Devis 3",(IFERROR(VALUE(TRIM(SUBSTITUTE(AQ104,CHAR(160),""))),0))),0))*(IFERROR(VALUE(TRIM(SUBSTITUTE($AB104,CHAR(160),""))),0))=0,"",(IFERROR(_xlfn.IFS($AT104="Devis 1",(IFERROR(VALUE(TRIM(SUBSTITUTE(AK104,CHAR(160),""))),0)),$AT104="Devis 2",(IFERROR(VALUE(TRIM(SUBSTITUTE(AN104,CHAR(160),""))),0)),$AT104="Devis 3",(IFERROR(VALUE(TRIM(SUBSTITUTE(AQ104,CHAR(160),""))),0))),0))*(IFERROR(VALUE(TRIM(SUBSTITUTE($AB104,CHAR(160),""))),0))))</f>
        <v/>
      </c>
      <c r="AZ104" s="74" t="str" cm="1">
        <f t="array" ref="AZ104">IF($AB104="","",IF((IFERROR(_xlfn.IFS(TRIM(SUBSTITUTE($AT104,CHAR(160),""))="Devis 1", IFERROR(VALUE(TRIM(SUBSTITUTE(AL104,CHAR(160),""))),0),TRIM(SUBSTITUTE($AT104,CHAR(160),""))="Devis 2", IFERROR(VALUE(TRIM(SUBSTITUTE(AO104,CHAR(160),""))),0),TRIM(SUBSTITUTE($AT104,CHAR(160),""))="Devis 3", IFERROR(VALUE(TRIM(SUBSTITUTE(AR104,CHAR(160),""))),0)),0) * IFERROR(VALUE(TRIM(SUBSTITUTE($AB104,CHAR(160),""))),0)) = 0,IF(AY104&lt;&gt;"",0,""),(IFERROR(_xlfn.IFS(TRIM(SUBSTITUTE($AT104,CHAR(160),""))="Devis 1", IFERROR(VALUE(TRIM(SUBSTITUTE(AL104,CHAR(160),""))),0),TRIM(SUBSTITUTE($AT104,CHAR(160),""))="Devis 2", IFERROR(VALUE(TRIM(SUBSTITUTE(AO104,CHAR(160),""))),0),TRIM(SUBSTITUTE($AT104,CHAR(160),""))="Devis 3", IFERROR(VALUE(TRIM(SUBSTITUTE(AR104,CHAR(160),""))),0)),0) * IFERROR(VALUE(TRIM(SUBSTITUTE($AB104,CHAR(160),""))),0))))</f>
        <v/>
      </c>
      <c r="BA104" s="74" t="str" cm="1">
        <f t="array" ref="BA104">IF($AB104="","",IF(IFERROR(_xlfn.IFS($AT104="Devis 1",IFERROR(VALUE(TRIM(SUBSTITUTE(AM104,CHAR(160),""))),0),$AT104="Devis 2",IFERROR(VALUE(TRIM(SUBSTITUTE(AP104,CHAR(160),""))),0),$AT104="Devis 3",IFERROR(VALUE(TRIM(SUBSTITUTE(AS104,CHAR(160),""))),0)),0)*IFERROR(VALUE(TRIM(SUBSTITUTE($AB104,CHAR(160),""))),0)=0,"",IFERROR(_xlfn.IFS($AT104="Devis 1",IFERROR(VALUE(TRIM(SUBSTITUTE(AM104,CHAR(160),""))),0),$AT104="Devis 2",IFERROR(VALUE(TRIM(SUBSTITUTE(AP104,CHAR(160),""))),0),$AT104="Devis 3",IFERROR(VALUE(TRIM(SUBSTITUTE(AS104,CHAR(160),""))),0)),0)*IFERROR(VALUE(TRIM(SUBSTITUTE($AB104,CHAR(160),""))),0)))</f>
        <v/>
      </c>
      <c r="BB104" s="45"/>
      <c r="BC104" s="13" t="str" cm="1">
        <f t="array" ref="BC104">IF(OR(BA104="",AX104="",AY104="",AV104="",AZ104="",AW104=""),"",_xlfn.IFS((IFERROR(VALUE(TRIM(SUBSTITUTE(BA104,CHAR(160),""))),0))&gt;(IFERROR(VALUE(TRIM(SUBSTITUTE(AX104,CHAR(160),""))),0)),"KO : Le montant retenu TTC est supérieur au montant raisonnable TTC. Merci de revoir la ligne de dépense ou plafonner son montant.",(IFERROR(VALUE(TRIM(SUBSTITUTE(AY104,CHAR(160),""))),0))&gt;(IFERROR(VALUE(TRIM(SUBSTITUTE(AV104,CHAR(160),""))),0)),"Attention : Le montant retenu HT est supérieur au montant HT raisonnable. Merci de revoir la ligne de dépense, plafonner son montant, ou justifier la reventillation HT / TVA.",(IFERROR(VALUE(TRIM(SUBSTITUTE(AZ104,CHAR(160),""))),0))&gt;(IFERROR(VALUE(TRIM(SUBSTITUTE(AW104,CHAR(160),""))),0)),"Attention : Le montant TVA retenu est supérieur au montant TVA raisonnable. Merci de revoir la ligne de dépense, plafonner son montant, ou justifier la reventillation HT / TVA.",(IFERROR(VALUE(TRIM(SUBSTITUTE(BA104,CHAR(160),""))),0))=0,"",(IFERROR(VALUE(TRIM(SUBSTITUTE(AX104,CHAR(160),""))),0))=(IFERROR(VALUE(TRIM(SUBSTITUTE(BA104,CHAR(160),""))),0)),"OK",(IFERROR(VALUE(TRIM(SUBSTITUTE(AX104,CHAR(160),""))),0))&gt;(IFERROR(VALUE(TRIM(SUBSTITUTE(BA104,CHAR(160),""))),0))," OK : Montant instruit inférieur au montant raisonnable.",TRUE,""))</f>
        <v/>
      </c>
      <c r="BD104" s="187" t="str" cm="1">
        <f t="array" ref="BD104">IF(OR(BA104="",Y104="",AY104="",W104="",AZ104="",X104=""),"",_xlfn.IFS((IFERROR(VALUE(TRIM(SUBSTITUTE(BA104,CHAR(160),""))),0))&gt;(IFERROR(VALUE(TRIM(SUBSTITUTE(Y104,CHAR(160),""))),0)),"KO : Le montant retenu TTC est supérieur au montant présenté TTC. Merci de revoir la ligne de dépense ou plafonner son montant.",(IFERROR(VALUE(TRIM(SUBSTITUTE(AY104,CHAR(160),""))),0))&gt;(IFERROR(VALUE(TRIM(SUBSTITUTE(W104,CHAR(160),""))),0)),"Attention : Le montant retenu HT est supérieur au montant HT présenté. Merci de revoir la ligne de dépense,plafonner son montant,ou justifier la reventillation HT/TVA.",(IFERROR(VALUE(TRIM(SUBSTITUTE(AZ104,CHAR(160),""))),0))&gt;(IFERROR(VALUE(TRIM(SUBSTITUTE(X104,CHAR(160),""))),0)),"Attention : Le montant TVA retenu est supérieur au montant TVA présenté. Merci de revoir la ligne de dépense,plafonner son montant,ou justifier la reventillation HT/TVA.",(IFERROR(VALUE(TRIM(SUBSTITUTE(Y104,CHAR(160),""))),0))=0,"",(IFERROR(VALUE(TRIM(SUBSTITUTE(BA104,CHAR(160),""))),0))=(IFERROR(VALUE(TRIM(SUBSTITUTE(Y104,CHAR(160),""))),0)),"OK",
OR((IFERROR(VALUE(TRIM(SUBSTITUTE(BA104,CHAR(160),""))),0))=0,(IFERROR(VALUE(TRIM(SUBSTITUTE(AY104,CHAR(160),""))),0))=0),"Attention : montant présenté entièrement écarté",(IFERROR(VALUE(TRIM(SUBSTITUTE(BA104,CHAR(160),""))),0))&lt;(IFERROR(VALUE(TRIM(SUBSTITUTE(Y104,CHAR(160),""))),0)),"Attention : montant présenté partiellement écarté",TRUE,""))</f>
        <v/>
      </c>
      <c r="BE104" s="44" t="str">
        <f t="shared" si="87"/>
        <v/>
      </c>
      <c r="BF104" s="44" t="str">
        <f t="shared" si="88"/>
        <v/>
      </c>
      <c r="BG104" s="21" t="str">
        <f t="shared" si="89"/>
        <v/>
      </c>
    </row>
    <row r="105" spans="1:59" ht="15" customHeight="1">
      <c r="A105" s="70">
        <v>96</v>
      </c>
      <c r="B105" s="784"/>
      <c r="C105" s="7"/>
      <c r="D105" s="11"/>
      <c r="E105" s="11"/>
      <c r="F105" s="7"/>
      <c r="G105" s="7"/>
      <c r="H105" s="7"/>
      <c r="I105" s="7"/>
      <c r="J105" s="17"/>
      <c r="K105" s="7"/>
      <c r="L105" s="132"/>
      <c r="M105" s="138"/>
      <c r="N105" s="8"/>
      <c r="O105" s="35" t="str">
        <f t="shared" ref="O105:O109" si="91">IF(OR(M105="", N105=""), "", IFERROR(VALUE(TRIM(SUBSTITUTE(M105,CHAR(160),""))),0) + IFERROR(VALUE(TRIM(SUBSTITUTE(N105,CHAR(160),""))),0))</f>
        <v/>
      </c>
      <c r="P105" s="9"/>
      <c r="Q105" s="8"/>
      <c r="R105" s="35" t="str">
        <f t="shared" ref="R105:R109" si="92">IF(OR(P105="", Q105=""), "", IFERROR(VALUE(TRIM(SUBSTITUTE(P105,CHAR(160),""))),0) + IFERROR(VALUE(TRIM(SUBSTITUTE(Q105,CHAR(160),""))),0))</f>
        <v/>
      </c>
      <c r="S105" s="10"/>
      <c r="T105" s="8"/>
      <c r="U105" s="139" t="str">
        <f t="shared" ref="U105:U109" si="93">IF(OR(S105="", T105=""), "", IFERROR(VALUE(TRIM(SUBSTITUTE(S105,CHAR(160),""))),0) + IFERROR(VALUE(TRIM(SUBSTITUTE(T105,CHAR(160),""))),0))</f>
        <v/>
      </c>
      <c r="V105" s="147"/>
      <c r="W105" s="770" t="str" cm="1">
        <f t="array" ref="W105">IF((_xlfn.IFS(TRIM(SUBSTITUTE(V105,CHAR(160),""))="Devis 1",IFERROR(VALUE(TRIM(SUBSTITUTE(M105,CHAR(160),""))),0),TRIM(SUBSTITUTE(V105,CHAR(160),""))="Devis 2",IFERROR(VALUE(TRIM(SUBSTITUTE(P105,CHAR(160),""))),0),TRIM(SUBSTITUTE(V105,CHAR(160),""))="Devis 3",IFERROR(VALUE(TRIM(SUBSTITUTE(S105,CHAR(160),""))),0),TRUE,0)*IFERROR(VALUE(TRIM(SUBSTITUTE(D105,CHAR(160),""))),0))=0,"",_xlfn.IFS(TRIM(SUBSTITUTE(V105,CHAR(160),""))="Devis 1",IFERROR(VALUE(TRIM(SUBSTITUTE(M105,CHAR(160),""))),0),TRIM(SUBSTITUTE(V105,CHAR(160),""))="Devis 2",IFERROR(VALUE(TRIM(SUBSTITUTE(P105,CHAR(160),""))),0),TRIM(SUBSTITUTE(V105,CHAR(160),""))="Devis 3",IFERROR(VALUE(TRIM(SUBSTITUTE(S105,CHAR(160),""))),0),TRUE,0)*IFERROR(VALUE(TRIM(SUBSTITUTE(D105,CHAR(160),""))),0))</f>
        <v/>
      </c>
      <c r="X105" s="73" t="str" cm="1">
        <f t="array" ref="X105">IF(_xlfn.IFS(TRIM(SUBSTITUTE(V105,CHAR(160),""))="Devis 1",IFERROR(VALUE(TRIM(SUBSTITUTE(N105,CHAR(160),""))),0),TRIM(SUBSTITUTE(V105,CHAR(160),""))="Devis 2",IFERROR(VALUE(TRIM(SUBSTITUTE(Q105,CHAR(160),""))),0),TRIM(SUBSTITUTE(V105,CHAR(160),""))="Devis 3",IFERROR(VALUE(TRIM(SUBSTITUTE(T105,CHAR(160),""))),0),TRUE,0)*IFERROR(VALUE(TRIM(SUBSTITUTE(D105,CHAR(160),""))),0)=0,IF(W105&lt;&gt;"",0,""),_xlfn.IFS(TRIM(SUBSTITUTE(V105,CHAR(160),""))="Devis 1",IFERROR(VALUE(TRIM(SUBSTITUTE(N105,CHAR(160),""))),0),TRIM(SUBSTITUTE(V105,CHAR(160),""))="Devis 2",IFERROR(VALUE(TRIM(SUBSTITUTE(Q105,CHAR(160),""))),0),TRIM(SUBSTITUTE(V105,CHAR(160),""))="Devis 3",IFERROR(VALUE(TRIM(SUBSTITUTE(T105,CHAR(160),""))),0),TRUE,0)*IFERROR(VALUE(TRIM(SUBSTITUTE(D105,CHAR(160),""))),0))</f>
        <v/>
      </c>
      <c r="Y105" s="149" t="str">
        <f t="shared" ref="Y105:Y109" si="94">IF(OR(W105="", X105=""), "", IFERROR(VALUE(TRIM(SUBSTITUTE(W105,CHAR(160),""))),0) + IFERROR(VALUE(TRIM(SUBSTITUTE(X105,CHAR(160),""))),0))</f>
        <v/>
      </c>
      <c r="Z105" s="150"/>
      <c r="AA105" s="36" t="str">
        <f t="shared" si="65"/>
        <v/>
      </c>
      <c r="AB105" s="37" t="str">
        <f t="shared" si="66"/>
        <v/>
      </c>
      <c r="AC105" s="37" t="str">
        <f t="shared" si="90"/>
        <v/>
      </c>
      <c r="AD105" s="14" t="str">
        <f t="shared" si="67"/>
        <v/>
      </c>
      <c r="AE105" s="14" t="str">
        <f t="shared" si="68"/>
        <v/>
      </c>
      <c r="AF105" s="14" t="str">
        <f t="shared" si="69"/>
        <v/>
      </c>
      <c r="AG105" s="14" t="str">
        <f t="shared" si="70"/>
        <v/>
      </c>
      <c r="AH105" s="38" t="str">
        <f t="shared" si="71"/>
        <v/>
      </c>
      <c r="AI105" s="14" t="str">
        <f t="shared" si="72"/>
        <v/>
      </c>
      <c r="AJ105" s="39" t="str">
        <f t="shared" si="73"/>
        <v/>
      </c>
      <c r="AK105" s="40" t="str">
        <f t="shared" si="74"/>
        <v/>
      </c>
      <c r="AL105" s="20" t="str">
        <f t="shared" si="75"/>
        <v/>
      </c>
      <c r="AM105" s="35" t="str">
        <f t="shared" ref="AM105:AM109" si="95">IF(OR(AK105="", AL105=""), "", IFERROR(VALUE(TRIM(SUBSTITUTE(AK105,CHAR(160),""))),0) + IFERROR(VALUE(TRIM(SUBSTITUTE(AL105,CHAR(160),""))),0))</f>
        <v/>
      </c>
      <c r="AN105" s="41" t="str">
        <f t="shared" si="77"/>
        <v/>
      </c>
      <c r="AO105" s="20" t="str">
        <f t="shared" si="78"/>
        <v/>
      </c>
      <c r="AP105" s="35" t="str">
        <f t="shared" ref="AP105:AP109" si="96">IF(OR(AN105="",AO105=""),"",IFERROR(VALUE(TRIM(SUBSTITUTE(AN105,CHAR(160),""))),0)+IFERROR(VALUE(TRIM(SUBSTITUTE(AO105,CHAR(160),""))),0))</f>
        <v/>
      </c>
      <c r="AQ105" s="42" t="str">
        <f t="shared" si="80"/>
        <v/>
      </c>
      <c r="AR105" s="20" t="str">
        <f t="shared" si="81"/>
        <v/>
      </c>
      <c r="AS105" s="43" t="str">
        <f t="shared" ref="AS105:AS109" si="97">IF(OR(AQ105="",AR105=""),"",IFERROR(VALUE(TRIM(SUBSTITUTE(AQ105,CHAR(160),""))),0)+IFERROR(VALUE(TRIM(SUBSTITUTE(AR105,CHAR(160),""))),0))</f>
        <v/>
      </c>
      <c r="AT105" s="36" t="str">
        <f t="shared" si="83"/>
        <v/>
      </c>
      <c r="AU105" s="184"/>
      <c r="AV105" s="44" t="str">
        <f t="shared" si="84"/>
        <v/>
      </c>
      <c r="AW105" s="44" t="str">
        <f t="shared" ref="AW105:AW109" si="98">IF(AV105="","",IF( AND(IFERROR(VALUE(TRIM(SUBSTITUTE(AL105,CHAR(160),""))),0)=0,IFERROR(VALUE(TRIM(SUBSTITUTE(AO105,CHAR(160),""))),0)=0,IFERROR(VALUE(TRIM(SUBSTITUTE(AR105,CHAR(160),""))),0)=0),0,1.15*MIN(IF(IFERROR(VALUE(TRIM(SUBSTITUTE(AL105,CHAR(160),""))),0)=0, 1E+30, IFERROR(VALUE(TRIM(SUBSTITUTE(AL105,CHAR(160),""))),0)),IF(IFERROR(VALUE(TRIM(SUBSTITUTE(AO105,CHAR(160),""))),0)=0, 1E+30, IFERROR(VALUE(TRIM(SUBSTITUTE(AO105,CHAR(160),""))),0)),IF(IFERROR(VALUE(TRIM(SUBSTITUTE(AR105,CHAR(160),""))),0)=0, 1E+30, IFERROR(VALUE(TRIM(SUBSTITUTE(AR105,CHAR(160),""))),0))) *IFERROR(VALUE(TRIM(SUBSTITUTE(AB105,CHAR(160),""))),0)))</f>
        <v/>
      </c>
      <c r="AX105" s="44" t="str">
        <f t="shared" ref="AX105:AX109" si="99">IF(AV105="","",AV105+AW105)</f>
        <v/>
      </c>
      <c r="AY105" s="74" t="str" cm="1">
        <f t="array" ref="AY105">IF($AB105="","",IF((IFERROR(_xlfn.IFS($AT105="Devis 1",(IFERROR(VALUE(TRIM(SUBSTITUTE(AK105,CHAR(160),""))),0)),$AT105="Devis 2",(IFERROR(VALUE(TRIM(SUBSTITUTE(AN105,CHAR(160),""))),0)),$AT105="Devis 3",(IFERROR(VALUE(TRIM(SUBSTITUTE(AQ105,CHAR(160),""))),0))),0))*(IFERROR(VALUE(TRIM(SUBSTITUTE($AB105,CHAR(160),""))),0))=0,"",(IFERROR(_xlfn.IFS($AT105="Devis 1",(IFERROR(VALUE(TRIM(SUBSTITUTE(AK105,CHAR(160),""))),0)),$AT105="Devis 2",(IFERROR(VALUE(TRIM(SUBSTITUTE(AN105,CHAR(160),""))),0)),$AT105="Devis 3",(IFERROR(VALUE(TRIM(SUBSTITUTE(AQ105,CHAR(160),""))),0))),0))*(IFERROR(VALUE(TRIM(SUBSTITUTE($AB105,CHAR(160),""))),0))))</f>
        <v/>
      </c>
      <c r="AZ105" s="74" t="str" cm="1">
        <f t="array" ref="AZ105">IF($AB105="","",IF((IFERROR(_xlfn.IFS(TRIM(SUBSTITUTE($AT105,CHAR(160),""))="Devis 1", IFERROR(VALUE(TRIM(SUBSTITUTE(AL105,CHAR(160),""))),0),TRIM(SUBSTITUTE($AT105,CHAR(160),""))="Devis 2", IFERROR(VALUE(TRIM(SUBSTITUTE(AO105,CHAR(160),""))),0),TRIM(SUBSTITUTE($AT105,CHAR(160),""))="Devis 3", IFERROR(VALUE(TRIM(SUBSTITUTE(AR105,CHAR(160),""))),0)),0) * IFERROR(VALUE(TRIM(SUBSTITUTE($AB105,CHAR(160),""))),0)) = 0,IF(AY105&lt;&gt;"",0,""),(IFERROR(_xlfn.IFS(TRIM(SUBSTITUTE($AT105,CHAR(160),""))="Devis 1", IFERROR(VALUE(TRIM(SUBSTITUTE(AL105,CHAR(160),""))),0),TRIM(SUBSTITUTE($AT105,CHAR(160),""))="Devis 2", IFERROR(VALUE(TRIM(SUBSTITUTE(AO105,CHAR(160),""))),0),TRIM(SUBSTITUTE($AT105,CHAR(160),""))="Devis 3", IFERROR(VALUE(TRIM(SUBSTITUTE(AR105,CHAR(160),""))),0)),0) * IFERROR(VALUE(TRIM(SUBSTITUTE($AB105,CHAR(160),""))),0))))</f>
        <v/>
      </c>
      <c r="BA105" s="74" t="str" cm="1">
        <f t="array" ref="BA105">IF($AB105="","",IF(IFERROR(_xlfn.IFS($AT105="Devis 1",IFERROR(VALUE(TRIM(SUBSTITUTE(AM105,CHAR(160),""))),0),$AT105="Devis 2",IFERROR(VALUE(TRIM(SUBSTITUTE(AP105,CHAR(160),""))),0),$AT105="Devis 3",IFERROR(VALUE(TRIM(SUBSTITUTE(AS105,CHAR(160),""))),0)),0)*IFERROR(VALUE(TRIM(SUBSTITUTE($AB105,CHAR(160),""))),0)=0,"",IFERROR(_xlfn.IFS($AT105="Devis 1",IFERROR(VALUE(TRIM(SUBSTITUTE(AM105,CHAR(160),""))),0),$AT105="Devis 2",IFERROR(VALUE(TRIM(SUBSTITUTE(AP105,CHAR(160),""))),0),$AT105="Devis 3",IFERROR(VALUE(TRIM(SUBSTITUTE(AS105,CHAR(160),""))),0)),0)*IFERROR(VALUE(TRIM(SUBSTITUTE($AB105,CHAR(160),""))),0)))</f>
        <v/>
      </c>
      <c r="BB105" s="45"/>
      <c r="BC105" s="13" t="str" cm="1">
        <f t="array" ref="BC105">IF(OR(BA105="",AX105="",AY105="",AV105="",AZ105="",AW105=""),"",_xlfn.IFS((IFERROR(VALUE(TRIM(SUBSTITUTE(BA105,CHAR(160),""))),0))&gt;(IFERROR(VALUE(TRIM(SUBSTITUTE(AX105,CHAR(160),""))),0)),"KO : Le montant retenu TTC est supérieur au montant raisonnable TTC. Merci de revoir la ligne de dépense ou plafonner son montant.",(IFERROR(VALUE(TRIM(SUBSTITUTE(AY105,CHAR(160),""))),0))&gt;(IFERROR(VALUE(TRIM(SUBSTITUTE(AV105,CHAR(160),""))),0)),"Attention : Le montant retenu HT est supérieur au montant HT raisonnable. Merci de revoir la ligne de dépense, plafonner son montant, ou justifier la reventillation HT / TVA.",(IFERROR(VALUE(TRIM(SUBSTITUTE(AZ105,CHAR(160),""))),0))&gt;(IFERROR(VALUE(TRIM(SUBSTITUTE(AW105,CHAR(160),""))),0)),"Attention : Le montant TVA retenu est supérieur au montant TVA raisonnable. Merci de revoir la ligne de dépense, plafonner son montant, ou justifier la reventillation HT / TVA.",(IFERROR(VALUE(TRIM(SUBSTITUTE(BA105,CHAR(160),""))),0))=0,"",(IFERROR(VALUE(TRIM(SUBSTITUTE(AX105,CHAR(160),""))),0))=(IFERROR(VALUE(TRIM(SUBSTITUTE(BA105,CHAR(160),""))),0)),"OK",(IFERROR(VALUE(TRIM(SUBSTITUTE(AX105,CHAR(160),""))),0))&gt;(IFERROR(VALUE(TRIM(SUBSTITUTE(BA105,CHAR(160),""))),0))," OK : Montant instruit inférieur au montant raisonnable.",TRUE,""))</f>
        <v/>
      </c>
      <c r="BD105" s="187" t="str" cm="1">
        <f t="array" ref="BD105">IF(OR(BA105="",Y105="",AY105="",W105="",AZ105="",X105=""),"",_xlfn.IFS((IFERROR(VALUE(TRIM(SUBSTITUTE(BA105,CHAR(160),""))),0))&gt;(IFERROR(VALUE(TRIM(SUBSTITUTE(Y105,CHAR(160),""))),0)),"KO : Le montant retenu TTC est supérieur au montant présenté TTC. Merci de revoir la ligne de dépense ou plafonner son montant.",(IFERROR(VALUE(TRIM(SUBSTITUTE(AY105,CHAR(160),""))),0))&gt;(IFERROR(VALUE(TRIM(SUBSTITUTE(W105,CHAR(160),""))),0)),"Attention : Le montant retenu HT est supérieur au montant HT présenté. Merci de revoir la ligne de dépense,plafonner son montant,ou justifier la reventillation HT/TVA.",(IFERROR(VALUE(TRIM(SUBSTITUTE(AZ105,CHAR(160),""))),0))&gt;(IFERROR(VALUE(TRIM(SUBSTITUTE(X105,CHAR(160),""))),0)),"Attention : Le montant TVA retenu est supérieur au montant TVA présenté. Merci de revoir la ligne de dépense,plafonner son montant,ou justifier la reventillation HT/TVA.",(IFERROR(VALUE(TRIM(SUBSTITUTE(Y105,CHAR(160),""))),0))=0,"",(IFERROR(VALUE(TRIM(SUBSTITUTE(BA105,CHAR(160),""))),0))=(IFERROR(VALUE(TRIM(SUBSTITUTE(Y105,CHAR(160),""))),0)),"OK",
OR((IFERROR(VALUE(TRIM(SUBSTITUTE(BA105,CHAR(160),""))),0))=0,(IFERROR(VALUE(TRIM(SUBSTITUTE(AY105,CHAR(160),""))),0))=0),"Attention : montant présenté entièrement écarté",(IFERROR(VALUE(TRIM(SUBSTITUTE(BA105,CHAR(160),""))),0))&lt;(IFERROR(VALUE(TRIM(SUBSTITUTE(Y105,CHAR(160),""))),0)),"Attention : montant présenté partiellement écarté",TRUE,""))</f>
        <v/>
      </c>
      <c r="BE105" s="44" t="str">
        <f t="shared" si="87"/>
        <v/>
      </c>
      <c r="BF105" s="44" t="str">
        <f t="shared" si="88"/>
        <v/>
      </c>
      <c r="BG105" s="21" t="str">
        <f t="shared" si="89"/>
        <v/>
      </c>
    </row>
    <row r="106" spans="1:59" ht="15" customHeight="1">
      <c r="A106" s="70">
        <v>97</v>
      </c>
      <c r="B106" s="784"/>
      <c r="C106" s="7"/>
      <c r="D106" s="11"/>
      <c r="E106" s="11"/>
      <c r="F106" s="7"/>
      <c r="G106" s="7"/>
      <c r="H106" s="7"/>
      <c r="I106" s="7"/>
      <c r="J106" s="17"/>
      <c r="K106" s="7"/>
      <c r="L106" s="132"/>
      <c r="M106" s="138"/>
      <c r="N106" s="8"/>
      <c r="O106" s="35" t="str">
        <f t="shared" si="91"/>
        <v/>
      </c>
      <c r="P106" s="9"/>
      <c r="Q106" s="8"/>
      <c r="R106" s="35" t="str">
        <f t="shared" si="92"/>
        <v/>
      </c>
      <c r="S106" s="10"/>
      <c r="T106" s="8"/>
      <c r="U106" s="139" t="str">
        <f t="shared" si="93"/>
        <v/>
      </c>
      <c r="V106" s="147"/>
      <c r="W106" s="770" t="str" cm="1">
        <f t="array" ref="W106">IF((_xlfn.IFS(TRIM(SUBSTITUTE(V106,CHAR(160),""))="Devis 1",IFERROR(VALUE(TRIM(SUBSTITUTE(M106,CHAR(160),""))),0),TRIM(SUBSTITUTE(V106,CHAR(160),""))="Devis 2",IFERROR(VALUE(TRIM(SUBSTITUTE(P106,CHAR(160),""))),0),TRIM(SUBSTITUTE(V106,CHAR(160),""))="Devis 3",IFERROR(VALUE(TRIM(SUBSTITUTE(S106,CHAR(160),""))),0),TRUE,0)*IFERROR(VALUE(TRIM(SUBSTITUTE(D106,CHAR(160),""))),0))=0,"",_xlfn.IFS(TRIM(SUBSTITUTE(V106,CHAR(160),""))="Devis 1",IFERROR(VALUE(TRIM(SUBSTITUTE(M106,CHAR(160),""))),0),TRIM(SUBSTITUTE(V106,CHAR(160),""))="Devis 2",IFERROR(VALUE(TRIM(SUBSTITUTE(P106,CHAR(160),""))),0),TRIM(SUBSTITUTE(V106,CHAR(160),""))="Devis 3",IFERROR(VALUE(TRIM(SUBSTITUTE(S106,CHAR(160),""))),0),TRUE,0)*IFERROR(VALUE(TRIM(SUBSTITUTE(D106,CHAR(160),""))),0))</f>
        <v/>
      </c>
      <c r="X106" s="73" t="str" cm="1">
        <f t="array" ref="X106">IF(_xlfn.IFS(TRIM(SUBSTITUTE(V106,CHAR(160),""))="Devis 1",IFERROR(VALUE(TRIM(SUBSTITUTE(N106,CHAR(160),""))),0),TRIM(SUBSTITUTE(V106,CHAR(160),""))="Devis 2",IFERROR(VALUE(TRIM(SUBSTITUTE(Q106,CHAR(160),""))),0),TRIM(SUBSTITUTE(V106,CHAR(160),""))="Devis 3",IFERROR(VALUE(TRIM(SUBSTITUTE(T106,CHAR(160),""))),0),TRUE,0)*IFERROR(VALUE(TRIM(SUBSTITUTE(D106,CHAR(160),""))),0)=0,IF(W106&lt;&gt;"",0,""),_xlfn.IFS(TRIM(SUBSTITUTE(V106,CHAR(160),""))="Devis 1",IFERROR(VALUE(TRIM(SUBSTITUTE(N106,CHAR(160),""))),0),TRIM(SUBSTITUTE(V106,CHAR(160),""))="Devis 2",IFERROR(VALUE(TRIM(SUBSTITUTE(Q106,CHAR(160),""))),0),TRIM(SUBSTITUTE(V106,CHAR(160),""))="Devis 3",IFERROR(VALUE(TRIM(SUBSTITUTE(T106,CHAR(160),""))),0),TRUE,0)*IFERROR(VALUE(TRIM(SUBSTITUTE(D106,CHAR(160),""))),0))</f>
        <v/>
      </c>
      <c r="Y106" s="149" t="str">
        <f t="shared" si="94"/>
        <v/>
      </c>
      <c r="Z106" s="150"/>
      <c r="AA106" s="36" t="str">
        <f t="shared" si="65"/>
        <v/>
      </c>
      <c r="AB106" s="37" t="str">
        <f t="shared" si="66"/>
        <v/>
      </c>
      <c r="AC106" s="37" t="str">
        <f t="shared" si="90"/>
        <v/>
      </c>
      <c r="AD106" s="14" t="str">
        <f t="shared" si="67"/>
        <v/>
      </c>
      <c r="AE106" s="14" t="str">
        <f t="shared" si="68"/>
        <v/>
      </c>
      <c r="AF106" s="14" t="str">
        <f t="shared" si="69"/>
        <v/>
      </c>
      <c r="AG106" s="14" t="str">
        <f t="shared" si="70"/>
        <v/>
      </c>
      <c r="AH106" s="38" t="str">
        <f t="shared" si="71"/>
        <v/>
      </c>
      <c r="AI106" s="14" t="str">
        <f t="shared" si="72"/>
        <v/>
      </c>
      <c r="AJ106" s="39" t="str">
        <f t="shared" si="73"/>
        <v/>
      </c>
      <c r="AK106" s="40" t="str">
        <f t="shared" si="74"/>
        <v/>
      </c>
      <c r="AL106" s="20" t="str">
        <f t="shared" si="75"/>
        <v/>
      </c>
      <c r="AM106" s="35" t="str">
        <f t="shared" si="95"/>
        <v/>
      </c>
      <c r="AN106" s="41" t="str">
        <f t="shared" si="77"/>
        <v/>
      </c>
      <c r="AO106" s="20" t="str">
        <f t="shared" si="78"/>
        <v/>
      </c>
      <c r="AP106" s="35" t="str">
        <f t="shared" si="96"/>
        <v/>
      </c>
      <c r="AQ106" s="42" t="str">
        <f t="shared" si="80"/>
        <v/>
      </c>
      <c r="AR106" s="20" t="str">
        <f t="shared" si="81"/>
        <v/>
      </c>
      <c r="AS106" s="43" t="str">
        <f t="shared" si="97"/>
        <v/>
      </c>
      <c r="AT106" s="36" t="str">
        <f t="shared" si="83"/>
        <v/>
      </c>
      <c r="AU106" s="184"/>
      <c r="AV106" s="44" t="str">
        <f t="shared" si="84"/>
        <v/>
      </c>
      <c r="AW106" s="44" t="str">
        <f t="shared" si="98"/>
        <v/>
      </c>
      <c r="AX106" s="44" t="str">
        <f t="shared" si="99"/>
        <v/>
      </c>
      <c r="AY106" s="74" t="str" cm="1">
        <f t="array" ref="AY106">IF($AB106="","",IF((IFERROR(_xlfn.IFS($AT106="Devis 1",(IFERROR(VALUE(TRIM(SUBSTITUTE(AK106,CHAR(160),""))),0)),$AT106="Devis 2",(IFERROR(VALUE(TRIM(SUBSTITUTE(AN106,CHAR(160),""))),0)),$AT106="Devis 3",(IFERROR(VALUE(TRIM(SUBSTITUTE(AQ106,CHAR(160),""))),0))),0))*(IFERROR(VALUE(TRIM(SUBSTITUTE($AB106,CHAR(160),""))),0))=0,"",(IFERROR(_xlfn.IFS($AT106="Devis 1",(IFERROR(VALUE(TRIM(SUBSTITUTE(AK106,CHAR(160),""))),0)),$AT106="Devis 2",(IFERROR(VALUE(TRIM(SUBSTITUTE(AN106,CHAR(160),""))),0)),$AT106="Devis 3",(IFERROR(VALUE(TRIM(SUBSTITUTE(AQ106,CHAR(160),""))),0))),0))*(IFERROR(VALUE(TRIM(SUBSTITUTE($AB106,CHAR(160),""))),0))))</f>
        <v/>
      </c>
      <c r="AZ106" s="74" t="str" cm="1">
        <f t="array" ref="AZ106">IF($AB106="","",IF((IFERROR(_xlfn.IFS(TRIM(SUBSTITUTE($AT106,CHAR(160),""))="Devis 1", IFERROR(VALUE(TRIM(SUBSTITUTE(AL106,CHAR(160),""))),0),TRIM(SUBSTITUTE($AT106,CHAR(160),""))="Devis 2", IFERROR(VALUE(TRIM(SUBSTITUTE(AO106,CHAR(160),""))),0),TRIM(SUBSTITUTE($AT106,CHAR(160),""))="Devis 3", IFERROR(VALUE(TRIM(SUBSTITUTE(AR106,CHAR(160),""))),0)),0) * IFERROR(VALUE(TRIM(SUBSTITUTE($AB106,CHAR(160),""))),0)) = 0,IF(AY106&lt;&gt;"",0,""),(IFERROR(_xlfn.IFS(TRIM(SUBSTITUTE($AT106,CHAR(160),""))="Devis 1", IFERROR(VALUE(TRIM(SUBSTITUTE(AL106,CHAR(160),""))),0),TRIM(SUBSTITUTE($AT106,CHAR(160),""))="Devis 2", IFERROR(VALUE(TRIM(SUBSTITUTE(AO106,CHAR(160),""))),0),TRIM(SUBSTITUTE($AT106,CHAR(160),""))="Devis 3", IFERROR(VALUE(TRIM(SUBSTITUTE(AR106,CHAR(160),""))),0)),0) * IFERROR(VALUE(TRIM(SUBSTITUTE($AB106,CHAR(160),""))),0))))</f>
        <v/>
      </c>
      <c r="BA106" s="74" t="str" cm="1">
        <f t="array" ref="BA106">IF($AB106="","",IF(IFERROR(_xlfn.IFS($AT106="Devis 1",IFERROR(VALUE(TRIM(SUBSTITUTE(AM106,CHAR(160),""))),0),$AT106="Devis 2",IFERROR(VALUE(TRIM(SUBSTITUTE(AP106,CHAR(160),""))),0),$AT106="Devis 3",IFERROR(VALUE(TRIM(SUBSTITUTE(AS106,CHAR(160),""))),0)),0)*IFERROR(VALUE(TRIM(SUBSTITUTE($AB106,CHAR(160),""))),0)=0,"",IFERROR(_xlfn.IFS($AT106="Devis 1",IFERROR(VALUE(TRIM(SUBSTITUTE(AM106,CHAR(160),""))),0),$AT106="Devis 2",IFERROR(VALUE(TRIM(SUBSTITUTE(AP106,CHAR(160),""))),0),$AT106="Devis 3",IFERROR(VALUE(TRIM(SUBSTITUTE(AS106,CHAR(160),""))),0)),0)*IFERROR(VALUE(TRIM(SUBSTITUTE($AB106,CHAR(160),""))),0)))</f>
        <v/>
      </c>
      <c r="BB106" s="45"/>
      <c r="BC106" s="13" t="str" cm="1">
        <f t="array" ref="BC106">IF(OR(BA106="",AX106="",AY106="",AV106="",AZ106="",AW106=""),"",_xlfn.IFS((IFERROR(VALUE(TRIM(SUBSTITUTE(BA106,CHAR(160),""))),0))&gt;(IFERROR(VALUE(TRIM(SUBSTITUTE(AX106,CHAR(160),""))),0)),"KO : Le montant retenu TTC est supérieur au montant raisonnable TTC. Merci de revoir la ligne de dépense ou plafonner son montant.",(IFERROR(VALUE(TRIM(SUBSTITUTE(AY106,CHAR(160),""))),0))&gt;(IFERROR(VALUE(TRIM(SUBSTITUTE(AV106,CHAR(160),""))),0)),"Attention : Le montant retenu HT est supérieur au montant HT raisonnable. Merci de revoir la ligne de dépense, plafonner son montant, ou justifier la reventillation HT / TVA.",(IFERROR(VALUE(TRIM(SUBSTITUTE(AZ106,CHAR(160),""))),0))&gt;(IFERROR(VALUE(TRIM(SUBSTITUTE(AW106,CHAR(160),""))),0)),"Attention : Le montant TVA retenu est supérieur au montant TVA raisonnable. Merci de revoir la ligne de dépense, plafonner son montant, ou justifier la reventillation HT / TVA.",(IFERROR(VALUE(TRIM(SUBSTITUTE(BA106,CHAR(160),""))),0))=0,"",(IFERROR(VALUE(TRIM(SUBSTITUTE(AX106,CHAR(160),""))),0))=(IFERROR(VALUE(TRIM(SUBSTITUTE(BA106,CHAR(160),""))),0)),"OK",(IFERROR(VALUE(TRIM(SUBSTITUTE(AX106,CHAR(160),""))),0))&gt;(IFERROR(VALUE(TRIM(SUBSTITUTE(BA106,CHAR(160),""))),0))," OK : Montant instruit inférieur au montant raisonnable.",TRUE,""))</f>
        <v/>
      </c>
      <c r="BD106" s="187" t="str" cm="1">
        <f t="array" ref="BD106">IF(OR(BA106="",Y106="",AY106="",W106="",AZ106="",X106=""),"",_xlfn.IFS((IFERROR(VALUE(TRIM(SUBSTITUTE(BA106,CHAR(160),""))),0))&gt;(IFERROR(VALUE(TRIM(SUBSTITUTE(Y106,CHAR(160),""))),0)),"KO : Le montant retenu TTC est supérieur au montant présenté TTC. Merci de revoir la ligne de dépense ou plafonner son montant.",(IFERROR(VALUE(TRIM(SUBSTITUTE(AY106,CHAR(160),""))),0))&gt;(IFERROR(VALUE(TRIM(SUBSTITUTE(W106,CHAR(160),""))),0)),"Attention : Le montant retenu HT est supérieur au montant HT présenté. Merci de revoir la ligne de dépense,plafonner son montant,ou justifier la reventillation HT/TVA.",(IFERROR(VALUE(TRIM(SUBSTITUTE(AZ106,CHAR(160),""))),0))&gt;(IFERROR(VALUE(TRIM(SUBSTITUTE(X106,CHAR(160),""))),0)),"Attention : Le montant TVA retenu est supérieur au montant TVA présenté. Merci de revoir la ligne de dépense,plafonner son montant,ou justifier la reventillation HT/TVA.",(IFERROR(VALUE(TRIM(SUBSTITUTE(Y106,CHAR(160),""))),0))=0,"",(IFERROR(VALUE(TRIM(SUBSTITUTE(BA106,CHAR(160),""))),0))=(IFERROR(VALUE(TRIM(SUBSTITUTE(Y106,CHAR(160),""))),0)),"OK",
OR((IFERROR(VALUE(TRIM(SUBSTITUTE(BA106,CHAR(160),""))),0))=0,(IFERROR(VALUE(TRIM(SUBSTITUTE(AY106,CHAR(160),""))),0))=0),"Attention : montant présenté entièrement écarté",(IFERROR(VALUE(TRIM(SUBSTITUTE(BA106,CHAR(160),""))),0))&lt;(IFERROR(VALUE(TRIM(SUBSTITUTE(Y106,CHAR(160),""))),0)),"Attention : montant présenté partiellement écarté",TRUE,""))</f>
        <v/>
      </c>
      <c r="BE106" s="44" t="str">
        <f t="shared" si="87"/>
        <v/>
      </c>
      <c r="BF106" s="44" t="str">
        <f t="shared" si="88"/>
        <v/>
      </c>
      <c r="BG106" s="21" t="str">
        <f t="shared" si="89"/>
        <v/>
      </c>
    </row>
    <row r="107" spans="1:59" ht="15" customHeight="1">
      <c r="A107" s="70">
        <v>98</v>
      </c>
      <c r="B107" s="784"/>
      <c r="C107" s="7"/>
      <c r="D107" s="11"/>
      <c r="E107" s="11"/>
      <c r="F107" s="7"/>
      <c r="G107" s="7"/>
      <c r="H107" s="7"/>
      <c r="I107" s="7"/>
      <c r="J107" s="17"/>
      <c r="K107" s="7"/>
      <c r="L107" s="132"/>
      <c r="M107" s="138"/>
      <c r="N107" s="8"/>
      <c r="O107" s="35" t="str">
        <f t="shared" si="91"/>
        <v/>
      </c>
      <c r="P107" s="9"/>
      <c r="Q107" s="8"/>
      <c r="R107" s="35" t="str">
        <f t="shared" si="92"/>
        <v/>
      </c>
      <c r="S107" s="10"/>
      <c r="T107" s="8"/>
      <c r="U107" s="139" t="str">
        <f t="shared" si="93"/>
        <v/>
      </c>
      <c r="V107" s="147"/>
      <c r="W107" s="770" t="str" cm="1">
        <f t="array" ref="W107">IF((_xlfn.IFS(TRIM(SUBSTITUTE(V107,CHAR(160),""))="Devis 1",IFERROR(VALUE(TRIM(SUBSTITUTE(M107,CHAR(160),""))),0),TRIM(SUBSTITUTE(V107,CHAR(160),""))="Devis 2",IFERROR(VALUE(TRIM(SUBSTITUTE(P107,CHAR(160),""))),0),TRIM(SUBSTITUTE(V107,CHAR(160),""))="Devis 3",IFERROR(VALUE(TRIM(SUBSTITUTE(S107,CHAR(160),""))),0),TRUE,0)*IFERROR(VALUE(TRIM(SUBSTITUTE(D107,CHAR(160),""))),0))=0,"",_xlfn.IFS(TRIM(SUBSTITUTE(V107,CHAR(160),""))="Devis 1",IFERROR(VALUE(TRIM(SUBSTITUTE(M107,CHAR(160),""))),0),TRIM(SUBSTITUTE(V107,CHAR(160),""))="Devis 2",IFERROR(VALUE(TRIM(SUBSTITUTE(P107,CHAR(160),""))),0),TRIM(SUBSTITUTE(V107,CHAR(160),""))="Devis 3",IFERROR(VALUE(TRIM(SUBSTITUTE(S107,CHAR(160),""))),0),TRUE,0)*IFERROR(VALUE(TRIM(SUBSTITUTE(D107,CHAR(160),""))),0))</f>
        <v/>
      </c>
      <c r="X107" s="73" t="str" cm="1">
        <f t="array" ref="X107">IF(_xlfn.IFS(TRIM(SUBSTITUTE(V107,CHAR(160),""))="Devis 1",IFERROR(VALUE(TRIM(SUBSTITUTE(N107,CHAR(160),""))),0),TRIM(SUBSTITUTE(V107,CHAR(160),""))="Devis 2",IFERROR(VALUE(TRIM(SUBSTITUTE(Q107,CHAR(160),""))),0),TRIM(SUBSTITUTE(V107,CHAR(160),""))="Devis 3",IFERROR(VALUE(TRIM(SUBSTITUTE(T107,CHAR(160),""))),0),TRUE,0)*IFERROR(VALUE(TRIM(SUBSTITUTE(D107,CHAR(160),""))),0)=0,IF(W107&lt;&gt;"",0,""),_xlfn.IFS(TRIM(SUBSTITUTE(V107,CHAR(160),""))="Devis 1",IFERROR(VALUE(TRIM(SUBSTITUTE(N107,CHAR(160),""))),0),TRIM(SUBSTITUTE(V107,CHAR(160),""))="Devis 2",IFERROR(VALUE(TRIM(SUBSTITUTE(Q107,CHAR(160),""))),0),TRIM(SUBSTITUTE(V107,CHAR(160),""))="Devis 3",IFERROR(VALUE(TRIM(SUBSTITUTE(T107,CHAR(160),""))),0),TRUE,0)*IFERROR(VALUE(TRIM(SUBSTITUTE(D107,CHAR(160),""))),0))</f>
        <v/>
      </c>
      <c r="Y107" s="149" t="str">
        <f t="shared" si="94"/>
        <v/>
      </c>
      <c r="Z107" s="150"/>
      <c r="AA107" s="36" t="str">
        <f t="shared" si="65"/>
        <v/>
      </c>
      <c r="AB107" s="37" t="str">
        <f t="shared" si="66"/>
        <v/>
      </c>
      <c r="AC107" s="37" t="str">
        <f t="shared" si="90"/>
        <v/>
      </c>
      <c r="AD107" s="14" t="str">
        <f t="shared" si="67"/>
        <v/>
      </c>
      <c r="AE107" s="14" t="str">
        <f t="shared" si="68"/>
        <v/>
      </c>
      <c r="AF107" s="14" t="str">
        <f t="shared" si="69"/>
        <v/>
      </c>
      <c r="AG107" s="14" t="str">
        <f t="shared" si="70"/>
        <v/>
      </c>
      <c r="AH107" s="38" t="str">
        <f t="shared" si="71"/>
        <v/>
      </c>
      <c r="AI107" s="14" t="str">
        <f t="shared" si="72"/>
        <v/>
      </c>
      <c r="AJ107" s="39" t="str">
        <f t="shared" si="73"/>
        <v/>
      </c>
      <c r="AK107" s="40" t="str">
        <f t="shared" si="74"/>
        <v/>
      </c>
      <c r="AL107" s="20" t="str">
        <f t="shared" si="75"/>
        <v/>
      </c>
      <c r="AM107" s="35" t="str">
        <f t="shared" si="95"/>
        <v/>
      </c>
      <c r="AN107" s="41" t="str">
        <f t="shared" si="77"/>
        <v/>
      </c>
      <c r="AO107" s="20" t="str">
        <f t="shared" si="78"/>
        <v/>
      </c>
      <c r="AP107" s="35" t="str">
        <f t="shared" si="96"/>
        <v/>
      </c>
      <c r="AQ107" s="42" t="str">
        <f t="shared" si="80"/>
        <v/>
      </c>
      <c r="AR107" s="20" t="str">
        <f t="shared" si="81"/>
        <v/>
      </c>
      <c r="AS107" s="43" t="str">
        <f t="shared" si="97"/>
        <v/>
      </c>
      <c r="AT107" s="36" t="str">
        <f t="shared" si="83"/>
        <v/>
      </c>
      <c r="AU107" s="184"/>
      <c r="AV107" s="44" t="str">
        <f t="shared" si="84"/>
        <v/>
      </c>
      <c r="AW107" s="44" t="str">
        <f t="shared" si="98"/>
        <v/>
      </c>
      <c r="AX107" s="44" t="str">
        <f t="shared" si="99"/>
        <v/>
      </c>
      <c r="AY107" s="74" t="str" cm="1">
        <f t="array" ref="AY107">IF($AB107="","",IF((IFERROR(_xlfn.IFS($AT107="Devis 1",(IFERROR(VALUE(TRIM(SUBSTITUTE(AK107,CHAR(160),""))),0)),$AT107="Devis 2",(IFERROR(VALUE(TRIM(SUBSTITUTE(AN107,CHAR(160),""))),0)),$AT107="Devis 3",(IFERROR(VALUE(TRIM(SUBSTITUTE(AQ107,CHAR(160),""))),0))),0))*(IFERROR(VALUE(TRIM(SUBSTITUTE($AB107,CHAR(160),""))),0))=0,"",(IFERROR(_xlfn.IFS($AT107="Devis 1",(IFERROR(VALUE(TRIM(SUBSTITUTE(AK107,CHAR(160),""))),0)),$AT107="Devis 2",(IFERROR(VALUE(TRIM(SUBSTITUTE(AN107,CHAR(160),""))),0)),$AT107="Devis 3",(IFERROR(VALUE(TRIM(SUBSTITUTE(AQ107,CHAR(160),""))),0))),0))*(IFERROR(VALUE(TRIM(SUBSTITUTE($AB107,CHAR(160),""))),0))))</f>
        <v/>
      </c>
      <c r="AZ107" s="74" t="str" cm="1">
        <f t="array" ref="AZ107">IF($AB107="","",IF((IFERROR(_xlfn.IFS(TRIM(SUBSTITUTE($AT107,CHAR(160),""))="Devis 1", IFERROR(VALUE(TRIM(SUBSTITUTE(AL107,CHAR(160),""))),0),TRIM(SUBSTITUTE($AT107,CHAR(160),""))="Devis 2", IFERROR(VALUE(TRIM(SUBSTITUTE(AO107,CHAR(160),""))),0),TRIM(SUBSTITUTE($AT107,CHAR(160),""))="Devis 3", IFERROR(VALUE(TRIM(SUBSTITUTE(AR107,CHAR(160),""))),0)),0) * IFERROR(VALUE(TRIM(SUBSTITUTE($AB107,CHAR(160),""))),0)) = 0,IF(AY107&lt;&gt;"",0,""),(IFERROR(_xlfn.IFS(TRIM(SUBSTITUTE($AT107,CHAR(160),""))="Devis 1", IFERROR(VALUE(TRIM(SUBSTITUTE(AL107,CHAR(160),""))),0),TRIM(SUBSTITUTE($AT107,CHAR(160),""))="Devis 2", IFERROR(VALUE(TRIM(SUBSTITUTE(AO107,CHAR(160),""))),0),TRIM(SUBSTITUTE($AT107,CHAR(160),""))="Devis 3", IFERROR(VALUE(TRIM(SUBSTITUTE(AR107,CHAR(160),""))),0)),0) * IFERROR(VALUE(TRIM(SUBSTITUTE($AB107,CHAR(160),""))),0))))</f>
        <v/>
      </c>
      <c r="BA107" s="74" t="str" cm="1">
        <f t="array" ref="BA107">IF($AB107="","",IF(IFERROR(_xlfn.IFS($AT107="Devis 1",IFERROR(VALUE(TRIM(SUBSTITUTE(AM107,CHAR(160),""))),0),$AT107="Devis 2",IFERROR(VALUE(TRIM(SUBSTITUTE(AP107,CHAR(160),""))),0),$AT107="Devis 3",IFERROR(VALUE(TRIM(SUBSTITUTE(AS107,CHAR(160),""))),0)),0)*IFERROR(VALUE(TRIM(SUBSTITUTE($AB107,CHAR(160),""))),0)=0,"",IFERROR(_xlfn.IFS($AT107="Devis 1",IFERROR(VALUE(TRIM(SUBSTITUTE(AM107,CHAR(160),""))),0),$AT107="Devis 2",IFERROR(VALUE(TRIM(SUBSTITUTE(AP107,CHAR(160),""))),0),$AT107="Devis 3",IFERROR(VALUE(TRIM(SUBSTITUTE(AS107,CHAR(160),""))),0)),0)*IFERROR(VALUE(TRIM(SUBSTITUTE($AB107,CHAR(160),""))),0)))</f>
        <v/>
      </c>
      <c r="BB107" s="45"/>
      <c r="BC107" s="13" t="str" cm="1">
        <f t="array" ref="BC107">IF(OR(BA107="",AX107="",AY107="",AV107="",AZ107="",AW107=""),"",_xlfn.IFS((IFERROR(VALUE(TRIM(SUBSTITUTE(BA107,CHAR(160),""))),0))&gt;(IFERROR(VALUE(TRIM(SUBSTITUTE(AX107,CHAR(160),""))),0)),"KO : Le montant retenu TTC est supérieur au montant raisonnable TTC. Merci de revoir la ligne de dépense ou plafonner son montant.",(IFERROR(VALUE(TRIM(SUBSTITUTE(AY107,CHAR(160),""))),0))&gt;(IFERROR(VALUE(TRIM(SUBSTITUTE(AV107,CHAR(160),""))),0)),"Attention : Le montant retenu HT est supérieur au montant HT raisonnable. Merci de revoir la ligne de dépense, plafonner son montant, ou justifier la reventillation HT / TVA.",(IFERROR(VALUE(TRIM(SUBSTITUTE(AZ107,CHAR(160),""))),0))&gt;(IFERROR(VALUE(TRIM(SUBSTITUTE(AW107,CHAR(160),""))),0)),"Attention : Le montant TVA retenu est supérieur au montant TVA raisonnable. Merci de revoir la ligne de dépense, plafonner son montant, ou justifier la reventillation HT / TVA.",(IFERROR(VALUE(TRIM(SUBSTITUTE(BA107,CHAR(160),""))),0))=0,"",(IFERROR(VALUE(TRIM(SUBSTITUTE(AX107,CHAR(160),""))),0))=(IFERROR(VALUE(TRIM(SUBSTITUTE(BA107,CHAR(160),""))),0)),"OK",(IFERROR(VALUE(TRIM(SUBSTITUTE(AX107,CHAR(160),""))),0))&gt;(IFERROR(VALUE(TRIM(SUBSTITUTE(BA107,CHAR(160),""))),0))," OK : Montant instruit inférieur au montant raisonnable.",TRUE,""))</f>
        <v/>
      </c>
      <c r="BD107" s="187" t="str" cm="1">
        <f t="array" ref="BD107">IF(OR(BA107="",Y107="",AY107="",W107="",AZ107="",X107=""),"",_xlfn.IFS((IFERROR(VALUE(TRIM(SUBSTITUTE(BA107,CHAR(160),""))),0))&gt;(IFERROR(VALUE(TRIM(SUBSTITUTE(Y107,CHAR(160),""))),0)),"KO : Le montant retenu TTC est supérieur au montant présenté TTC. Merci de revoir la ligne de dépense ou plafonner son montant.",(IFERROR(VALUE(TRIM(SUBSTITUTE(AY107,CHAR(160),""))),0))&gt;(IFERROR(VALUE(TRIM(SUBSTITUTE(W107,CHAR(160),""))),0)),"Attention : Le montant retenu HT est supérieur au montant HT présenté. Merci de revoir la ligne de dépense,plafonner son montant,ou justifier la reventillation HT/TVA.",(IFERROR(VALUE(TRIM(SUBSTITUTE(AZ107,CHAR(160),""))),0))&gt;(IFERROR(VALUE(TRIM(SUBSTITUTE(X107,CHAR(160),""))),0)),"Attention : Le montant TVA retenu est supérieur au montant TVA présenté. Merci de revoir la ligne de dépense,plafonner son montant,ou justifier la reventillation HT/TVA.",(IFERROR(VALUE(TRIM(SUBSTITUTE(Y107,CHAR(160),""))),0))=0,"",(IFERROR(VALUE(TRIM(SUBSTITUTE(BA107,CHAR(160),""))),0))=(IFERROR(VALUE(TRIM(SUBSTITUTE(Y107,CHAR(160),""))),0)),"OK",
OR((IFERROR(VALUE(TRIM(SUBSTITUTE(BA107,CHAR(160),""))),0))=0,(IFERROR(VALUE(TRIM(SUBSTITUTE(AY107,CHAR(160),""))),0))=0),"Attention : montant présenté entièrement écarté",(IFERROR(VALUE(TRIM(SUBSTITUTE(BA107,CHAR(160),""))),0))&lt;(IFERROR(VALUE(TRIM(SUBSTITUTE(Y107,CHAR(160),""))),0)),"Attention : montant présenté partiellement écarté",TRUE,""))</f>
        <v/>
      </c>
      <c r="BE107" s="44" t="str">
        <f t="shared" si="87"/>
        <v/>
      </c>
      <c r="BF107" s="44" t="str">
        <f t="shared" si="88"/>
        <v/>
      </c>
      <c r="BG107" s="21" t="str">
        <f t="shared" si="89"/>
        <v/>
      </c>
    </row>
    <row r="108" spans="1:59" ht="15" customHeight="1">
      <c r="A108" s="70">
        <v>99</v>
      </c>
      <c r="B108" s="784"/>
      <c r="C108" s="7"/>
      <c r="D108" s="11"/>
      <c r="E108" s="11"/>
      <c r="F108" s="7"/>
      <c r="G108" s="7"/>
      <c r="H108" s="7"/>
      <c r="I108" s="7"/>
      <c r="J108" s="17"/>
      <c r="K108" s="7"/>
      <c r="L108" s="132"/>
      <c r="M108" s="138"/>
      <c r="N108" s="8"/>
      <c r="O108" s="35" t="str">
        <f t="shared" si="91"/>
        <v/>
      </c>
      <c r="P108" s="9"/>
      <c r="Q108" s="8"/>
      <c r="R108" s="35" t="str">
        <f t="shared" si="92"/>
        <v/>
      </c>
      <c r="S108" s="10"/>
      <c r="T108" s="8"/>
      <c r="U108" s="139" t="str">
        <f t="shared" si="93"/>
        <v/>
      </c>
      <c r="V108" s="147"/>
      <c r="W108" s="770" t="str" cm="1">
        <f t="array" ref="W108">IF((_xlfn.IFS(TRIM(SUBSTITUTE(V108,CHAR(160),""))="Devis 1",IFERROR(VALUE(TRIM(SUBSTITUTE(M108,CHAR(160),""))),0),TRIM(SUBSTITUTE(V108,CHAR(160),""))="Devis 2",IFERROR(VALUE(TRIM(SUBSTITUTE(P108,CHAR(160),""))),0),TRIM(SUBSTITUTE(V108,CHAR(160),""))="Devis 3",IFERROR(VALUE(TRIM(SUBSTITUTE(S108,CHAR(160),""))),0),TRUE,0)*IFERROR(VALUE(TRIM(SUBSTITUTE(D108,CHAR(160),""))),0))=0,"",_xlfn.IFS(TRIM(SUBSTITUTE(V108,CHAR(160),""))="Devis 1",IFERROR(VALUE(TRIM(SUBSTITUTE(M108,CHAR(160),""))),0),TRIM(SUBSTITUTE(V108,CHAR(160),""))="Devis 2",IFERROR(VALUE(TRIM(SUBSTITUTE(P108,CHAR(160),""))),0),TRIM(SUBSTITUTE(V108,CHAR(160),""))="Devis 3",IFERROR(VALUE(TRIM(SUBSTITUTE(S108,CHAR(160),""))),0),TRUE,0)*IFERROR(VALUE(TRIM(SUBSTITUTE(D108,CHAR(160),""))),0))</f>
        <v/>
      </c>
      <c r="X108" s="73" t="str" cm="1">
        <f t="array" ref="X108">IF(_xlfn.IFS(TRIM(SUBSTITUTE(V108,CHAR(160),""))="Devis 1",IFERROR(VALUE(TRIM(SUBSTITUTE(N108,CHAR(160),""))),0),TRIM(SUBSTITUTE(V108,CHAR(160),""))="Devis 2",IFERROR(VALUE(TRIM(SUBSTITUTE(Q108,CHAR(160),""))),0),TRIM(SUBSTITUTE(V108,CHAR(160),""))="Devis 3",IFERROR(VALUE(TRIM(SUBSTITUTE(T108,CHAR(160),""))),0),TRUE,0)*IFERROR(VALUE(TRIM(SUBSTITUTE(D108,CHAR(160),""))),0)=0,IF(W108&lt;&gt;"",0,""),_xlfn.IFS(TRIM(SUBSTITUTE(V108,CHAR(160),""))="Devis 1",IFERROR(VALUE(TRIM(SUBSTITUTE(N108,CHAR(160),""))),0),TRIM(SUBSTITUTE(V108,CHAR(160),""))="Devis 2",IFERROR(VALUE(TRIM(SUBSTITUTE(Q108,CHAR(160),""))),0),TRIM(SUBSTITUTE(V108,CHAR(160),""))="Devis 3",IFERROR(VALUE(TRIM(SUBSTITUTE(T108,CHAR(160),""))),0),TRUE,0)*IFERROR(VALUE(TRIM(SUBSTITUTE(D108,CHAR(160),""))),0))</f>
        <v/>
      </c>
      <c r="Y108" s="149" t="str">
        <f t="shared" si="94"/>
        <v/>
      </c>
      <c r="Z108" s="150"/>
      <c r="AA108" s="36" t="str">
        <f t="shared" si="65"/>
        <v/>
      </c>
      <c r="AB108" s="37" t="str">
        <f t="shared" si="66"/>
        <v/>
      </c>
      <c r="AC108" s="37" t="str">
        <f t="shared" si="90"/>
        <v/>
      </c>
      <c r="AD108" s="14" t="str">
        <f t="shared" si="67"/>
        <v/>
      </c>
      <c r="AE108" s="14" t="str">
        <f t="shared" si="68"/>
        <v/>
      </c>
      <c r="AF108" s="14" t="str">
        <f t="shared" si="69"/>
        <v/>
      </c>
      <c r="AG108" s="14" t="str">
        <f t="shared" si="70"/>
        <v/>
      </c>
      <c r="AH108" s="38" t="str">
        <f t="shared" si="71"/>
        <v/>
      </c>
      <c r="AI108" s="14" t="str">
        <f t="shared" si="72"/>
        <v/>
      </c>
      <c r="AJ108" s="39" t="str">
        <f t="shared" si="73"/>
        <v/>
      </c>
      <c r="AK108" s="40" t="str">
        <f t="shared" si="74"/>
        <v/>
      </c>
      <c r="AL108" s="20" t="str">
        <f t="shared" si="75"/>
        <v/>
      </c>
      <c r="AM108" s="35" t="str">
        <f t="shared" si="95"/>
        <v/>
      </c>
      <c r="AN108" s="41" t="str">
        <f t="shared" si="77"/>
        <v/>
      </c>
      <c r="AO108" s="20" t="str">
        <f t="shared" si="78"/>
        <v/>
      </c>
      <c r="AP108" s="35" t="str">
        <f t="shared" si="96"/>
        <v/>
      </c>
      <c r="AQ108" s="42" t="str">
        <f t="shared" si="80"/>
        <v/>
      </c>
      <c r="AR108" s="20" t="str">
        <f t="shared" si="81"/>
        <v/>
      </c>
      <c r="AS108" s="43" t="str">
        <f t="shared" si="97"/>
        <v/>
      </c>
      <c r="AT108" s="36" t="str">
        <f t="shared" si="83"/>
        <v/>
      </c>
      <c r="AU108" s="184"/>
      <c r="AV108" s="44" t="str">
        <f t="shared" si="84"/>
        <v/>
      </c>
      <c r="AW108" s="44" t="str">
        <f t="shared" si="98"/>
        <v/>
      </c>
      <c r="AX108" s="44" t="str">
        <f t="shared" si="99"/>
        <v/>
      </c>
      <c r="AY108" s="74" t="str" cm="1">
        <f t="array" ref="AY108">IF($AB108="","",IF((IFERROR(_xlfn.IFS($AT108="Devis 1",(IFERROR(VALUE(TRIM(SUBSTITUTE(AK108,CHAR(160),""))),0)),$AT108="Devis 2",(IFERROR(VALUE(TRIM(SUBSTITUTE(AN108,CHAR(160),""))),0)),$AT108="Devis 3",(IFERROR(VALUE(TRIM(SUBSTITUTE(AQ108,CHAR(160),""))),0))),0))*(IFERROR(VALUE(TRIM(SUBSTITUTE($AB108,CHAR(160),""))),0))=0,"",(IFERROR(_xlfn.IFS($AT108="Devis 1",(IFERROR(VALUE(TRIM(SUBSTITUTE(AK108,CHAR(160),""))),0)),$AT108="Devis 2",(IFERROR(VALUE(TRIM(SUBSTITUTE(AN108,CHAR(160),""))),0)),$AT108="Devis 3",(IFERROR(VALUE(TRIM(SUBSTITUTE(AQ108,CHAR(160),""))),0))),0))*(IFERROR(VALUE(TRIM(SUBSTITUTE($AB108,CHAR(160),""))),0))))</f>
        <v/>
      </c>
      <c r="AZ108" s="74" t="str" cm="1">
        <f t="array" ref="AZ108">IF($AB108="","",IF((IFERROR(_xlfn.IFS(TRIM(SUBSTITUTE($AT108,CHAR(160),""))="Devis 1", IFERROR(VALUE(TRIM(SUBSTITUTE(AL108,CHAR(160),""))),0),TRIM(SUBSTITUTE($AT108,CHAR(160),""))="Devis 2", IFERROR(VALUE(TRIM(SUBSTITUTE(AO108,CHAR(160),""))),0),TRIM(SUBSTITUTE($AT108,CHAR(160),""))="Devis 3", IFERROR(VALUE(TRIM(SUBSTITUTE(AR108,CHAR(160),""))),0)),0) * IFERROR(VALUE(TRIM(SUBSTITUTE($AB108,CHAR(160),""))),0)) = 0,IF(AY108&lt;&gt;"",0,""),(IFERROR(_xlfn.IFS(TRIM(SUBSTITUTE($AT108,CHAR(160),""))="Devis 1", IFERROR(VALUE(TRIM(SUBSTITUTE(AL108,CHAR(160),""))),0),TRIM(SUBSTITUTE($AT108,CHAR(160),""))="Devis 2", IFERROR(VALUE(TRIM(SUBSTITUTE(AO108,CHAR(160),""))),0),TRIM(SUBSTITUTE($AT108,CHAR(160),""))="Devis 3", IFERROR(VALUE(TRIM(SUBSTITUTE(AR108,CHAR(160),""))),0)),0) * IFERROR(VALUE(TRIM(SUBSTITUTE($AB108,CHAR(160),""))),0))))</f>
        <v/>
      </c>
      <c r="BA108" s="74" t="str" cm="1">
        <f t="array" ref="BA108">IF($AB108="","",IF(IFERROR(_xlfn.IFS($AT108="Devis 1",IFERROR(VALUE(TRIM(SUBSTITUTE(AM108,CHAR(160),""))),0),$AT108="Devis 2",IFERROR(VALUE(TRIM(SUBSTITUTE(AP108,CHAR(160),""))),0),$AT108="Devis 3",IFERROR(VALUE(TRIM(SUBSTITUTE(AS108,CHAR(160),""))),0)),0)*IFERROR(VALUE(TRIM(SUBSTITUTE($AB108,CHAR(160),""))),0)=0,"",IFERROR(_xlfn.IFS($AT108="Devis 1",IFERROR(VALUE(TRIM(SUBSTITUTE(AM108,CHAR(160),""))),0),$AT108="Devis 2",IFERROR(VALUE(TRIM(SUBSTITUTE(AP108,CHAR(160),""))),0),$AT108="Devis 3",IFERROR(VALUE(TRIM(SUBSTITUTE(AS108,CHAR(160),""))),0)),0)*IFERROR(VALUE(TRIM(SUBSTITUTE($AB108,CHAR(160),""))),0)))</f>
        <v/>
      </c>
      <c r="BB108" s="45"/>
      <c r="BC108" s="13" t="str" cm="1">
        <f t="array" ref="BC108">IF(OR(BA108="",AX108="",AY108="",AV108="",AZ108="",AW108=""),"",_xlfn.IFS((IFERROR(VALUE(TRIM(SUBSTITUTE(BA108,CHAR(160),""))),0))&gt;(IFERROR(VALUE(TRIM(SUBSTITUTE(AX108,CHAR(160),""))),0)),"KO : Le montant retenu TTC est supérieur au montant raisonnable TTC. Merci de revoir la ligne de dépense ou plafonner son montant.",(IFERROR(VALUE(TRIM(SUBSTITUTE(AY108,CHAR(160),""))),0))&gt;(IFERROR(VALUE(TRIM(SUBSTITUTE(AV108,CHAR(160),""))),0)),"Attention : Le montant retenu HT est supérieur au montant HT raisonnable. Merci de revoir la ligne de dépense, plafonner son montant, ou justifier la reventillation HT / TVA.",(IFERROR(VALUE(TRIM(SUBSTITUTE(AZ108,CHAR(160),""))),0))&gt;(IFERROR(VALUE(TRIM(SUBSTITUTE(AW108,CHAR(160),""))),0)),"Attention : Le montant TVA retenu est supérieur au montant TVA raisonnable. Merci de revoir la ligne de dépense, plafonner son montant, ou justifier la reventillation HT / TVA.",(IFERROR(VALUE(TRIM(SUBSTITUTE(BA108,CHAR(160),""))),0))=0,"",(IFERROR(VALUE(TRIM(SUBSTITUTE(AX108,CHAR(160),""))),0))=(IFERROR(VALUE(TRIM(SUBSTITUTE(BA108,CHAR(160),""))),0)),"OK",(IFERROR(VALUE(TRIM(SUBSTITUTE(AX108,CHAR(160),""))),0))&gt;(IFERROR(VALUE(TRIM(SUBSTITUTE(BA108,CHAR(160),""))),0))," OK : Montant instruit inférieur au montant raisonnable.",TRUE,""))</f>
        <v/>
      </c>
      <c r="BD108" s="187" t="str" cm="1">
        <f t="array" ref="BD108">IF(OR(BA108="",Y108="",AY108="",W108="",AZ108="",X108=""),"",_xlfn.IFS((IFERROR(VALUE(TRIM(SUBSTITUTE(BA108,CHAR(160),""))),0))&gt;(IFERROR(VALUE(TRIM(SUBSTITUTE(Y108,CHAR(160),""))),0)),"KO : Le montant retenu TTC est supérieur au montant présenté TTC. Merci de revoir la ligne de dépense ou plafonner son montant.",(IFERROR(VALUE(TRIM(SUBSTITUTE(AY108,CHAR(160),""))),0))&gt;(IFERROR(VALUE(TRIM(SUBSTITUTE(W108,CHAR(160),""))),0)),"Attention : Le montant retenu HT est supérieur au montant HT présenté. Merci de revoir la ligne de dépense,plafonner son montant,ou justifier la reventillation HT/TVA.",(IFERROR(VALUE(TRIM(SUBSTITUTE(AZ108,CHAR(160),""))),0))&gt;(IFERROR(VALUE(TRIM(SUBSTITUTE(X108,CHAR(160),""))),0)),"Attention : Le montant TVA retenu est supérieur au montant TVA présenté. Merci de revoir la ligne de dépense,plafonner son montant,ou justifier la reventillation HT/TVA.",(IFERROR(VALUE(TRIM(SUBSTITUTE(Y108,CHAR(160),""))),0))=0,"",(IFERROR(VALUE(TRIM(SUBSTITUTE(BA108,CHAR(160),""))),0))=(IFERROR(VALUE(TRIM(SUBSTITUTE(Y108,CHAR(160),""))),0)),"OK",
OR((IFERROR(VALUE(TRIM(SUBSTITUTE(BA108,CHAR(160),""))),0))=0,(IFERROR(VALUE(TRIM(SUBSTITUTE(AY108,CHAR(160),""))),0))=0),"Attention : montant présenté entièrement écarté",(IFERROR(VALUE(TRIM(SUBSTITUTE(BA108,CHAR(160),""))),0))&lt;(IFERROR(VALUE(TRIM(SUBSTITUTE(Y108,CHAR(160),""))),0)),"Attention : montant présenté partiellement écarté",TRUE,""))</f>
        <v/>
      </c>
      <c r="BE108" s="44" t="str">
        <f t="shared" si="87"/>
        <v/>
      </c>
      <c r="BF108" s="44" t="str">
        <f t="shared" si="88"/>
        <v/>
      </c>
      <c r="BG108" s="21" t="str">
        <f t="shared" si="89"/>
        <v/>
      </c>
    </row>
    <row r="109" spans="1:59" ht="15" customHeight="1" thickBot="1">
      <c r="A109" s="133">
        <v>100</v>
      </c>
      <c r="B109" s="785"/>
      <c r="C109" s="134"/>
      <c r="D109" s="135"/>
      <c r="E109" s="135"/>
      <c r="F109" s="134"/>
      <c r="G109" s="134"/>
      <c r="H109" s="134"/>
      <c r="I109" s="134"/>
      <c r="J109" s="136"/>
      <c r="K109" s="134"/>
      <c r="L109" s="137"/>
      <c r="M109" s="140"/>
      <c r="N109" s="141"/>
      <c r="O109" s="142" t="str">
        <f t="shared" si="91"/>
        <v/>
      </c>
      <c r="P109" s="143"/>
      <c r="Q109" s="141"/>
      <c r="R109" s="144" t="str">
        <f t="shared" si="92"/>
        <v/>
      </c>
      <c r="S109" s="145"/>
      <c r="T109" s="141"/>
      <c r="U109" s="146" t="str">
        <f t="shared" si="93"/>
        <v/>
      </c>
      <c r="V109" s="148"/>
      <c r="W109" s="770" t="str" cm="1">
        <f t="array" ref="W109">IF((_xlfn.IFS(TRIM(SUBSTITUTE(V109,CHAR(160),""))="Devis 1",IFERROR(VALUE(TRIM(SUBSTITUTE(M109,CHAR(160),""))),0),TRIM(SUBSTITUTE(V109,CHAR(160),""))="Devis 2",IFERROR(VALUE(TRIM(SUBSTITUTE(P109,CHAR(160),""))),0),TRIM(SUBSTITUTE(V109,CHAR(160),""))="Devis 3",IFERROR(VALUE(TRIM(SUBSTITUTE(S109,CHAR(160),""))),0),TRUE,0)*IFERROR(VALUE(TRIM(SUBSTITUTE(D109,CHAR(160),""))),0))=0,"",_xlfn.IFS(TRIM(SUBSTITUTE(V109,CHAR(160),""))="Devis 1",IFERROR(VALUE(TRIM(SUBSTITUTE(M109,CHAR(160),""))),0),TRIM(SUBSTITUTE(V109,CHAR(160),""))="Devis 2",IFERROR(VALUE(TRIM(SUBSTITUTE(P109,CHAR(160),""))),0),TRIM(SUBSTITUTE(V109,CHAR(160),""))="Devis 3",IFERROR(VALUE(TRIM(SUBSTITUTE(S109,CHAR(160),""))),0),TRUE,0)*IFERROR(VALUE(TRIM(SUBSTITUTE(D109,CHAR(160),""))),0))</f>
        <v/>
      </c>
      <c r="X109" s="73" t="str" cm="1">
        <f t="array" ref="X109">IF(_xlfn.IFS(TRIM(SUBSTITUTE(V109,CHAR(160),""))="Devis 1",IFERROR(VALUE(TRIM(SUBSTITUTE(N109,CHAR(160),""))),0),TRIM(SUBSTITUTE(V109,CHAR(160),""))="Devis 2",IFERROR(VALUE(TRIM(SUBSTITUTE(Q109,CHAR(160),""))),0),TRIM(SUBSTITUTE(V109,CHAR(160),""))="Devis 3",IFERROR(VALUE(TRIM(SUBSTITUTE(T109,CHAR(160),""))),0),TRUE,0)*IFERROR(VALUE(TRIM(SUBSTITUTE(D109,CHAR(160),""))),0)=0,IF(W109&lt;&gt;"",0,""),_xlfn.IFS(TRIM(SUBSTITUTE(V109,CHAR(160),""))="Devis 1",IFERROR(VALUE(TRIM(SUBSTITUTE(N109,CHAR(160),""))),0),TRIM(SUBSTITUTE(V109,CHAR(160),""))="Devis 2",IFERROR(VALUE(TRIM(SUBSTITUTE(Q109,CHAR(160),""))),0),TRIM(SUBSTITUTE(V109,CHAR(160),""))="Devis 3",IFERROR(VALUE(TRIM(SUBSTITUTE(T109,CHAR(160),""))),0),TRUE,0)*IFERROR(VALUE(TRIM(SUBSTITUTE(D109,CHAR(160),""))),0))</f>
        <v/>
      </c>
      <c r="Y109" s="149" t="str">
        <f t="shared" si="94"/>
        <v/>
      </c>
      <c r="Z109" s="151"/>
      <c r="AA109" s="36" t="str">
        <f t="shared" si="65"/>
        <v/>
      </c>
      <c r="AB109" s="37" t="str">
        <f t="shared" si="66"/>
        <v/>
      </c>
      <c r="AC109" s="37" t="str">
        <f t="shared" si="90"/>
        <v/>
      </c>
      <c r="AD109" s="14" t="str">
        <f t="shared" si="67"/>
        <v/>
      </c>
      <c r="AE109" s="14" t="str">
        <f t="shared" si="68"/>
        <v/>
      </c>
      <c r="AF109" s="14" t="str">
        <f t="shared" si="69"/>
        <v/>
      </c>
      <c r="AG109" s="14" t="str">
        <f t="shared" si="70"/>
        <v/>
      </c>
      <c r="AH109" s="38" t="str">
        <f t="shared" si="71"/>
        <v/>
      </c>
      <c r="AI109" s="14" t="str">
        <f t="shared" si="72"/>
        <v/>
      </c>
      <c r="AJ109" s="39" t="str">
        <f t="shared" si="73"/>
        <v/>
      </c>
      <c r="AK109" s="50" t="str">
        <f t="shared" si="74"/>
        <v/>
      </c>
      <c r="AL109" s="51" t="str">
        <f t="shared" si="75"/>
        <v/>
      </c>
      <c r="AM109" s="52" t="str">
        <f t="shared" si="95"/>
        <v/>
      </c>
      <c r="AN109" s="53" t="str">
        <f t="shared" si="77"/>
        <v/>
      </c>
      <c r="AO109" s="48" t="str">
        <f t="shared" si="78"/>
        <v/>
      </c>
      <c r="AP109" s="54" t="str">
        <f t="shared" si="96"/>
        <v/>
      </c>
      <c r="AQ109" s="55" t="str">
        <f t="shared" si="80"/>
        <v/>
      </c>
      <c r="AR109" s="49" t="str">
        <f t="shared" si="81"/>
        <v/>
      </c>
      <c r="AS109" s="43" t="str">
        <f t="shared" si="97"/>
        <v/>
      </c>
      <c r="AT109" s="36" t="str">
        <f t="shared" si="83"/>
        <v/>
      </c>
      <c r="AU109" s="184"/>
      <c r="AV109" s="44" t="str">
        <f t="shared" si="84"/>
        <v/>
      </c>
      <c r="AW109" s="44" t="str">
        <f t="shared" si="98"/>
        <v/>
      </c>
      <c r="AX109" s="44" t="str">
        <f t="shared" si="99"/>
        <v/>
      </c>
      <c r="AY109" s="74" t="str" cm="1">
        <f t="array" ref="AY109">IF($AB109="","",IF((IFERROR(_xlfn.IFS($AT109="Devis 1",(IFERROR(VALUE(TRIM(SUBSTITUTE(AK109,CHAR(160),""))),0)),$AT109="Devis 2",(IFERROR(VALUE(TRIM(SUBSTITUTE(AN109,CHAR(160),""))),0)),$AT109="Devis 3",(IFERROR(VALUE(TRIM(SUBSTITUTE(AQ109,CHAR(160),""))),0))),0))*(IFERROR(VALUE(TRIM(SUBSTITUTE($AB109,CHAR(160),""))),0))=0,"",(IFERROR(_xlfn.IFS($AT109="Devis 1",(IFERROR(VALUE(TRIM(SUBSTITUTE(AK109,CHAR(160),""))),0)),$AT109="Devis 2",(IFERROR(VALUE(TRIM(SUBSTITUTE(AN109,CHAR(160),""))),0)),$AT109="Devis 3",(IFERROR(VALUE(TRIM(SUBSTITUTE(AQ109,CHAR(160),""))),0))),0))*(IFERROR(VALUE(TRIM(SUBSTITUTE($AB109,CHAR(160),""))),0))))</f>
        <v/>
      </c>
      <c r="AZ109" s="74" t="str" cm="1">
        <f t="array" ref="AZ109">IF($AB109="","",IF((IFERROR(_xlfn.IFS(TRIM(SUBSTITUTE($AT109,CHAR(160),""))="Devis 1", IFERROR(VALUE(TRIM(SUBSTITUTE(AL109,CHAR(160),""))),0),TRIM(SUBSTITUTE($AT109,CHAR(160),""))="Devis 2", IFERROR(VALUE(TRIM(SUBSTITUTE(AO109,CHAR(160),""))),0),TRIM(SUBSTITUTE($AT109,CHAR(160),""))="Devis 3", IFERROR(VALUE(TRIM(SUBSTITUTE(AR109,CHAR(160),""))),0)),0) * IFERROR(VALUE(TRIM(SUBSTITUTE($AB109,CHAR(160),""))),0)) = 0,IF(AY109&lt;&gt;"",0,""),(IFERROR(_xlfn.IFS(TRIM(SUBSTITUTE($AT109,CHAR(160),""))="Devis 1", IFERROR(VALUE(TRIM(SUBSTITUTE(AL109,CHAR(160),""))),0),TRIM(SUBSTITUTE($AT109,CHAR(160),""))="Devis 2", IFERROR(VALUE(TRIM(SUBSTITUTE(AO109,CHAR(160),""))),0),TRIM(SUBSTITUTE($AT109,CHAR(160),""))="Devis 3", IFERROR(VALUE(TRIM(SUBSTITUTE(AR109,CHAR(160),""))),0)),0) * IFERROR(VALUE(TRIM(SUBSTITUTE($AB109,CHAR(160),""))),0))))</f>
        <v/>
      </c>
      <c r="BA109" s="74" t="str" cm="1">
        <f t="array" ref="BA109">IF($AB109="","",IF(IFERROR(_xlfn.IFS($AT109="Devis 1",IFERROR(VALUE(TRIM(SUBSTITUTE(AM109,CHAR(160),""))),0),$AT109="Devis 2",IFERROR(VALUE(TRIM(SUBSTITUTE(AP109,CHAR(160),""))),0),$AT109="Devis 3",IFERROR(VALUE(TRIM(SUBSTITUTE(AS109,CHAR(160),""))),0)),0)*IFERROR(VALUE(TRIM(SUBSTITUTE($AB109,CHAR(160),""))),0)=0,"",IFERROR(_xlfn.IFS($AT109="Devis 1",IFERROR(VALUE(TRIM(SUBSTITUTE(AM109,CHAR(160),""))),0),$AT109="Devis 2",IFERROR(VALUE(TRIM(SUBSTITUTE(AP109,CHAR(160),""))),0),$AT109="Devis 3",IFERROR(VALUE(TRIM(SUBSTITUTE(AS109,CHAR(160),""))),0)),0)*IFERROR(VALUE(TRIM(SUBSTITUTE($AB109,CHAR(160),""))),0)))</f>
        <v/>
      </c>
      <c r="BB109" s="45"/>
      <c r="BC109" s="13" t="str" cm="1">
        <f t="array" ref="BC109">IF(OR(BA109="",AX109="",AY109="",AV109="",AZ109="",AW109=""),"",_xlfn.IFS((IFERROR(VALUE(TRIM(SUBSTITUTE(BA109,CHAR(160),""))),0))&gt;(IFERROR(VALUE(TRIM(SUBSTITUTE(AX109,CHAR(160),""))),0)),"KO : Le montant retenu TTC est supérieur au montant raisonnable TTC. Merci de revoir la ligne de dépense ou plafonner son montant.",(IFERROR(VALUE(TRIM(SUBSTITUTE(AY109,CHAR(160),""))),0))&gt;(IFERROR(VALUE(TRIM(SUBSTITUTE(AV109,CHAR(160),""))),0)),"Attention : Le montant retenu HT est supérieur au montant HT raisonnable. Merci de revoir la ligne de dépense, plafonner son montant, ou justifier la reventillation HT / TVA.",(IFERROR(VALUE(TRIM(SUBSTITUTE(AZ109,CHAR(160),""))),0))&gt;(IFERROR(VALUE(TRIM(SUBSTITUTE(AW109,CHAR(160),""))),0)),"Attention : Le montant TVA retenu est supérieur au montant TVA raisonnable. Merci de revoir la ligne de dépense, plafonner son montant, ou justifier la reventillation HT / TVA.",(IFERROR(VALUE(TRIM(SUBSTITUTE(BA109,CHAR(160),""))),0))=0,"",(IFERROR(VALUE(TRIM(SUBSTITUTE(AX109,CHAR(160),""))),0))=(IFERROR(VALUE(TRIM(SUBSTITUTE(BA109,CHAR(160),""))),0)),"OK",(IFERROR(VALUE(TRIM(SUBSTITUTE(AX109,CHAR(160),""))),0))&gt;(IFERROR(VALUE(TRIM(SUBSTITUTE(BA109,CHAR(160),""))),0))," OK : Montant instruit inférieur au montant raisonnable.",TRUE,""))</f>
        <v/>
      </c>
      <c r="BD109" s="187" t="str" cm="1">
        <f t="array" ref="BD109">IF(OR(BA109="",Y109="",AY109="",W109="",AZ109="",X109=""),"",_xlfn.IFS((IFERROR(VALUE(TRIM(SUBSTITUTE(BA109,CHAR(160),""))),0))&gt;(IFERROR(VALUE(TRIM(SUBSTITUTE(Y109,CHAR(160),""))),0)),"KO : Le montant retenu TTC est supérieur au montant présenté TTC. Merci de revoir la ligne de dépense ou plafonner son montant.",(IFERROR(VALUE(TRIM(SUBSTITUTE(AY109,CHAR(160),""))),0))&gt;(IFERROR(VALUE(TRIM(SUBSTITUTE(W109,CHAR(160),""))),0)),"Attention : Le montant retenu HT est supérieur au montant HT présenté. Merci de revoir la ligne de dépense,plafonner son montant,ou justifier la reventillation HT/TVA.",(IFERROR(VALUE(TRIM(SUBSTITUTE(AZ109,CHAR(160),""))),0))&gt;(IFERROR(VALUE(TRIM(SUBSTITUTE(X109,CHAR(160),""))),0)),"Attention : Le montant TVA retenu est supérieur au montant TVA présenté. Merci de revoir la ligne de dépense,plafonner son montant,ou justifier la reventillation HT/TVA.",(IFERROR(VALUE(TRIM(SUBSTITUTE(Y109,CHAR(160),""))),0))=0,"",(IFERROR(VALUE(TRIM(SUBSTITUTE(BA109,CHAR(160),""))),0))=(IFERROR(VALUE(TRIM(SUBSTITUTE(Y109,CHAR(160),""))),0)),"OK",
OR((IFERROR(VALUE(TRIM(SUBSTITUTE(BA109,CHAR(160),""))),0))=0,(IFERROR(VALUE(TRIM(SUBSTITUTE(AY109,CHAR(160),""))),0))=0),"Attention : montant présenté entièrement écarté",(IFERROR(VALUE(TRIM(SUBSTITUTE(BA109,CHAR(160),""))),0))&lt;(IFERROR(VALUE(TRIM(SUBSTITUTE(Y109,CHAR(160),""))),0)),"Attention : montant présenté partiellement écarté",TRUE,""))</f>
        <v/>
      </c>
      <c r="BE109" s="44" t="str">
        <f t="shared" si="87"/>
        <v/>
      </c>
      <c r="BF109" s="44" t="str">
        <f t="shared" si="88"/>
        <v/>
      </c>
      <c r="BG109" s="21" t="str">
        <f t="shared" si="89"/>
        <v/>
      </c>
    </row>
    <row r="110" spans="1:59">
      <c r="A110" s="1369" t="s">
        <v>165</v>
      </c>
      <c r="B110" s="1370"/>
      <c r="C110" s="1370"/>
      <c r="D110" s="1370"/>
      <c r="E110" s="1370"/>
      <c r="F110" s="1370"/>
      <c r="G110" s="1370"/>
      <c r="H110" s="1370"/>
      <c r="I110" s="1370"/>
      <c r="J110" s="1370"/>
      <c r="K110" s="1370"/>
      <c r="L110" s="1370"/>
      <c r="M110" s="1370"/>
      <c r="N110" s="1370"/>
      <c r="O110" s="1370"/>
      <c r="P110" s="1370"/>
      <c r="Q110" s="1370"/>
      <c r="R110" s="1370"/>
      <c r="S110" s="1370"/>
      <c r="T110" s="1370"/>
      <c r="U110" s="1370"/>
      <c r="V110" s="1371"/>
      <c r="W110" s="56">
        <f>SUM(W10:W109)</f>
        <v>3000</v>
      </c>
      <c r="X110" s="56">
        <f>SUM(X10:X109)</f>
        <v>200</v>
      </c>
      <c r="Y110" s="56">
        <f>SUM(Y10:Y109)</f>
        <v>3200</v>
      </c>
      <c r="Z110" s="1372"/>
      <c r="AA110" s="1373"/>
      <c r="AB110" s="1373"/>
      <c r="AC110" s="1373"/>
      <c r="AD110" s="1373"/>
      <c r="AE110" s="1373"/>
      <c r="AF110" s="1373"/>
      <c r="AG110" s="1373"/>
      <c r="AH110" s="1373"/>
      <c r="AI110" s="1373"/>
      <c r="AJ110" s="1373"/>
      <c r="AK110" s="1373"/>
      <c r="AL110" s="1373"/>
      <c r="AM110" s="1373"/>
      <c r="AN110" s="1373"/>
      <c r="AO110" s="1373"/>
      <c r="AP110" s="1373"/>
      <c r="AQ110" s="1373"/>
      <c r="AR110" s="1373"/>
      <c r="AS110" s="1373"/>
      <c r="AT110" s="1373"/>
      <c r="AU110" s="1373"/>
      <c r="AV110" s="1373"/>
      <c r="AW110" s="1374"/>
      <c r="AX110" s="57" t="s">
        <v>166</v>
      </c>
      <c r="AY110" s="56">
        <f>SUM(AY10:AY109)</f>
        <v>3000</v>
      </c>
      <c r="AZ110" s="56">
        <f>SUM(AZ10:AZ109)</f>
        <v>200</v>
      </c>
      <c r="BA110" s="56">
        <f>SUM(BA10:BA109)</f>
        <v>3200</v>
      </c>
      <c r="BB110" s="58"/>
      <c r="BC110" s="59"/>
      <c r="BD110" s="57" t="s">
        <v>166</v>
      </c>
      <c r="BE110" s="56">
        <f>SUM(BE10:BE109)</f>
        <v>0</v>
      </c>
      <c r="BF110" s="56">
        <f>SUM(BF10:BF109)</f>
        <v>0</v>
      </c>
      <c r="BG110" s="72">
        <f>SUM(BG10:BG109)</f>
        <v>0</v>
      </c>
    </row>
    <row r="112" spans="1:59">
      <c r="BA112" s="234"/>
    </row>
    <row r="114" spans="53:53">
      <c r="BA114" s="234"/>
    </row>
  </sheetData>
  <sheetProtection formatCells="0" formatColumns="0" formatRows="0" insertColumns="0" insertRows="0" insertHyperlinks="0" deleteColumns="0" deleteRows="0" sort="0" autoFilter="0" pivotTables="0"/>
  <mergeCells count="22">
    <mergeCell ref="BB5:BB6"/>
    <mergeCell ref="BE5:BG6"/>
    <mergeCell ref="BC5:BD6"/>
    <mergeCell ref="AV6:AX6"/>
    <mergeCell ref="AY6:BA6"/>
    <mergeCell ref="AV5:BA5"/>
    <mergeCell ref="A110:V110"/>
    <mergeCell ref="Z110:AW110"/>
    <mergeCell ref="M5:U5"/>
    <mergeCell ref="A3:Z3"/>
    <mergeCell ref="AA3:BG3"/>
    <mergeCell ref="A7:A8"/>
    <mergeCell ref="A5:L6"/>
    <mergeCell ref="M6:O6"/>
    <mergeCell ref="P6:R6"/>
    <mergeCell ref="S6:U6"/>
    <mergeCell ref="V5:V6"/>
    <mergeCell ref="Z5:Z6"/>
    <mergeCell ref="W5:Y6"/>
    <mergeCell ref="AU5:AU6"/>
    <mergeCell ref="AK5:AT6"/>
    <mergeCell ref="AA5:AJ6"/>
  </mergeCells>
  <conditionalFormatting sqref="AA10:AT109">
    <cfRule type="expression" dxfId="52" priority="310">
      <formula>AA10&lt;&gt;C10</formula>
    </cfRule>
  </conditionalFormatting>
  <conditionalFormatting sqref="AU10:AU109">
    <cfRule type="containsText" dxfId="51" priority="1" stopIfTrue="1" operator="containsText" text="NON">
      <formula>NOT(ISERROR(SEARCH("NON",AU10)))</formula>
    </cfRule>
  </conditionalFormatting>
  <conditionalFormatting sqref="BC9:BD109">
    <cfRule type="containsText" dxfId="50" priority="3" operator="containsText" text="OK">
      <formula>NOT(ISERROR(SEARCH("OK",BC9)))</formula>
    </cfRule>
    <cfRule type="containsText" dxfId="49" priority="4" stopIfTrue="1" operator="containsText" text="KO">
      <formula>NOT(ISERROR(SEARCH("KO",BC9)))</formula>
    </cfRule>
    <cfRule type="containsText" dxfId="48" priority="5" stopIfTrue="1" operator="containsText" text="Attention">
      <formula>NOT(ISERROR(SEARCH("Attention",BC9)))</formula>
    </cfRule>
  </conditionalFormatting>
  <dataValidations count="6">
    <dataValidation type="list" allowBlank="1" showInputMessage="1" showErrorMessage="1" sqref="AG9:AG109 I9:I109" xr:uid="{25833405-3747-4587-8C50-8FFCAF027227}">
      <formula1>"Pas de marché public , Marché à procédure adaptée (MAPA) , Marché innovant , Marché à procédure formalisée"</formula1>
    </dataValidation>
    <dataValidation type="list" allowBlank="1" showInputMessage="1" showErrorMessage="1" sqref="AU9" xr:uid="{F5C749B0-F8C0-4843-9284-FD76A1CBDD83}">
      <formula1>"OUI,NON,SO"</formula1>
    </dataValidation>
    <dataValidation type="list" allowBlank="1" showInputMessage="1" showErrorMessage="1" sqref="V9 AT9:AT109" xr:uid="{F035D3B8-8A14-4EB8-9877-E1FC394EFD7F}">
      <formula1>"Devis 1,Devis 2,Devis 3"</formula1>
    </dataValidation>
    <dataValidation type="list" allowBlank="1" showInputMessage="1" showErrorMessage="1" sqref="V10:V109" xr:uid="{833F0F20-2B2C-4D70-B336-716FD9C41032}">
      <formula1>"Devis 1,,Devis 2,Devis 3"</formula1>
    </dataValidation>
    <dataValidation type="list" allowBlank="1" showInputMessage="1" showErrorMessage="1" sqref="AU10:AU109" xr:uid="{232E8072-1E5C-42F1-AD0A-8A06B8ABDBC9}">
      <formula1>"OUI,NON,Non concerné "</formula1>
    </dataValidation>
    <dataValidation type="list" allowBlank="1" showInputMessage="1" showErrorMessage="1" sqref="AC9 E9:E49" xr:uid="{73E7A8B2-37AF-466E-A127-1607C8B31806}">
      <formula1>"Oui,Non"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CA7EE35A-3D09-4FCA-943D-E0117B7B2A73}">
          <x14:formula1>
            <xm:f>'0-Présentation typeaction'!$H$7:$H$7</xm:f>
          </x14:formula1>
          <xm:sqref>H9:H109</xm:sqref>
        </x14:dataValidation>
        <x14:dataValidation type="list" allowBlank="1" showInputMessage="1" showErrorMessage="1" xr:uid="{BF2EDF37-2ACC-403B-8E2E-23D1243782C0}">
          <x14:formula1>
            <xm:f>'0-Présentation typeaction'!$H$26:$H$36</xm:f>
          </x14:formula1>
          <xm:sqref>B10:B109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F110"/>
  <sheetViews>
    <sheetView showGridLines="0" topLeftCell="A43" zoomScale="60" zoomScaleNormal="40" workbookViewId="0">
      <selection activeCell="D11" sqref="D11"/>
    </sheetView>
  </sheetViews>
  <sheetFormatPr defaultColWidth="11.42578125" defaultRowHeight="15" outlineLevelCol="1"/>
  <cols>
    <col min="1" max="1" width="11.42578125" customWidth="1"/>
    <col min="2" max="2" width="17.42578125" customWidth="1"/>
    <col min="3" max="3" width="27.42578125" customWidth="1"/>
    <col min="4" max="4" width="27.42578125" bestFit="1" customWidth="1"/>
    <col min="5" max="5" width="27.42578125" customWidth="1"/>
    <col min="6" max="6" width="28.42578125" bestFit="1" customWidth="1"/>
    <col min="7" max="7" width="27.42578125" bestFit="1" customWidth="1"/>
    <col min="8" max="8" width="45.85546875" bestFit="1" customWidth="1"/>
    <col min="9" max="9" width="19.85546875" bestFit="1" customWidth="1"/>
    <col min="10" max="10" width="21.42578125" bestFit="1" customWidth="1"/>
    <col min="11" max="11" width="20.42578125" bestFit="1" customWidth="1"/>
    <col min="12" max="12" width="17.42578125" bestFit="1" customWidth="1"/>
    <col min="13" max="13" width="21.140625" bestFit="1" customWidth="1"/>
    <col min="14" max="14" width="19.85546875" bestFit="1" customWidth="1"/>
    <col min="15" max="15" width="20" customWidth="1"/>
    <col min="16" max="16" width="19.85546875" customWidth="1"/>
    <col min="17" max="17" width="37.42578125" customWidth="1"/>
    <col min="18" max="18" width="19.85546875" bestFit="1" customWidth="1"/>
    <col min="19" max="19" width="19.42578125" bestFit="1" customWidth="1"/>
    <col min="20" max="20" width="21.140625" bestFit="1" customWidth="1"/>
    <col min="21" max="21" width="21.140625" customWidth="1"/>
    <col min="22" max="22" width="19.85546875" bestFit="1" customWidth="1"/>
    <col min="23" max="23" width="30.140625" customWidth="1"/>
    <col min="24" max="24" width="19.85546875" bestFit="1" customWidth="1"/>
    <col min="25" max="25" width="17.42578125" bestFit="1" customWidth="1"/>
    <col min="26" max="26" width="25.42578125" customWidth="1"/>
    <col min="27" max="27" width="22.42578125" customWidth="1" outlineLevel="1"/>
    <col min="28" max="28" width="26.42578125" customWidth="1" outlineLevel="1"/>
    <col min="29" max="29" width="27.42578125" customWidth="1" outlineLevel="1"/>
    <col min="30" max="30" width="26.42578125" customWidth="1" outlineLevel="1"/>
    <col min="31" max="32" width="28.140625" customWidth="1" outlineLevel="1"/>
    <col min="33" max="33" width="22.140625" customWidth="1" outlineLevel="1"/>
    <col min="34" max="34" width="21.42578125" customWidth="1" outlineLevel="1"/>
    <col min="35" max="35" width="20.42578125" customWidth="1" outlineLevel="1"/>
    <col min="36" max="36" width="43.140625" customWidth="1" outlineLevel="1"/>
    <col min="37" max="37" width="35" customWidth="1" outlineLevel="1"/>
    <col min="38" max="38" width="12.42578125" customWidth="1" outlineLevel="1"/>
    <col min="39" max="40" width="18.42578125" customWidth="1" outlineLevel="1"/>
    <col min="41" max="44" width="17.42578125" customWidth="1" outlineLevel="1"/>
    <col min="45" max="45" width="12.42578125" customWidth="1" outlineLevel="1"/>
    <col min="46" max="46" width="15" customWidth="1" outlineLevel="1"/>
    <col min="47" max="47" width="20" customWidth="1" outlineLevel="1"/>
    <col min="48" max="48" width="21" customWidth="1" outlineLevel="1"/>
    <col min="49" max="49" width="20" customWidth="1" outlineLevel="1"/>
    <col min="50" max="50" width="20.42578125" customWidth="1" outlineLevel="1"/>
    <col min="51" max="51" width="19.85546875" customWidth="1" outlineLevel="1"/>
    <col min="52" max="52" width="22.140625" customWidth="1" outlineLevel="1"/>
    <col min="53" max="53" width="33.42578125" customWidth="1" outlineLevel="1"/>
    <col min="54" max="54" width="49.42578125" customWidth="1" outlineLevel="1"/>
    <col min="55" max="55" width="44.140625" customWidth="1" outlineLevel="1"/>
    <col min="56" max="56" width="16.85546875" customWidth="1" outlineLevel="1"/>
    <col min="57" max="57" width="14.85546875" customWidth="1" outlineLevel="1"/>
    <col min="58" max="58" width="13.85546875" customWidth="1" outlineLevel="1"/>
  </cols>
  <sheetData>
    <row r="1" spans="1:58" ht="44.25" customHeight="1"/>
    <row r="2" spans="1:58" ht="72.75" customHeight="1">
      <c r="A2" s="1401" t="s">
        <v>167</v>
      </c>
      <c r="B2" s="1401"/>
      <c r="C2" s="1402"/>
      <c r="D2" s="1402"/>
      <c r="E2" s="1402"/>
      <c r="F2" s="1402"/>
      <c r="G2" s="1402"/>
      <c r="H2" s="1402"/>
      <c r="I2" s="1402"/>
      <c r="J2" s="1402"/>
      <c r="K2" s="1402"/>
      <c r="L2" s="1402"/>
      <c r="M2" s="1402"/>
      <c r="N2" s="1402"/>
      <c r="O2" s="1402"/>
      <c r="P2" s="1402"/>
      <c r="Q2" s="1402"/>
      <c r="R2" s="1402"/>
      <c r="S2" s="1402"/>
      <c r="T2" s="1402"/>
      <c r="U2" s="1402"/>
      <c r="V2" s="1402"/>
      <c r="W2" s="1402"/>
      <c r="X2" s="1402"/>
      <c r="Y2" s="1402"/>
      <c r="Z2" s="1402"/>
      <c r="AA2" s="1405" t="s">
        <v>168</v>
      </c>
      <c r="AB2" s="1406"/>
      <c r="AC2" s="1406"/>
      <c r="AD2" s="1406"/>
      <c r="AE2" s="1406"/>
      <c r="AF2" s="1406"/>
      <c r="AG2" s="1406"/>
      <c r="AH2" s="1406"/>
      <c r="AI2" s="1406"/>
      <c r="AJ2" s="1406"/>
      <c r="AK2" s="1406"/>
      <c r="AL2" s="1406"/>
      <c r="AM2" s="1406"/>
      <c r="AN2" s="1406"/>
      <c r="AO2" s="1406"/>
      <c r="AP2" s="1406"/>
      <c r="AQ2" s="1406"/>
      <c r="AR2" s="1406"/>
      <c r="AS2" s="1406"/>
      <c r="AT2" s="1406"/>
      <c r="AU2" s="1406"/>
      <c r="AV2" s="1406"/>
      <c r="AW2" s="1406"/>
      <c r="AX2" s="1406"/>
      <c r="AY2" s="1406"/>
      <c r="AZ2" s="1406"/>
      <c r="BA2" s="1406"/>
      <c r="BB2" s="1406"/>
      <c r="BC2" s="1406"/>
      <c r="BD2" s="1406"/>
      <c r="BE2" s="1406"/>
      <c r="BF2" s="1407"/>
    </row>
    <row r="3" spans="1:58" ht="72.75" customHeight="1">
      <c r="A3" s="155"/>
      <c r="B3" s="155"/>
      <c r="C3" s="154"/>
      <c r="D3" s="154"/>
      <c r="E3" s="154"/>
      <c r="F3" s="154"/>
      <c r="G3" s="154"/>
      <c r="H3" s="154"/>
      <c r="I3" s="154"/>
      <c r="J3" s="154"/>
      <c r="K3" s="154"/>
      <c r="L3" s="154"/>
      <c r="M3" s="154"/>
      <c r="N3" s="154"/>
      <c r="O3" s="154"/>
      <c r="P3" s="154"/>
      <c r="Q3" s="154"/>
      <c r="R3" s="154"/>
      <c r="S3" s="154"/>
      <c r="T3" s="154"/>
      <c r="U3" s="154"/>
      <c r="V3" s="154"/>
      <c r="W3" s="154"/>
      <c r="X3" s="154"/>
      <c r="Y3" s="154"/>
      <c r="Z3" s="154"/>
      <c r="AA3" s="155"/>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row>
    <row r="4" spans="1:58" ht="72.75" customHeight="1">
      <c r="A4" s="155"/>
      <c r="B4" s="155"/>
      <c r="C4" s="154"/>
      <c r="D4" s="154"/>
      <c r="E4" s="154"/>
      <c r="F4" s="154"/>
      <c r="G4" s="154"/>
      <c r="H4" s="154"/>
      <c r="I4" s="154"/>
      <c r="J4" s="154"/>
      <c r="K4" s="154"/>
      <c r="L4" s="154"/>
      <c r="M4" s="154"/>
      <c r="N4" s="154"/>
      <c r="O4" s="154"/>
      <c r="P4" s="154"/>
      <c r="Q4" s="154"/>
      <c r="R4" s="154"/>
      <c r="S4" s="154"/>
      <c r="T4" s="154"/>
      <c r="U4" s="154"/>
      <c r="V4" s="154"/>
      <c r="W4" s="154"/>
      <c r="X4" s="154"/>
      <c r="Y4" s="154"/>
      <c r="Z4" s="154"/>
      <c r="AA4" s="155"/>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row>
    <row r="5" spans="1:58" ht="179.25" customHeight="1">
      <c r="A5" s="1395" t="s">
        <v>69</v>
      </c>
      <c r="B5" s="1396"/>
      <c r="C5" s="1396"/>
      <c r="D5" s="1396"/>
      <c r="E5" s="1396"/>
      <c r="F5" s="1396"/>
      <c r="G5" s="1396"/>
      <c r="H5" s="1396"/>
      <c r="I5" s="1397"/>
      <c r="J5" s="1419" t="s">
        <v>169</v>
      </c>
      <c r="K5" s="1420"/>
      <c r="L5" s="1420"/>
      <c r="M5" s="1421"/>
      <c r="N5" s="1413" t="s">
        <v>70</v>
      </c>
      <c r="O5" s="1414"/>
      <c r="P5" s="1417" t="s">
        <v>72</v>
      </c>
      <c r="Q5" s="1403" t="s">
        <v>73</v>
      </c>
      <c r="R5" s="1431" t="s">
        <v>74</v>
      </c>
      <c r="S5" s="1432"/>
      <c r="T5" s="1432"/>
      <c r="U5" s="1432"/>
      <c r="V5" s="1432"/>
      <c r="W5" s="1432"/>
      <c r="X5" s="1432"/>
      <c r="Y5" s="1432"/>
      <c r="Z5" s="1432"/>
      <c r="AA5" s="1432"/>
      <c r="AB5" s="1432"/>
      <c r="AC5" s="1389" t="s">
        <v>76</v>
      </c>
      <c r="AD5" s="1389"/>
      <c r="AE5" s="1389"/>
      <c r="AF5" s="1429" t="s">
        <v>170</v>
      </c>
      <c r="AG5" s="1427" t="s">
        <v>78</v>
      </c>
      <c r="AH5" s="1425" t="s">
        <v>79</v>
      </c>
      <c r="AI5" s="1425" t="s">
        <v>171</v>
      </c>
      <c r="AJ5" s="515"/>
      <c r="AK5" s="515"/>
      <c r="AL5" s="515"/>
      <c r="AM5" s="515"/>
      <c r="AN5" s="515"/>
      <c r="AO5" s="515"/>
      <c r="AP5" s="515"/>
      <c r="AQ5" s="515"/>
      <c r="AR5" s="1408"/>
      <c r="AS5" s="1409"/>
      <c r="AT5" s="1409"/>
      <c r="AU5" s="1409"/>
      <c r="AV5" s="1409"/>
      <c r="AW5" s="1409"/>
      <c r="AX5" s="1409"/>
      <c r="AY5" s="1412"/>
      <c r="AZ5" s="1411"/>
      <c r="BA5" s="1411"/>
      <c r="BB5" s="1408"/>
      <c r="BC5" s="1408"/>
      <c r="BD5" s="1408"/>
    </row>
    <row r="6" spans="1:58" ht="71.25" customHeight="1">
      <c r="A6" s="1398"/>
      <c r="B6" s="1399"/>
      <c r="C6" s="1399"/>
      <c r="D6" s="1399"/>
      <c r="E6" s="1399"/>
      <c r="F6" s="1399"/>
      <c r="G6" s="1399"/>
      <c r="H6" s="1399"/>
      <c r="I6" s="1400"/>
      <c r="J6" s="1422"/>
      <c r="K6" s="1423"/>
      <c r="L6" s="1423"/>
      <c r="M6" s="1424"/>
      <c r="N6" s="1415"/>
      <c r="O6" s="1416"/>
      <c r="P6" s="1418"/>
      <c r="Q6" s="1404"/>
      <c r="R6" s="1433" t="s">
        <v>172</v>
      </c>
      <c r="S6" s="1434"/>
      <c r="T6" s="1434"/>
      <c r="U6" s="1434"/>
      <c r="V6" s="1434"/>
      <c r="W6" s="1434"/>
      <c r="X6" s="1435"/>
      <c r="Y6" s="1433" t="s">
        <v>173</v>
      </c>
      <c r="Z6" s="1434"/>
      <c r="AA6" s="1434"/>
      <c r="AB6" s="1434"/>
      <c r="AC6" s="1389"/>
      <c r="AD6" s="1389"/>
      <c r="AE6" s="1389"/>
      <c r="AF6" s="1430"/>
      <c r="AG6" s="1428"/>
      <c r="AH6" s="1426"/>
      <c r="AI6" s="1426"/>
      <c r="AJ6" s="515"/>
      <c r="AK6" s="515"/>
      <c r="AL6" s="515"/>
      <c r="AM6" s="515"/>
      <c r="AN6" s="515"/>
      <c r="AO6" s="515"/>
      <c r="AP6" s="515"/>
      <c r="AQ6" s="515"/>
      <c r="AR6" s="1408"/>
      <c r="AS6" s="1410"/>
      <c r="AT6" s="1410"/>
      <c r="AU6" s="1410"/>
      <c r="AV6" s="1410"/>
      <c r="AW6" s="1410"/>
      <c r="AX6" s="1410"/>
      <c r="AY6" s="1412"/>
      <c r="AZ6" s="1411"/>
      <c r="BA6" s="1411"/>
      <c r="BB6" s="1408"/>
      <c r="BC6" s="1408"/>
      <c r="BD6" s="1408"/>
    </row>
    <row r="7" spans="1:58" s="32" customFormat="1" ht="69.95" customHeight="1">
      <c r="A7" s="1383" t="s">
        <v>86</v>
      </c>
      <c r="B7" s="663" t="s">
        <v>66</v>
      </c>
      <c r="C7" s="153" t="s">
        <v>92</v>
      </c>
      <c r="D7" s="153" t="s">
        <v>89</v>
      </c>
      <c r="E7" s="153" t="s">
        <v>174</v>
      </c>
      <c r="F7" s="153" t="s">
        <v>175</v>
      </c>
      <c r="G7" s="153" t="s">
        <v>176</v>
      </c>
      <c r="H7" s="153" t="s">
        <v>177</v>
      </c>
      <c r="I7" s="153" t="s">
        <v>178</v>
      </c>
      <c r="J7" s="153" t="s">
        <v>179</v>
      </c>
      <c r="K7" s="153" t="s">
        <v>180</v>
      </c>
      <c r="L7" s="153" t="s">
        <v>181</v>
      </c>
      <c r="M7" s="153" t="s">
        <v>182</v>
      </c>
      <c r="N7" s="580" t="s">
        <v>183</v>
      </c>
      <c r="O7" s="580" t="s">
        <v>184</v>
      </c>
      <c r="P7" s="60" t="s">
        <v>185</v>
      </c>
      <c r="Q7" s="153" t="s">
        <v>110</v>
      </c>
      <c r="R7" s="61" t="s">
        <v>92</v>
      </c>
      <c r="S7" s="61" t="s">
        <v>89</v>
      </c>
      <c r="T7" s="61" t="s">
        <v>174</v>
      </c>
      <c r="U7" s="61" t="s">
        <v>175</v>
      </c>
      <c r="V7" s="61" t="s">
        <v>176</v>
      </c>
      <c r="W7" s="61" t="s">
        <v>88</v>
      </c>
      <c r="X7" s="61" t="s">
        <v>178</v>
      </c>
      <c r="Y7" s="61" t="s">
        <v>179</v>
      </c>
      <c r="Z7" s="61" t="s">
        <v>180</v>
      </c>
      <c r="AA7" s="61" t="s">
        <v>181</v>
      </c>
      <c r="AB7" s="61" t="s">
        <v>186</v>
      </c>
      <c r="AC7" s="61" t="s">
        <v>183</v>
      </c>
      <c r="AD7" s="61" t="s">
        <v>184</v>
      </c>
      <c r="AE7" s="19" t="s">
        <v>187</v>
      </c>
      <c r="AF7" s="239" t="s">
        <v>85</v>
      </c>
      <c r="AG7" s="61" t="s">
        <v>120</v>
      </c>
      <c r="AH7" s="61" t="s">
        <v>122</v>
      </c>
      <c r="AI7" s="239" t="s">
        <v>188</v>
      </c>
      <c r="AJ7" s="347"/>
      <c r="AK7" s="347"/>
      <c r="AL7" s="347"/>
      <c r="AM7" s="347"/>
      <c r="AN7" s="347"/>
      <c r="AO7" s="347"/>
      <c r="AP7" s="347"/>
      <c r="AQ7" s="347"/>
      <c r="AR7" s="347"/>
      <c r="AS7" s="347"/>
      <c r="AT7" s="347"/>
      <c r="AU7" s="347"/>
      <c r="AV7" s="347"/>
      <c r="AW7" s="347"/>
      <c r="AX7" s="347"/>
      <c r="AY7" s="347"/>
      <c r="AZ7" s="347"/>
      <c r="BA7" s="347"/>
      <c r="BB7" s="347"/>
      <c r="BC7" s="347"/>
      <c r="BD7" s="347"/>
    </row>
    <row r="8" spans="1:58" s="1" customFormat="1" ht="195" customHeight="1">
      <c r="A8" s="1383"/>
      <c r="B8" s="600" t="s">
        <v>126</v>
      </c>
      <c r="C8" s="152" t="s">
        <v>189</v>
      </c>
      <c r="D8" s="801" t="s">
        <v>129</v>
      </c>
      <c r="E8" s="152" t="s">
        <v>190</v>
      </c>
      <c r="F8" s="152" t="s">
        <v>191</v>
      </c>
      <c r="G8" s="152" t="s">
        <v>192</v>
      </c>
      <c r="H8" s="152" t="s">
        <v>193</v>
      </c>
      <c r="I8" s="152" t="s">
        <v>194</v>
      </c>
      <c r="J8" s="152" t="s">
        <v>195</v>
      </c>
      <c r="K8" s="152" t="s">
        <v>194</v>
      </c>
      <c r="L8" s="152" t="s">
        <v>196</v>
      </c>
      <c r="M8" s="152" t="s">
        <v>197</v>
      </c>
      <c r="N8" s="582" t="s">
        <v>198</v>
      </c>
      <c r="O8" s="582" t="s">
        <v>199</v>
      </c>
      <c r="P8" s="12" t="s">
        <v>200</v>
      </c>
      <c r="Q8" s="152" t="s">
        <v>144</v>
      </c>
      <c r="R8" s="4" t="s">
        <v>143</v>
      </c>
      <c r="S8" s="803" t="s">
        <v>129</v>
      </c>
      <c r="T8" s="4" t="s">
        <v>146</v>
      </c>
      <c r="U8" s="4" t="s">
        <v>146</v>
      </c>
      <c r="V8" s="4" t="s">
        <v>146</v>
      </c>
      <c r="W8" s="4" t="s">
        <v>146</v>
      </c>
      <c r="X8" s="4" t="s">
        <v>146</v>
      </c>
      <c r="Y8" s="4" t="s">
        <v>146</v>
      </c>
      <c r="Z8" s="4" t="s">
        <v>146</v>
      </c>
      <c r="AA8" s="4" t="s">
        <v>146</v>
      </c>
      <c r="AB8" s="4" t="s">
        <v>146</v>
      </c>
      <c r="AC8" s="4" t="s">
        <v>146</v>
      </c>
      <c r="AD8" s="4" t="s">
        <v>146</v>
      </c>
      <c r="AE8" s="4" t="s">
        <v>201</v>
      </c>
      <c r="AF8" s="240" t="s">
        <v>146</v>
      </c>
      <c r="AG8" s="4" t="s">
        <v>202</v>
      </c>
      <c r="AH8" s="4" t="s">
        <v>150</v>
      </c>
      <c r="AI8" s="240" t="s">
        <v>143</v>
      </c>
    </row>
    <row r="9" spans="1:58" s="1" customFormat="1" ht="48.75" customHeight="1" thickBot="1">
      <c r="A9" s="304" t="s">
        <v>48</v>
      </c>
      <c r="B9" s="307" t="s">
        <v>11</v>
      </c>
      <c r="C9" s="787" t="s">
        <v>43</v>
      </c>
      <c r="D9" s="800" t="s">
        <v>152</v>
      </c>
      <c r="E9" s="307" t="s">
        <v>48</v>
      </c>
      <c r="F9" s="307" t="s">
        <v>203</v>
      </c>
      <c r="G9" s="307" t="s">
        <v>204</v>
      </c>
      <c r="H9" s="308">
        <v>1</v>
      </c>
      <c r="I9" s="307" t="s">
        <v>205</v>
      </c>
      <c r="J9" s="307" t="s">
        <v>206</v>
      </c>
      <c r="K9" s="307" t="s">
        <v>205</v>
      </c>
      <c r="L9" s="307" t="s">
        <v>205</v>
      </c>
      <c r="M9" s="309">
        <v>20000</v>
      </c>
      <c r="N9" s="307" t="s">
        <v>207</v>
      </c>
      <c r="O9" s="310" t="s">
        <v>208</v>
      </c>
      <c r="P9" s="674">
        <f t="shared" ref="P9:P40" si="0">IF(K9=0,"",((M9/K9)*L9)*H9)</f>
        <v>20000</v>
      </c>
      <c r="Q9" s="311" t="s">
        <v>209</v>
      </c>
      <c r="R9" s="675" t="str">
        <f t="shared" ref="R9:R40" si="1">IF(C9="","",C9)</f>
        <v>Développement de nouveaux produits, pratiques, procédés et techniques</v>
      </c>
      <c r="S9" s="199" t="s">
        <v>152</v>
      </c>
      <c r="T9" s="675" t="str">
        <f t="shared" ref="T9:T40" si="2">IF(E9="","",E9)</f>
        <v>Exemple</v>
      </c>
      <c r="U9" s="675" t="str">
        <f t="shared" ref="U9:U40" si="3">IF(F9="","",F9)</f>
        <v>Neuf</v>
      </c>
      <c r="V9" s="675" t="str">
        <f t="shared" ref="V9:V40" si="4">IF(G9="","",G9)</f>
        <v>Nécessaire à la réalisation de l'opération - exemple</v>
      </c>
      <c r="W9" s="676">
        <f t="shared" ref="W9:W40" si="5">IF(H9="","",H9)</f>
        <v>1</v>
      </c>
      <c r="X9" s="194" t="str">
        <f t="shared" ref="X9:X40" si="6">IF(I9="","",I9)</f>
        <v>2</v>
      </c>
      <c r="Y9" s="675" t="str">
        <f t="shared" ref="Y9:Y40" si="7">IF(J9="","",J9)</f>
        <v>13/11/2025</v>
      </c>
      <c r="Z9" s="194" t="str">
        <f t="shared" ref="Z9:Z40" si="8">IF(K9="","",K9)</f>
        <v>2</v>
      </c>
      <c r="AA9" s="194" t="str">
        <f t="shared" ref="AA9:AA40" si="9">IF(L9="","",L9)</f>
        <v>2</v>
      </c>
      <c r="AB9" s="195">
        <f t="shared" ref="AB9:AB40" si="10">IF(M9="","",M9)</f>
        <v>20000</v>
      </c>
      <c r="AC9" s="675" t="str">
        <f t="shared" ref="AC9:AC40" si="11">IF(N9="","",N9)</f>
        <v>Justificatif : exemple</v>
      </c>
      <c r="AD9" s="675" t="str">
        <f t="shared" ref="AD9:AD40" si="12">IF(O9="","",O9)</f>
        <v>Attestation sur l'honneur</v>
      </c>
      <c r="AE9" s="677" t="s">
        <v>158</v>
      </c>
      <c r="AF9" s="680">
        <f>IF(Z9="","",((AB9/Z9)*AA9)*W9)</f>
        <v>20000</v>
      </c>
      <c r="AG9" s="227" t="s">
        <v>209</v>
      </c>
      <c r="AH9" s="679" t="str" cm="1">
        <f t="array" ref="AH9">IF(OR(AF9="",P9=""),"",_xlfn.IFS(IFERROR(VALUE(TRIM(SUBSTITUTE(AF9,CHAR(160),""))),0)&gt;IFERROR(VALUE(TRIM(SUBSTITUTE(P9,CHAR(160),""))),0),"KO : Le montant retenu est supérieur au montant présenté. Merci de revoir la ligne de contributions ou plafonner son montant.",IFERROR(VALUE(TRIM(SUBSTITUTE(P9,CHAR(160),""))),0)=0,"",IFERROR(VALUE(TRIM(SUBSTITUTE(AF9,CHAR(160),""))),0)=IFERROR(VALUE(TRIM(SUBSTITUTE(P9,CHAR(160),""))),0),"OK",IFERROR(VALUE(TRIM(SUBSTITUTE(AF9,CHAR(160),""))),0)&lt;IFERROR(VALUE(TRIM(SUBSTITUTE(P9,CHAR(160),""))),0),"Attention : Montant présenté partiellement écarté",TRUE,""))</f>
        <v>OK</v>
      </c>
      <c r="AI9" s="195">
        <f t="shared" ref="AI9:AI40" si="13">IF(OR(P9="",AF9=""),"",IFERROR(VALUE(TRIM(SUBSTITUTE(P9,CHAR(160),""))),0)-IFERROR(VALUE(TRIM(SUBSTITUTE(AF9,CHAR(160),""))),0))</f>
        <v>0</v>
      </c>
    </row>
    <row r="10" spans="1:58" s="1" customFormat="1" ht="48" customHeight="1" thickBot="1">
      <c r="A10" s="312">
        <v>1</v>
      </c>
      <c r="B10" s="778" t="s">
        <v>11</v>
      </c>
      <c r="C10" s="207" t="s">
        <v>43</v>
      </c>
      <c r="D10" s="797" t="s">
        <v>160</v>
      </c>
      <c r="E10" s="160" t="s">
        <v>210</v>
      </c>
      <c r="F10" s="314" t="s">
        <v>211</v>
      </c>
      <c r="G10" s="160" t="s">
        <v>212</v>
      </c>
      <c r="H10" s="315">
        <v>1</v>
      </c>
      <c r="I10" s="316">
        <v>10</v>
      </c>
      <c r="J10" s="317">
        <v>45930</v>
      </c>
      <c r="K10" s="316">
        <v>10</v>
      </c>
      <c r="L10" s="318">
        <v>10</v>
      </c>
      <c r="M10" s="319">
        <v>2000</v>
      </c>
      <c r="N10" s="160" t="s">
        <v>213</v>
      </c>
      <c r="O10" s="160" t="s">
        <v>213</v>
      </c>
      <c r="P10" s="320">
        <f t="shared" si="0"/>
        <v>2000</v>
      </c>
      <c r="Q10" s="321" t="s">
        <v>214</v>
      </c>
      <c r="R10" s="322" t="str">
        <f t="shared" si="1"/>
        <v>Développement de nouveaux produits, pratiques, procédés et techniques</v>
      </c>
      <c r="S10" s="322" t="str">
        <f t="shared" ref="S10:S41" si="14">IF(D10="","",D10)</f>
        <v>Non</v>
      </c>
      <c r="T10" s="322" t="str">
        <f t="shared" si="2"/>
        <v>:)</v>
      </c>
      <c r="U10" s="322" t="str">
        <f t="shared" si="3"/>
        <v>Occasion</v>
      </c>
      <c r="V10" s="322" t="str">
        <f t="shared" si="4"/>
        <v xml:space="preserve">Test </v>
      </c>
      <c r="W10" s="175">
        <f t="shared" si="5"/>
        <v>1</v>
      </c>
      <c r="X10" s="177">
        <f t="shared" si="6"/>
        <v>10</v>
      </c>
      <c r="Y10" s="322">
        <f t="shared" si="7"/>
        <v>45930</v>
      </c>
      <c r="Z10" s="177">
        <f t="shared" si="8"/>
        <v>10</v>
      </c>
      <c r="AA10" s="177">
        <f t="shared" si="9"/>
        <v>10</v>
      </c>
      <c r="AB10" s="180">
        <f t="shared" si="10"/>
        <v>2000</v>
      </c>
      <c r="AC10" s="322" t="str">
        <f t="shared" si="11"/>
        <v>Justificatif : test</v>
      </c>
      <c r="AD10" s="322" t="str">
        <f t="shared" si="12"/>
        <v>Justificatif : test</v>
      </c>
      <c r="AE10" s="184" t="s">
        <v>158</v>
      </c>
      <c r="AF10" s="678">
        <f t="shared" ref="AF10:AF73" si="15">IF(Z10="","",((AB10/Z10)*AA10)*W10)</f>
        <v>2000</v>
      </c>
      <c r="AG10" s="208" t="s">
        <v>215</v>
      </c>
      <c r="AH10" s="187" t="str" cm="1">
        <f t="array" ref="AH10">IF(OR(AF10="",P10=""),"",_xlfn.IFS(IFERROR(VALUE(TRIM(SUBSTITUTE(AF10,CHAR(160),""))),0)&gt;IFERROR(VALUE(TRIM(SUBSTITUTE(P10,CHAR(160),""))),0),"KO : Le montant retenu est supérieur au montant présenté. Merci de revoir la ligne de contributions ou plafonner son montant.",IFERROR(VALUE(TRIM(SUBSTITUTE(P10,CHAR(160),""))),0)=0,"",IFERROR(VALUE(TRIM(SUBSTITUTE(AF10,CHAR(160),""))),0)=IFERROR(VALUE(TRIM(SUBSTITUTE(P10,CHAR(160),""))),0),"OK",IFERROR(VALUE(TRIM(SUBSTITUTE(AF10,CHAR(160),""))),0)&lt;IFERROR(VALUE(TRIM(SUBSTITUTE(P10,CHAR(160),""))),0),"Attention : Montant présenté partiellement écarté",TRUE,""))</f>
        <v>OK</v>
      </c>
      <c r="AI10" s="180">
        <f t="shared" si="13"/>
        <v>0</v>
      </c>
    </row>
    <row r="11" spans="1:58" s="1" customFormat="1" ht="15" customHeight="1">
      <c r="A11" s="68">
        <v>2</v>
      </c>
      <c r="B11" s="778" t="s">
        <v>11</v>
      </c>
      <c r="C11" s="207" t="s">
        <v>43</v>
      </c>
      <c r="D11" s="797" t="s">
        <v>160</v>
      </c>
      <c r="E11" s="160" t="s">
        <v>210</v>
      </c>
      <c r="F11" s="314" t="s">
        <v>211</v>
      </c>
      <c r="G11" s="160" t="s">
        <v>212</v>
      </c>
      <c r="H11" s="315">
        <v>1</v>
      </c>
      <c r="I11" s="316">
        <v>10</v>
      </c>
      <c r="J11" s="317">
        <v>45930</v>
      </c>
      <c r="K11" s="316">
        <v>10</v>
      </c>
      <c r="L11" s="318">
        <v>10</v>
      </c>
      <c r="M11" s="319">
        <v>1000</v>
      </c>
      <c r="N11" s="160" t="s">
        <v>213</v>
      </c>
      <c r="O11" s="160" t="s">
        <v>213</v>
      </c>
      <c r="P11" s="320">
        <f t="shared" ref="P11" si="16">IF(K11=0,"",((M11/K11)*L11)*H11)</f>
        <v>1000</v>
      </c>
      <c r="Q11" s="321" t="s">
        <v>214</v>
      </c>
      <c r="R11" s="325" t="str">
        <f t="shared" si="1"/>
        <v>Développement de nouveaux produits, pratiques, procédés et techniques</v>
      </c>
      <c r="S11" s="322" t="str">
        <f t="shared" si="14"/>
        <v>Non</v>
      </c>
      <c r="T11" s="325" t="str">
        <f t="shared" si="2"/>
        <v>:)</v>
      </c>
      <c r="U11" s="325" t="str">
        <f t="shared" si="3"/>
        <v>Occasion</v>
      </c>
      <c r="V11" s="325" t="str">
        <f t="shared" si="4"/>
        <v xml:space="preserve">Test </v>
      </c>
      <c r="W11" s="37">
        <f t="shared" si="5"/>
        <v>1</v>
      </c>
      <c r="X11" s="38">
        <f t="shared" si="6"/>
        <v>10</v>
      </c>
      <c r="Y11" s="325">
        <f t="shared" si="7"/>
        <v>45930</v>
      </c>
      <c r="Z11" s="38">
        <f t="shared" si="8"/>
        <v>10</v>
      </c>
      <c r="AA11" s="38">
        <f t="shared" si="9"/>
        <v>10</v>
      </c>
      <c r="AB11" s="20">
        <f t="shared" si="10"/>
        <v>1000</v>
      </c>
      <c r="AC11" s="325" t="str">
        <f t="shared" si="11"/>
        <v>Justificatif : test</v>
      </c>
      <c r="AD11" s="325" t="str">
        <f t="shared" si="12"/>
        <v>Justificatif : test</v>
      </c>
      <c r="AE11" s="184"/>
      <c r="AF11" s="678">
        <f t="shared" si="15"/>
        <v>1000</v>
      </c>
      <c r="AG11" s="63"/>
      <c r="AH11" s="187" t="str" cm="1">
        <f t="array" ref="AH11">IF(OR(AF11="",P11=""),"",_xlfn.IFS(IFERROR(VALUE(TRIM(SUBSTITUTE(AF11,CHAR(160),""))),0)&gt;IFERROR(VALUE(TRIM(SUBSTITUTE(P11,CHAR(160),""))),0),"KO : Le montant retenu est supérieur au montant présenté. Merci de revoir la ligne de contributions ou plafonner son montant.",IFERROR(VALUE(TRIM(SUBSTITUTE(P11,CHAR(160),""))),0)=0,"",IFERROR(VALUE(TRIM(SUBSTITUTE(AF11,CHAR(160),""))),0)=IFERROR(VALUE(TRIM(SUBSTITUTE(P11,CHAR(160),""))),0),"OK",IFERROR(VALUE(TRIM(SUBSTITUTE(AF11,CHAR(160),""))),0)&lt;IFERROR(VALUE(TRIM(SUBSTITUTE(P11,CHAR(160),""))),0),"Montant instruit inférieur au montant présenté.",TRUE,""))</f>
        <v>OK</v>
      </c>
      <c r="AI11" s="180">
        <f t="shared" si="13"/>
        <v>0</v>
      </c>
    </row>
    <row r="12" spans="1:58" ht="15" customHeight="1">
      <c r="A12" s="70">
        <v>3</v>
      </c>
      <c r="B12" s="784"/>
      <c r="C12" s="18"/>
      <c r="D12" s="451"/>
      <c r="E12" s="7"/>
      <c r="F12" s="314"/>
      <c r="G12" s="7"/>
      <c r="H12" s="323"/>
      <c r="I12" s="316"/>
      <c r="J12" s="317"/>
      <c r="K12" s="316"/>
      <c r="L12" s="316"/>
      <c r="M12" s="319"/>
      <c r="N12" s="7"/>
      <c r="O12" s="7"/>
      <c r="P12" s="320" t="str">
        <f t="shared" si="0"/>
        <v/>
      </c>
      <c r="Q12" s="324"/>
      <c r="R12" s="325" t="str">
        <f t="shared" si="1"/>
        <v/>
      </c>
      <c r="S12" s="322" t="str">
        <f t="shared" si="14"/>
        <v/>
      </c>
      <c r="T12" s="325" t="str">
        <f t="shared" si="2"/>
        <v/>
      </c>
      <c r="U12" s="325" t="str">
        <f t="shared" si="3"/>
        <v/>
      </c>
      <c r="V12" s="325" t="str">
        <f t="shared" si="4"/>
        <v/>
      </c>
      <c r="W12" s="37" t="str">
        <f t="shared" si="5"/>
        <v/>
      </c>
      <c r="X12" s="38" t="str">
        <f t="shared" si="6"/>
        <v/>
      </c>
      <c r="Y12" s="325" t="str">
        <f t="shared" si="7"/>
        <v/>
      </c>
      <c r="Z12" s="38" t="str">
        <f t="shared" si="8"/>
        <v/>
      </c>
      <c r="AA12" s="38" t="str">
        <f t="shared" si="9"/>
        <v/>
      </c>
      <c r="AB12" s="20" t="str">
        <f t="shared" si="10"/>
        <v/>
      </c>
      <c r="AC12" s="325" t="str">
        <f t="shared" si="11"/>
        <v/>
      </c>
      <c r="AD12" s="325" t="str">
        <f t="shared" si="12"/>
        <v/>
      </c>
      <c r="AE12" s="184"/>
      <c r="AF12" s="678" t="str">
        <f t="shared" si="15"/>
        <v/>
      </c>
      <c r="AG12" s="63"/>
      <c r="AH12" s="187" t="str" cm="1">
        <f t="array" ref="AH12">IF(OR(AF12="",P12=""),"",_xlfn.IFS(IFERROR(VALUE(TRIM(SUBSTITUTE(AF12,CHAR(160),""))),0)&gt;IFERROR(VALUE(TRIM(SUBSTITUTE(P12,CHAR(160),""))),0),"KO : Le montant retenu est supérieur au montant présenté. Merci de revoir la ligne de contributions ou plafonner son montant.",IFERROR(VALUE(TRIM(SUBSTITUTE(P12,CHAR(160),""))),0)=0,"",IFERROR(VALUE(TRIM(SUBSTITUTE(AF12,CHAR(160),""))),0)=IFERROR(VALUE(TRIM(SUBSTITUTE(P12,CHAR(160),""))),0),"OK",IFERROR(VALUE(TRIM(SUBSTITUTE(AF12,CHAR(160),""))),0)&lt;IFERROR(VALUE(TRIM(SUBSTITUTE(P12,CHAR(160),""))),0),"Montant instruit inférieur au montant présenté.",TRUE,""))</f>
        <v/>
      </c>
      <c r="AI12" s="180" t="str">
        <f t="shared" si="13"/>
        <v/>
      </c>
    </row>
    <row r="13" spans="1:58" ht="15" customHeight="1">
      <c r="A13" s="70">
        <v>4</v>
      </c>
      <c r="B13" s="784"/>
      <c r="C13" s="18"/>
      <c r="D13" s="451"/>
      <c r="E13" s="7"/>
      <c r="F13" s="314"/>
      <c r="G13" s="7"/>
      <c r="H13" s="323"/>
      <c r="I13" s="316"/>
      <c r="J13" s="317"/>
      <c r="K13" s="316"/>
      <c r="L13" s="316"/>
      <c r="M13" s="319"/>
      <c r="N13" s="7"/>
      <c r="O13" s="7"/>
      <c r="P13" s="320" t="str">
        <f t="shared" si="0"/>
        <v/>
      </c>
      <c r="Q13" s="324"/>
      <c r="R13" s="325" t="str">
        <f t="shared" si="1"/>
        <v/>
      </c>
      <c r="S13" s="322" t="str">
        <f t="shared" si="14"/>
        <v/>
      </c>
      <c r="T13" s="325" t="str">
        <f t="shared" si="2"/>
        <v/>
      </c>
      <c r="U13" s="325" t="str">
        <f t="shared" si="3"/>
        <v/>
      </c>
      <c r="V13" s="325" t="str">
        <f t="shared" si="4"/>
        <v/>
      </c>
      <c r="W13" s="37" t="str">
        <f t="shared" si="5"/>
        <v/>
      </c>
      <c r="X13" s="38" t="str">
        <f t="shared" si="6"/>
        <v/>
      </c>
      <c r="Y13" s="325" t="str">
        <f t="shared" si="7"/>
        <v/>
      </c>
      <c r="Z13" s="38" t="str">
        <f t="shared" si="8"/>
        <v/>
      </c>
      <c r="AA13" s="38" t="str">
        <f t="shared" si="9"/>
        <v/>
      </c>
      <c r="AB13" s="20" t="str">
        <f t="shared" si="10"/>
        <v/>
      </c>
      <c r="AC13" s="325" t="str">
        <f t="shared" si="11"/>
        <v/>
      </c>
      <c r="AD13" s="325" t="str">
        <f t="shared" si="12"/>
        <v/>
      </c>
      <c r="AE13" s="184"/>
      <c r="AF13" s="678" t="str">
        <f t="shared" si="15"/>
        <v/>
      </c>
      <c r="AG13" s="63"/>
      <c r="AH13" s="187" t="str" cm="1">
        <f t="array" ref="AH13">IF(OR(AF13="",P13=""),"",_xlfn.IFS(IFERROR(VALUE(TRIM(SUBSTITUTE(AF13,CHAR(160),""))),0)&gt;IFERROR(VALUE(TRIM(SUBSTITUTE(P13,CHAR(160),""))),0),"KO : Le montant retenu est supérieur au montant présenté. Merci de revoir la ligne de contributions ou plafonner son montant.",IFERROR(VALUE(TRIM(SUBSTITUTE(P13,CHAR(160),""))),0)=0,"",IFERROR(VALUE(TRIM(SUBSTITUTE(AF13,CHAR(160),""))),0)=IFERROR(VALUE(TRIM(SUBSTITUTE(P13,CHAR(160),""))),0),"OK",IFERROR(VALUE(TRIM(SUBSTITUTE(AF13,CHAR(160),""))),0)&lt;IFERROR(VALUE(TRIM(SUBSTITUTE(P13,CHAR(160),""))),0),"Montant instruit inférieur au montant présenté.",TRUE,""))</f>
        <v/>
      </c>
      <c r="AI13" s="180" t="str">
        <f t="shared" si="13"/>
        <v/>
      </c>
    </row>
    <row r="14" spans="1:58" ht="15" customHeight="1">
      <c r="A14" s="70">
        <v>5</v>
      </c>
      <c r="B14" s="784"/>
      <c r="C14" s="18"/>
      <c r="D14" s="451"/>
      <c r="E14" s="7"/>
      <c r="F14" s="314"/>
      <c r="G14" s="7"/>
      <c r="H14" s="323"/>
      <c r="I14" s="316"/>
      <c r="J14" s="317"/>
      <c r="K14" s="316"/>
      <c r="L14" s="316"/>
      <c r="M14" s="319"/>
      <c r="N14" s="7"/>
      <c r="O14" s="7"/>
      <c r="P14" s="320" t="str">
        <f t="shared" si="0"/>
        <v/>
      </c>
      <c r="Q14" s="324"/>
      <c r="R14" s="325" t="str">
        <f t="shared" si="1"/>
        <v/>
      </c>
      <c r="S14" s="322" t="str">
        <f t="shared" si="14"/>
        <v/>
      </c>
      <c r="T14" s="325" t="str">
        <f t="shared" si="2"/>
        <v/>
      </c>
      <c r="U14" s="325" t="str">
        <f t="shared" si="3"/>
        <v/>
      </c>
      <c r="V14" s="325" t="str">
        <f t="shared" si="4"/>
        <v/>
      </c>
      <c r="W14" s="37" t="str">
        <f t="shared" si="5"/>
        <v/>
      </c>
      <c r="X14" s="38" t="str">
        <f t="shared" si="6"/>
        <v/>
      </c>
      <c r="Y14" s="325" t="str">
        <f t="shared" si="7"/>
        <v/>
      </c>
      <c r="Z14" s="38" t="str">
        <f t="shared" si="8"/>
        <v/>
      </c>
      <c r="AA14" s="38" t="str">
        <f t="shared" si="9"/>
        <v/>
      </c>
      <c r="AB14" s="20" t="str">
        <f t="shared" si="10"/>
        <v/>
      </c>
      <c r="AC14" s="325" t="str">
        <f t="shared" si="11"/>
        <v/>
      </c>
      <c r="AD14" s="325" t="str">
        <f t="shared" si="12"/>
        <v/>
      </c>
      <c r="AE14" s="184"/>
      <c r="AF14" s="678" t="str">
        <f t="shared" si="15"/>
        <v/>
      </c>
      <c r="AG14" s="63"/>
      <c r="AH14" s="187" t="str" cm="1">
        <f t="array" ref="AH14">IF(OR(AF14="",P14=""),"",_xlfn.IFS(IFERROR(VALUE(TRIM(SUBSTITUTE(AF14,CHAR(160),""))),0)&gt;IFERROR(VALUE(TRIM(SUBSTITUTE(P14,CHAR(160),""))),0),"KO : Le montant retenu est supérieur au montant présenté. Merci de revoir la ligne de contributions ou plafonner son montant.",IFERROR(VALUE(TRIM(SUBSTITUTE(P14,CHAR(160),""))),0)=0,"",IFERROR(VALUE(TRIM(SUBSTITUTE(AF14,CHAR(160),""))),0)=IFERROR(VALUE(TRIM(SUBSTITUTE(P14,CHAR(160),""))),0),"OK",IFERROR(VALUE(TRIM(SUBSTITUTE(AF14,CHAR(160),""))),0)&lt;IFERROR(VALUE(TRIM(SUBSTITUTE(P14,CHAR(160),""))),0),"Montant instruit inférieur au montant présenté.",TRUE,""))</f>
        <v/>
      </c>
      <c r="AI14" s="180" t="str">
        <f t="shared" si="13"/>
        <v/>
      </c>
    </row>
    <row r="15" spans="1:58" ht="15" customHeight="1">
      <c r="A15" s="70">
        <v>6</v>
      </c>
      <c r="B15" s="784"/>
      <c r="C15" s="18"/>
      <c r="D15" s="451"/>
      <c r="E15" s="7"/>
      <c r="F15" s="314"/>
      <c r="G15" s="7"/>
      <c r="H15" s="323"/>
      <c r="I15" s="316"/>
      <c r="J15" s="317"/>
      <c r="K15" s="316"/>
      <c r="L15" s="316"/>
      <c r="M15" s="319"/>
      <c r="N15" s="7"/>
      <c r="O15" s="7"/>
      <c r="P15" s="320" t="str">
        <f t="shared" si="0"/>
        <v/>
      </c>
      <c r="Q15" s="324"/>
      <c r="R15" s="325" t="str">
        <f t="shared" si="1"/>
        <v/>
      </c>
      <c r="S15" s="322" t="str">
        <f t="shared" si="14"/>
        <v/>
      </c>
      <c r="T15" s="325" t="str">
        <f t="shared" si="2"/>
        <v/>
      </c>
      <c r="U15" s="325" t="str">
        <f t="shared" si="3"/>
        <v/>
      </c>
      <c r="V15" s="325" t="str">
        <f t="shared" si="4"/>
        <v/>
      </c>
      <c r="W15" s="37" t="str">
        <f t="shared" si="5"/>
        <v/>
      </c>
      <c r="X15" s="38" t="str">
        <f t="shared" si="6"/>
        <v/>
      </c>
      <c r="Y15" s="325" t="str">
        <f t="shared" si="7"/>
        <v/>
      </c>
      <c r="Z15" s="38" t="str">
        <f t="shared" si="8"/>
        <v/>
      </c>
      <c r="AA15" s="38" t="str">
        <f t="shared" si="9"/>
        <v/>
      </c>
      <c r="AB15" s="20" t="str">
        <f t="shared" si="10"/>
        <v/>
      </c>
      <c r="AC15" s="325" t="str">
        <f t="shared" si="11"/>
        <v/>
      </c>
      <c r="AD15" s="325" t="str">
        <f t="shared" si="12"/>
        <v/>
      </c>
      <c r="AE15" s="184"/>
      <c r="AF15" s="678" t="str">
        <f t="shared" si="15"/>
        <v/>
      </c>
      <c r="AG15" s="63"/>
      <c r="AH15" s="187" t="str" cm="1">
        <f t="array" ref="AH15">IF(OR(AF15="",P15=""),"",_xlfn.IFS(IFERROR(VALUE(TRIM(SUBSTITUTE(AF15,CHAR(160),""))),0)&gt;IFERROR(VALUE(TRIM(SUBSTITUTE(P15,CHAR(160),""))),0),"KO : Le montant retenu est supérieur au montant présenté. Merci de revoir la ligne de contributions ou plafonner son montant.",IFERROR(VALUE(TRIM(SUBSTITUTE(P15,CHAR(160),""))),0)=0,"",IFERROR(VALUE(TRIM(SUBSTITUTE(AF15,CHAR(160),""))),0)=IFERROR(VALUE(TRIM(SUBSTITUTE(P15,CHAR(160),""))),0),"OK",IFERROR(VALUE(TRIM(SUBSTITUTE(AF15,CHAR(160),""))),0)&lt;IFERROR(VALUE(TRIM(SUBSTITUTE(P15,CHAR(160),""))),0),"Montant instruit inférieur au montant présenté.",TRUE,""))</f>
        <v/>
      </c>
      <c r="AI15" s="180" t="str">
        <f t="shared" si="13"/>
        <v/>
      </c>
    </row>
    <row r="16" spans="1:58" ht="15" customHeight="1">
      <c r="A16" s="70">
        <v>7</v>
      </c>
      <c r="B16" s="784"/>
      <c r="C16" s="18"/>
      <c r="D16" s="451"/>
      <c r="E16" s="7"/>
      <c r="F16" s="314"/>
      <c r="G16" s="7"/>
      <c r="H16" s="323"/>
      <c r="I16" s="316"/>
      <c r="J16" s="317"/>
      <c r="K16" s="316"/>
      <c r="L16" s="316"/>
      <c r="M16" s="319"/>
      <c r="N16" s="7"/>
      <c r="O16" s="7"/>
      <c r="P16" s="320" t="str">
        <f t="shared" si="0"/>
        <v/>
      </c>
      <c r="Q16" s="324"/>
      <c r="R16" s="325" t="str">
        <f t="shared" si="1"/>
        <v/>
      </c>
      <c r="S16" s="322" t="str">
        <f t="shared" si="14"/>
        <v/>
      </c>
      <c r="T16" s="325" t="str">
        <f t="shared" si="2"/>
        <v/>
      </c>
      <c r="U16" s="325" t="str">
        <f t="shared" si="3"/>
        <v/>
      </c>
      <c r="V16" s="325" t="str">
        <f t="shared" si="4"/>
        <v/>
      </c>
      <c r="W16" s="37" t="str">
        <f t="shared" si="5"/>
        <v/>
      </c>
      <c r="X16" s="38" t="str">
        <f t="shared" si="6"/>
        <v/>
      </c>
      <c r="Y16" s="325" t="str">
        <f t="shared" si="7"/>
        <v/>
      </c>
      <c r="Z16" s="38" t="str">
        <f t="shared" si="8"/>
        <v/>
      </c>
      <c r="AA16" s="38" t="str">
        <f t="shared" si="9"/>
        <v/>
      </c>
      <c r="AB16" s="20" t="str">
        <f t="shared" si="10"/>
        <v/>
      </c>
      <c r="AC16" s="325" t="str">
        <f t="shared" si="11"/>
        <v/>
      </c>
      <c r="AD16" s="325" t="str">
        <f t="shared" si="12"/>
        <v/>
      </c>
      <c r="AE16" s="184"/>
      <c r="AF16" s="678" t="str">
        <f t="shared" si="15"/>
        <v/>
      </c>
      <c r="AG16" s="63"/>
      <c r="AH16" s="187" t="str" cm="1">
        <f t="array" ref="AH16">IF(OR(AF16="",P16=""),"",_xlfn.IFS(IFERROR(VALUE(TRIM(SUBSTITUTE(AF16,CHAR(160),""))),0)&gt;IFERROR(VALUE(TRIM(SUBSTITUTE(P16,CHAR(160),""))),0),"KO : Le montant retenu est supérieur au montant présenté. Merci de revoir la ligne de contributions ou plafonner son montant.",IFERROR(VALUE(TRIM(SUBSTITUTE(P16,CHAR(160),""))),0)=0,"",IFERROR(VALUE(TRIM(SUBSTITUTE(AF16,CHAR(160),""))),0)=IFERROR(VALUE(TRIM(SUBSTITUTE(P16,CHAR(160),""))),0),"OK",IFERROR(VALUE(TRIM(SUBSTITUTE(AF16,CHAR(160),""))),0)&lt;IFERROR(VALUE(TRIM(SUBSTITUTE(P16,CHAR(160),""))),0),"Montant instruit inférieur au montant présenté.",TRUE,""))</f>
        <v/>
      </c>
      <c r="AI16" s="180" t="str">
        <f t="shared" si="13"/>
        <v/>
      </c>
    </row>
    <row r="17" spans="1:35" ht="15" customHeight="1">
      <c r="A17" s="70">
        <v>8</v>
      </c>
      <c r="B17" s="784"/>
      <c r="C17" s="18"/>
      <c r="D17" s="451"/>
      <c r="E17" s="7"/>
      <c r="F17" s="314"/>
      <c r="G17" s="7"/>
      <c r="H17" s="323"/>
      <c r="I17" s="316"/>
      <c r="J17" s="317"/>
      <c r="K17" s="316"/>
      <c r="L17" s="316"/>
      <c r="M17" s="319"/>
      <c r="N17" s="7"/>
      <c r="O17" s="7"/>
      <c r="P17" s="320" t="str">
        <f t="shared" si="0"/>
        <v/>
      </c>
      <c r="Q17" s="324"/>
      <c r="R17" s="325" t="str">
        <f t="shared" si="1"/>
        <v/>
      </c>
      <c r="S17" s="322" t="str">
        <f t="shared" si="14"/>
        <v/>
      </c>
      <c r="T17" s="325" t="str">
        <f t="shared" si="2"/>
        <v/>
      </c>
      <c r="U17" s="325" t="str">
        <f t="shared" si="3"/>
        <v/>
      </c>
      <c r="V17" s="325" t="str">
        <f t="shared" si="4"/>
        <v/>
      </c>
      <c r="W17" s="37" t="str">
        <f t="shared" si="5"/>
        <v/>
      </c>
      <c r="X17" s="38" t="str">
        <f t="shared" si="6"/>
        <v/>
      </c>
      <c r="Y17" s="325" t="str">
        <f t="shared" si="7"/>
        <v/>
      </c>
      <c r="Z17" s="38" t="str">
        <f t="shared" si="8"/>
        <v/>
      </c>
      <c r="AA17" s="38" t="str">
        <f t="shared" si="9"/>
        <v/>
      </c>
      <c r="AB17" s="20" t="str">
        <f t="shared" si="10"/>
        <v/>
      </c>
      <c r="AC17" s="325" t="str">
        <f t="shared" si="11"/>
        <v/>
      </c>
      <c r="AD17" s="325" t="str">
        <f t="shared" si="12"/>
        <v/>
      </c>
      <c r="AE17" s="184"/>
      <c r="AF17" s="678" t="str">
        <f t="shared" si="15"/>
        <v/>
      </c>
      <c r="AG17" s="63"/>
      <c r="AH17" s="187" t="str" cm="1">
        <f t="array" ref="AH17">IF(OR(AF17="",P17=""),"",_xlfn.IFS(IFERROR(VALUE(TRIM(SUBSTITUTE(AF17,CHAR(160),""))),0)&gt;IFERROR(VALUE(TRIM(SUBSTITUTE(P17,CHAR(160),""))),0),"KO : Le montant retenu est supérieur au montant présenté. Merci de revoir la ligne de contributions ou plafonner son montant.",IFERROR(VALUE(TRIM(SUBSTITUTE(P17,CHAR(160),""))),0)=0,"",IFERROR(VALUE(TRIM(SUBSTITUTE(AF17,CHAR(160),""))),0)=IFERROR(VALUE(TRIM(SUBSTITUTE(P17,CHAR(160),""))),0),"OK",IFERROR(VALUE(TRIM(SUBSTITUTE(AF17,CHAR(160),""))),0)&lt;IFERROR(VALUE(TRIM(SUBSTITUTE(P17,CHAR(160),""))),0),"Montant instruit inférieur au montant présenté.",TRUE,""))</f>
        <v/>
      </c>
      <c r="AI17" s="180" t="str">
        <f t="shared" si="13"/>
        <v/>
      </c>
    </row>
    <row r="18" spans="1:35" ht="15" customHeight="1">
      <c r="A18" s="70">
        <v>9</v>
      </c>
      <c r="B18" s="784"/>
      <c r="C18" s="18"/>
      <c r="D18" s="451"/>
      <c r="E18" s="7"/>
      <c r="F18" s="314"/>
      <c r="G18" s="7"/>
      <c r="H18" s="323"/>
      <c r="I18" s="316"/>
      <c r="J18" s="317"/>
      <c r="K18" s="316"/>
      <c r="L18" s="316"/>
      <c r="M18" s="319"/>
      <c r="N18" s="7"/>
      <c r="O18" s="7"/>
      <c r="P18" s="320" t="str">
        <f t="shared" si="0"/>
        <v/>
      </c>
      <c r="Q18" s="324"/>
      <c r="R18" s="325" t="str">
        <f t="shared" si="1"/>
        <v/>
      </c>
      <c r="S18" s="322" t="str">
        <f t="shared" si="14"/>
        <v/>
      </c>
      <c r="T18" s="325" t="str">
        <f t="shared" si="2"/>
        <v/>
      </c>
      <c r="U18" s="325" t="str">
        <f t="shared" si="3"/>
        <v/>
      </c>
      <c r="V18" s="325" t="str">
        <f t="shared" si="4"/>
        <v/>
      </c>
      <c r="W18" s="37" t="str">
        <f t="shared" si="5"/>
        <v/>
      </c>
      <c r="X18" s="38" t="str">
        <f t="shared" si="6"/>
        <v/>
      </c>
      <c r="Y18" s="325" t="str">
        <f t="shared" si="7"/>
        <v/>
      </c>
      <c r="Z18" s="38" t="str">
        <f t="shared" si="8"/>
        <v/>
      </c>
      <c r="AA18" s="38" t="str">
        <f t="shared" si="9"/>
        <v/>
      </c>
      <c r="AB18" s="20" t="str">
        <f t="shared" si="10"/>
        <v/>
      </c>
      <c r="AC18" s="325" t="str">
        <f t="shared" si="11"/>
        <v/>
      </c>
      <c r="AD18" s="325" t="str">
        <f t="shared" si="12"/>
        <v/>
      </c>
      <c r="AE18" s="184"/>
      <c r="AF18" s="678" t="str">
        <f t="shared" si="15"/>
        <v/>
      </c>
      <c r="AG18" s="63"/>
      <c r="AH18" s="187" t="str" cm="1">
        <f t="array" ref="AH18">IF(OR(AF18="",P18=""),"",_xlfn.IFS(IFERROR(VALUE(TRIM(SUBSTITUTE(AF18,CHAR(160),""))),0)&gt;IFERROR(VALUE(TRIM(SUBSTITUTE(P18,CHAR(160),""))),0),"KO : Le montant retenu est supérieur au montant présenté. Merci de revoir la ligne de contributions ou plafonner son montant.",IFERROR(VALUE(TRIM(SUBSTITUTE(P18,CHAR(160),""))),0)=0,"",IFERROR(VALUE(TRIM(SUBSTITUTE(AF18,CHAR(160),""))),0)=IFERROR(VALUE(TRIM(SUBSTITUTE(P18,CHAR(160),""))),0),"OK",IFERROR(VALUE(TRIM(SUBSTITUTE(AF18,CHAR(160),""))),0)&lt;IFERROR(VALUE(TRIM(SUBSTITUTE(P18,CHAR(160),""))),0),"Montant instruit inférieur au montant présenté.",TRUE,""))</f>
        <v/>
      </c>
      <c r="AI18" s="180" t="str">
        <f t="shared" si="13"/>
        <v/>
      </c>
    </row>
    <row r="19" spans="1:35" ht="15" customHeight="1">
      <c r="A19" s="70">
        <v>10</v>
      </c>
      <c r="B19" s="784"/>
      <c r="C19" s="7"/>
      <c r="D19" s="451"/>
      <c r="E19" s="7"/>
      <c r="F19" s="314"/>
      <c r="G19" s="7"/>
      <c r="H19" s="323"/>
      <c r="I19" s="316"/>
      <c r="J19" s="317"/>
      <c r="K19" s="316"/>
      <c r="L19" s="316"/>
      <c r="M19" s="319"/>
      <c r="N19" s="7"/>
      <c r="O19" s="7"/>
      <c r="P19" s="320" t="str">
        <f t="shared" si="0"/>
        <v/>
      </c>
      <c r="Q19" s="324"/>
      <c r="R19" s="325" t="str">
        <f t="shared" si="1"/>
        <v/>
      </c>
      <c r="S19" s="322" t="str">
        <f t="shared" si="14"/>
        <v/>
      </c>
      <c r="T19" s="325" t="str">
        <f t="shared" si="2"/>
        <v/>
      </c>
      <c r="U19" s="325" t="str">
        <f t="shared" si="3"/>
        <v/>
      </c>
      <c r="V19" s="325" t="str">
        <f t="shared" si="4"/>
        <v/>
      </c>
      <c r="W19" s="37" t="str">
        <f t="shared" si="5"/>
        <v/>
      </c>
      <c r="X19" s="38" t="str">
        <f t="shared" si="6"/>
        <v/>
      </c>
      <c r="Y19" s="325" t="str">
        <f t="shared" si="7"/>
        <v/>
      </c>
      <c r="Z19" s="38" t="str">
        <f t="shared" si="8"/>
        <v/>
      </c>
      <c r="AA19" s="38" t="str">
        <f t="shared" si="9"/>
        <v/>
      </c>
      <c r="AB19" s="20" t="str">
        <f t="shared" si="10"/>
        <v/>
      </c>
      <c r="AC19" s="325" t="str">
        <f t="shared" si="11"/>
        <v/>
      </c>
      <c r="AD19" s="325" t="str">
        <f t="shared" si="12"/>
        <v/>
      </c>
      <c r="AE19" s="184"/>
      <c r="AF19" s="678" t="str">
        <f t="shared" si="15"/>
        <v/>
      </c>
      <c r="AG19" s="63"/>
      <c r="AH19" s="187" t="str" cm="1">
        <f t="array" ref="AH19">IF(OR(AF19="",P19=""),"",_xlfn.IFS(IFERROR(VALUE(TRIM(SUBSTITUTE(AF19,CHAR(160),""))),0)&gt;IFERROR(VALUE(TRIM(SUBSTITUTE(P19,CHAR(160),""))),0),"KO : Le montant retenu est supérieur au montant présenté. Merci de revoir la ligne de contributions ou plafonner son montant.",IFERROR(VALUE(TRIM(SUBSTITUTE(P19,CHAR(160),""))),0)=0,"",IFERROR(VALUE(TRIM(SUBSTITUTE(AF19,CHAR(160),""))),0)=IFERROR(VALUE(TRIM(SUBSTITUTE(P19,CHAR(160),""))),0),"OK",IFERROR(VALUE(TRIM(SUBSTITUTE(AF19,CHAR(160),""))),0)&lt;IFERROR(VALUE(TRIM(SUBSTITUTE(P19,CHAR(160),""))),0),"Montant instruit inférieur au montant présenté.",TRUE,""))</f>
        <v/>
      </c>
      <c r="AI19" s="180" t="str">
        <f t="shared" si="13"/>
        <v/>
      </c>
    </row>
    <row r="20" spans="1:35" ht="15" customHeight="1">
      <c r="A20" s="70">
        <v>11</v>
      </c>
      <c r="B20" s="784"/>
      <c r="C20" s="7"/>
      <c r="D20" s="451"/>
      <c r="E20" s="7"/>
      <c r="F20" s="314"/>
      <c r="G20" s="7"/>
      <c r="H20" s="323"/>
      <c r="I20" s="316"/>
      <c r="J20" s="317"/>
      <c r="K20" s="316"/>
      <c r="L20" s="316"/>
      <c r="M20" s="319"/>
      <c r="N20" s="7"/>
      <c r="O20" s="7"/>
      <c r="P20" s="320" t="str">
        <f t="shared" si="0"/>
        <v/>
      </c>
      <c r="Q20" s="324"/>
      <c r="R20" s="325" t="str">
        <f t="shared" si="1"/>
        <v/>
      </c>
      <c r="S20" s="322" t="str">
        <f t="shared" si="14"/>
        <v/>
      </c>
      <c r="T20" s="325" t="str">
        <f t="shared" si="2"/>
        <v/>
      </c>
      <c r="U20" s="325" t="str">
        <f t="shared" si="3"/>
        <v/>
      </c>
      <c r="V20" s="325" t="str">
        <f t="shared" si="4"/>
        <v/>
      </c>
      <c r="W20" s="37" t="str">
        <f t="shared" si="5"/>
        <v/>
      </c>
      <c r="X20" s="38" t="str">
        <f t="shared" si="6"/>
        <v/>
      </c>
      <c r="Y20" s="325" t="str">
        <f t="shared" si="7"/>
        <v/>
      </c>
      <c r="Z20" s="38" t="str">
        <f t="shared" si="8"/>
        <v/>
      </c>
      <c r="AA20" s="38" t="str">
        <f t="shared" si="9"/>
        <v/>
      </c>
      <c r="AB20" s="20" t="str">
        <f t="shared" si="10"/>
        <v/>
      </c>
      <c r="AC20" s="325" t="str">
        <f t="shared" si="11"/>
        <v/>
      </c>
      <c r="AD20" s="325" t="str">
        <f t="shared" si="12"/>
        <v/>
      </c>
      <c r="AE20" s="184"/>
      <c r="AF20" s="678" t="str">
        <f t="shared" si="15"/>
        <v/>
      </c>
      <c r="AG20" s="63"/>
      <c r="AH20" s="187" t="str" cm="1">
        <f t="array" ref="AH20">IF(OR(AF20="",P20=""),"",_xlfn.IFS(IFERROR(VALUE(TRIM(SUBSTITUTE(AF20,CHAR(160),""))),0)&gt;IFERROR(VALUE(TRIM(SUBSTITUTE(P20,CHAR(160),""))),0),"KO : Le montant retenu est supérieur au montant présenté. Merci de revoir la ligne de contributions ou plafonner son montant.",IFERROR(VALUE(TRIM(SUBSTITUTE(P20,CHAR(160),""))),0)=0,"",IFERROR(VALUE(TRIM(SUBSTITUTE(AF20,CHAR(160),""))),0)=IFERROR(VALUE(TRIM(SUBSTITUTE(P20,CHAR(160),""))),0),"OK",IFERROR(VALUE(TRIM(SUBSTITUTE(AF20,CHAR(160),""))),0)&lt;IFERROR(VALUE(TRIM(SUBSTITUTE(P20,CHAR(160),""))),0),"Montant instruit inférieur au montant présenté.",TRUE,""))</f>
        <v/>
      </c>
      <c r="AI20" s="180" t="str">
        <f t="shared" si="13"/>
        <v/>
      </c>
    </row>
    <row r="21" spans="1:35" ht="15" customHeight="1">
      <c r="A21" s="70">
        <v>12</v>
      </c>
      <c r="B21" s="784"/>
      <c r="C21" s="7"/>
      <c r="D21" s="451"/>
      <c r="E21" s="7"/>
      <c r="F21" s="314"/>
      <c r="G21" s="7"/>
      <c r="H21" s="323"/>
      <c r="I21" s="316"/>
      <c r="J21" s="317"/>
      <c r="K21" s="316"/>
      <c r="L21" s="316"/>
      <c r="M21" s="319"/>
      <c r="N21" s="7"/>
      <c r="O21" s="7"/>
      <c r="P21" s="320" t="str">
        <f t="shared" si="0"/>
        <v/>
      </c>
      <c r="Q21" s="324"/>
      <c r="R21" s="325" t="str">
        <f t="shared" si="1"/>
        <v/>
      </c>
      <c r="S21" s="322" t="str">
        <f t="shared" si="14"/>
        <v/>
      </c>
      <c r="T21" s="325" t="str">
        <f t="shared" si="2"/>
        <v/>
      </c>
      <c r="U21" s="325" t="str">
        <f t="shared" si="3"/>
        <v/>
      </c>
      <c r="V21" s="325" t="str">
        <f t="shared" si="4"/>
        <v/>
      </c>
      <c r="W21" s="37" t="str">
        <f t="shared" si="5"/>
        <v/>
      </c>
      <c r="X21" s="38" t="str">
        <f t="shared" si="6"/>
        <v/>
      </c>
      <c r="Y21" s="325" t="str">
        <f t="shared" si="7"/>
        <v/>
      </c>
      <c r="Z21" s="38" t="str">
        <f t="shared" si="8"/>
        <v/>
      </c>
      <c r="AA21" s="38" t="str">
        <f t="shared" si="9"/>
        <v/>
      </c>
      <c r="AB21" s="20" t="str">
        <f t="shared" si="10"/>
        <v/>
      </c>
      <c r="AC21" s="325" t="str">
        <f t="shared" si="11"/>
        <v/>
      </c>
      <c r="AD21" s="325" t="str">
        <f t="shared" si="12"/>
        <v/>
      </c>
      <c r="AE21" s="184"/>
      <c r="AF21" s="678" t="str">
        <f t="shared" si="15"/>
        <v/>
      </c>
      <c r="AG21" s="63"/>
      <c r="AH21" s="187" t="str" cm="1">
        <f t="array" ref="AH21">IF(OR(AF21="",P21=""),"",_xlfn.IFS(IFERROR(VALUE(TRIM(SUBSTITUTE(AF21,CHAR(160),""))),0)&gt;IFERROR(VALUE(TRIM(SUBSTITUTE(P21,CHAR(160),""))),0),"KO : Le montant retenu est supérieur au montant présenté. Merci de revoir la ligne de contributions ou plafonner son montant.",IFERROR(VALUE(TRIM(SUBSTITUTE(P21,CHAR(160),""))),0)=0,"",IFERROR(VALUE(TRIM(SUBSTITUTE(AF21,CHAR(160),""))),0)=IFERROR(VALUE(TRIM(SUBSTITUTE(P21,CHAR(160),""))),0),"OK",IFERROR(VALUE(TRIM(SUBSTITUTE(AF21,CHAR(160),""))),0)&lt;IFERROR(VALUE(TRIM(SUBSTITUTE(P21,CHAR(160),""))),0),"Montant instruit inférieur au montant présenté.",TRUE,""))</f>
        <v/>
      </c>
      <c r="AI21" s="180" t="str">
        <f t="shared" si="13"/>
        <v/>
      </c>
    </row>
    <row r="22" spans="1:35" ht="15" customHeight="1">
      <c r="A22" s="70">
        <v>13</v>
      </c>
      <c r="B22" s="784"/>
      <c r="C22" s="7"/>
      <c r="D22" s="451"/>
      <c r="E22" s="7"/>
      <c r="F22" s="314"/>
      <c r="G22" s="7"/>
      <c r="H22" s="323"/>
      <c r="I22" s="316"/>
      <c r="J22" s="317"/>
      <c r="K22" s="316"/>
      <c r="L22" s="316"/>
      <c r="M22" s="319"/>
      <c r="N22" s="7"/>
      <c r="O22" s="7"/>
      <c r="P22" s="320" t="str">
        <f t="shared" si="0"/>
        <v/>
      </c>
      <c r="Q22" s="324"/>
      <c r="R22" s="325" t="str">
        <f t="shared" si="1"/>
        <v/>
      </c>
      <c r="S22" s="322" t="str">
        <f t="shared" si="14"/>
        <v/>
      </c>
      <c r="T22" s="325" t="str">
        <f t="shared" si="2"/>
        <v/>
      </c>
      <c r="U22" s="325" t="str">
        <f t="shared" si="3"/>
        <v/>
      </c>
      <c r="V22" s="325" t="str">
        <f t="shared" si="4"/>
        <v/>
      </c>
      <c r="W22" s="37" t="str">
        <f t="shared" si="5"/>
        <v/>
      </c>
      <c r="X22" s="38" t="str">
        <f t="shared" si="6"/>
        <v/>
      </c>
      <c r="Y22" s="325" t="str">
        <f t="shared" si="7"/>
        <v/>
      </c>
      <c r="Z22" s="38" t="str">
        <f t="shared" si="8"/>
        <v/>
      </c>
      <c r="AA22" s="38" t="str">
        <f t="shared" si="9"/>
        <v/>
      </c>
      <c r="AB22" s="20" t="str">
        <f t="shared" si="10"/>
        <v/>
      </c>
      <c r="AC22" s="325" t="str">
        <f t="shared" si="11"/>
        <v/>
      </c>
      <c r="AD22" s="325" t="str">
        <f t="shared" si="12"/>
        <v/>
      </c>
      <c r="AE22" s="184"/>
      <c r="AF22" s="678" t="str">
        <f t="shared" si="15"/>
        <v/>
      </c>
      <c r="AG22" s="63"/>
      <c r="AH22" s="187" t="str" cm="1">
        <f t="array" ref="AH22">IF(OR(AF22="",P22=""),"",_xlfn.IFS(IFERROR(VALUE(TRIM(SUBSTITUTE(AF22,CHAR(160),""))),0)&gt;IFERROR(VALUE(TRIM(SUBSTITUTE(P22,CHAR(160),""))),0),"KO : Le montant retenu est supérieur au montant présenté. Merci de revoir la ligne de contributions ou plafonner son montant.",IFERROR(VALUE(TRIM(SUBSTITUTE(P22,CHAR(160),""))),0)=0,"",IFERROR(VALUE(TRIM(SUBSTITUTE(AF22,CHAR(160),""))),0)=IFERROR(VALUE(TRIM(SUBSTITUTE(P22,CHAR(160),""))),0),"OK",IFERROR(VALUE(TRIM(SUBSTITUTE(AF22,CHAR(160),""))),0)&lt;IFERROR(VALUE(TRIM(SUBSTITUTE(P22,CHAR(160),""))),0),"Montant instruit inférieur au montant présenté.",TRUE,""))</f>
        <v/>
      </c>
      <c r="AI22" s="180" t="str">
        <f t="shared" si="13"/>
        <v/>
      </c>
    </row>
    <row r="23" spans="1:35" ht="15" customHeight="1">
      <c r="A23" s="70">
        <v>14</v>
      </c>
      <c r="B23" s="784"/>
      <c r="C23" s="7"/>
      <c r="D23" s="451"/>
      <c r="E23" s="7"/>
      <c r="F23" s="314"/>
      <c r="G23" s="7"/>
      <c r="H23" s="323"/>
      <c r="I23" s="316"/>
      <c r="J23" s="317"/>
      <c r="K23" s="316"/>
      <c r="L23" s="316"/>
      <c r="M23" s="319"/>
      <c r="N23" s="7"/>
      <c r="O23" s="7"/>
      <c r="P23" s="320" t="str">
        <f t="shared" si="0"/>
        <v/>
      </c>
      <c r="Q23" s="324"/>
      <c r="R23" s="325" t="str">
        <f t="shared" si="1"/>
        <v/>
      </c>
      <c r="S23" s="322" t="str">
        <f t="shared" si="14"/>
        <v/>
      </c>
      <c r="T23" s="325" t="str">
        <f t="shared" si="2"/>
        <v/>
      </c>
      <c r="U23" s="325" t="str">
        <f t="shared" si="3"/>
        <v/>
      </c>
      <c r="V23" s="325" t="str">
        <f t="shared" si="4"/>
        <v/>
      </c>
      <c r="W23" s="37" t="str">
        <f t="shared" si="5"/>
        <v/>
      </c>
      <c r="X23" s="38" t="str">
        <f t="shared" si="6"/>
        <v/>
      </c>
      <c r="Y23" s="325" t="str">
        <f t="shared" si="7"/>
        <v/>
      </c>
      <c r="Z23" s="38" t="str">
        <f t="shared" si="8"/>
        <v/>
      </c>
      <c r="AA23" s="38" t="str">
        <f t="shared" si="9"/>
        <v/>
      </c>
      <c r="AB23" s="20" t="str">
        <f t="shared" si="10"/>
        <v/>
      </c>
      <c r="AC23" s="325" t="str">
        <f t="shared" si="11"/>
        <v/>
      </c>
      <c r="AD23" s="325" t="str">
        <f t="shared" si="12"/>
        <v/>
      </c>
      <c r="AE23" s="184"/>
      <c r="AF23" s="678" t="str">
        <f t="shared" si="15"/>
        <v/>
      </c>
      <c r="AG23" s="63"/>
      <c r="AH23" s="187" t="str" cm="1">
        <f t="array" ref="AH23">IF(OR(AF23="",P23=""),"",_xlfn.IFS(IFERROR(VALUE(TRIM(SUBSTITUTE(AF23,CHAR(160),""))),0)&gt;IFERROR(VALUE(TRIM(SUBSTITUTE(P23,CHAR(160),""))),0),"KO : Le montant retenu est supérieur au montant présenté. Merci de revoir la ligne de contributions ou plafonner son montant.",IFERROR(VALUE(TRIM(SUBSTITUTE(P23,CHAR(160),""))),0)=0,"",IFERROR(VALUE(TRIM(SUBSTITUTE(AF23,CHAR(160),""))),0)=IFERROR(VALUE(TRIM(SUBSTITUTE(P23,CHAR(160),""))),0),"OK",IFERROR(VALUE(TRIM(SUBSTITUTE(AF23,CHAR(160),""))),0)&lt;IFERROR(VALUE(TRIM(SUBSTITUTE(P23,CHAR(160),""))),0),"Montant instruit inférieur au montant présenté.",TRUE,""))</f>
        <v/>
      </c>
      <c r="AI23" s="180" t="str">
        <f t="shared" si="13"/>
        <v/>
      </c>
    </row>
    <row r="24" spans="1:35" ht="15" customHeight="1">
      <c r="A24" s="70">
        <v>15</v>
      </c>
      <c r="B24" s="784"/>
      <c r="C24" s="7"/>
      <c r="D24" s="451"/>
      <c r="E24" s="7"/>
      <c r="F24" s="314"/>
      <c r="G24" s="7"/>
      <c r="H24" s="323"/>
      <c r="I24" s="316"/>
      <c r="J24" s="317"/>
      <c r="K24" s="316"/>
      <c r="L24" s="316"/>
      <c r="M24" s="319"/>
      <c r="N24" s="7"/>
      <c r="O24" s="7"/>
      <c r="P24" s="320" t="str">
        <f t="shared" si="0"/>
        <v/>
      </c>
      <c r="Q24" s="324"/>
      <c r="R24" s="325" t="str">
        <f t="shared" si="1"/>
        <v/>
      </c>
      <c r="S24" s="322" t="str">
        <f t="shared" si="14"/>
        <v/>
      </c>
      <c r="T24" s="325" t="str">
        <f t="shared" si="2"/>
        <v/>
      </c>
      <c r="U24" s="325" t="str">
        <f t="shared" si="3"/>
        <v/>
      </c>
      <c r="V24" s="325" t="str">
        <f t="shared" si="4"/>
        <v/>
      </c>
      <c r="W24" s="37" t="str">
        <f t="shared" si="5"/>
        <v/>
      </c>
      <c r="X24" s="38" t="str">
        <f t="shared" si="6"/>
        <v/>
      </c>
      <c r="Y24" s="325" t="str">
        <f t="shared" si="7"/>
        <v/>
      </c>
      <c r="Z24" s="38" t="str">
        <f t="shared" si="8"/>
        <v/>
      </c>
      <c r="AA24" s="38" t="str">
        <f t="shared" si="9"/>
        <v/>
      </c>
      <c r="AB24" s="20" t="str">
        <f t="shared" si="10"/>
        <v/>
      </c>
      <c r="AC24" s="325" t="str">
        <f t="shared" si="11"/>
        <v/>
      </c>
      <c r="AD24" s="325" t="str">
        <f t="shared" si="12"/>
        <v/>
      </c>
      <c r="AE24" s="184"/>
      <c r="AF24" s="678" t="str">
        <f t="shared" si="15"/>
        <v/>
      </c>
      <c r="AG24" s="63"/>
      <c r="AH24" s="187" t="str" cm="1">
        <f t="array" ref="AH24">IF(OR(AF24="",P24=""),"",_xlfn.IFS(IFERROR(VALUE(TRIM(SUBSTITUTE(AF24,CHAR(160),""))),0)&gt;IFERROR(VALUE(TRIM(SUBSTITUTE(P24,CHAR(160),""))),0),"KO : Le montant retenu est supérieur au montant présenté. Merci de revoir la ligne de contributions ou plafonner son montant.",IFERROR(VALUE(TRIM(SUBSTITUTE(P24,CHAR(160),""))),0)=0,"",IFERROR(VALUE(TRIM(SUBSTITUTE(AF24,CHAR(160),""))),0)=IFERROR(VALUE(TRIM(SUBSTITUTE(P24,CHAR(160),""))),0),"OK",IFERROR(VALUE(TRIM(SUBSTITUTE(AF24,CHAR(160),""))),0)&lt;IFERROR(VALUE(TRIM(SUBSTITUTE(P24,CHAR(160),""))),0),"Montant instruit inférieur au montant présenté.",TRUE,""))</f>
        <v/>
      </c>
      <c r="AI24" s="180" t="str">
        <f t="shared" si="13"/>
        <v/>
      </c>
    </row>
    <row r="25" spans="1:35" ht="15" customHeight="1">
      <c r="A25" s="70">
        <v>16</v>
      </c>
      <c r="B25" s="784"/>
      <c r="C25" s="7"/>
      <c r="D25" s="451"/>
      <c r="E25" s="7"/>
      <c r="F25" s="314"/>
      <c r="G25" s="7"/>
      <c r="H25" s="323"/>
      <c r="I25" s="316"/>
      <c r="J25" s="317"/>
      <c r="K25" s="316"/>
      <c r="L25" s="316"/>
      <c r="M25" s="319"/>
      <c r="N25" s="7"/>
      <c r="O25" s="7"/>
      <c r="P25" s="320" t="str">
        <f t="shared" si="0"/>
        <v/>
      </c>
      <c r="Q25" s="324"/>
      <c r="R25" s="325" t="str">
        <f t="shared" si="1"/>
        <v/>
      </c>
      <c r="S25" s="322" t="str">
        <f t="shared" si="14"/>
        <v/>
      </c>
      <c r="T25" s="325" t="str">
        <f t="shared" si="2"/>
        <v/>
      </c>
      <c r="U25" s="325" t="str">
        <f t="shared" si="3"/>
        <v/>
      </c>
      <c r="V25" s="325" t="str">
        <f t="shared" si="4"/>
        <v/>
      </c>
      <c r="W25" s="37" t="str">
        <f t="shared" si="5"/>
        <v/>
      </c>
      <c r="X25" s="38" t="str">
        <f t="shared" si="6"/>
        <v/>
      </c>
      <c r="Y25" s="325" t="str">
        <f t="shared" si="7"/>
        <v/>
      </c>
      <c r="Z25" s="38" t="str">
        <f t="shared" si="8"/>
        <v/>
      </c>
      <c r="AA25" s="38" t="str">
        <f t="shared" si="9"/>
        <v/>
      </c>
      <c r="AB25" s="20" t="str">
        <f t="shared" si="10"/>
        <v/>
      </c>
      <c r="AC25" s="325" t="str">
        <f t="shared" si="11"/>
        <v/>
      </c>
      <c r="AD25" s="325" t="str">
        <f t="shared" si="12"/>
        <v/>
      </c>
      <c r="AE25" s="184"/>
      <c r="AF25" s="678" t="str">
        <f t="shared" si="15"/>
        <v/>
      </c>
      <c r="AG25" s="63"/>
      <c r="AH25" s="187" t="str" cm="1">
        <f t="array" ref="AH25">IF(OR(AF25="",P25=""),"",_xlfn.IFS(IFERROR(VALUE(TRIM(SUBSTITUTE(AF25,CHAR(160),""))),0)&gt;IFERROR(VALUE(TRIM(SUBSTITUTE(P25,CHAR(160),""))),0),"KO : Le montant retenu est supérieur au montant présenté. Merci de revoir la ligne de contributions ou plafonner son montant.",IFERROR(VALUE(TRIM(SUBSTITUTE(P25,CHAR(160),""))),0)=0,"",IFERROR(VALUE(TRIM(SUBSTITUTE(AF25,CHAR(160),""))),0)=IFERROR(VALUE(TRIM(SUBSTITUTE(P25,CHAR(160),""))),0),"OK",IFERROR(VALUE(TRIM(SUBSTITUTE(AF25,CHAR(160),""))),0)&lt;IFERROR(VALUE(TRIM(SUBSTITUTE(P25,CHAR(160),""))),0),"Montant instruit inférieur au montant présenté.",TRUE,""))</f>
        <v/>
      </c>
      <c r="AI25" s="180" t="str">
        <f t="shared" si="13"/>
        <v/>
      </c>
    </row>
    <row r="26" spans="1:35" ht="15" customHeight="1">
      <c r="A26" s="70">
        <v>17</v>
      </c>
      <c r="B26" s="784"/>
      <c r="C26" s="7"/>
      <c r="D26" s="451"/>
      <c r="E26" s="7"/>
      <c r="F26" s="314"/>
      <c r="G26" s="7"/>
      <c r="H26" s="323"/>
      <c r="I26" s="316"/>
      <c r="J26" s="317"/>
      <c r="K26" s="316"/>
      <c r="L26" s="316"/>
      <c r="M26" s="319"/>
      <c r="N26" s="7"/>
      <c r="O26" s="7"/>
      <c r="P26" s="320" t="str">
        <f t="shared" si="0"/>
        <v/>
      </c>
      <c r="Q26" s="324"/>
      <c r="R26" s="325" t="str">
        <f t="shared" si="1"/>
        <v/>
      </c>
      <c r="S26" s="322" t="str">
        <f t="shared" si="14"/>
        <v/>
      </c>
      <c r="T26" s="325" t="str">
        <f t="shared" si="2"/>
        <v/>
      </c>
      <c r="U26" s="325" t="str">
        <f t="shared" si="3"/>
        <v/>
      </c>
      <c r="V26" s="325" t="str">
        <f t="shared" si="4"/>
        <v/>
      </c>
      <c r="W26" s="37" t="str">
        <f t="shared" si="5"/>
        <v/>
      </c>
      <c r="X26" s="38" t="str">
        <f t="shared" si="6"/>
        <v/>
      </c>
      <c r="Y26" s="325" t="str">
        <f t="shared" si="7"/>
        <v/>
      </c>
      <c r="Z26" s="38" t="str">
        <f t="shared" si="8"/>
        <v/>
      </c>
      <c r="AA26" s="38" t="str">
        <f t="shared" si="9"/>
        <v/>
      </c>
      <c r="AB26" s="20" t="str">
        <f t="shared" si="10"/>
        <v/>
      </c>
      <c r="AC26" s="325" t="str">
        <f t="shared" si="11"/>
        <v/>
      </c>
      <c r="AD26" s="325" t="str">
        <f t="shared" si="12"/>
        <v/>
      </c>
      <c r="AE26" s="184"/>
      <c r="AF26" s="678" t="str">
        <f t="shared" si="15"/>
        <v/>
      </c>
      <c r="AG26" s="63"/>
      <c r="AH26" s="187" t="str" cm="1">
        <f t="array" ref="AH26">IF(OR(AF26="",P26=""),"",_xlfn.IFS(IFERROR(VALUE(TRIM(SUBSTITUTE(AF26,CHAR(160),""))),0)&gt;IFERROR(VALUE(TRIM(SUBSTITUTE(P26,CHAR(160),""))),0),"KO : Le montant retenu est supérieur au montant présenté. Merci de revoir la ligne de contributions ou plafonner son montant.",IFERROR(VALUE(TRIM(SUBSTITUTE(P26,CHAR(160),""))),0)=0,"",IFERROR(VALUE(TRIM(SUBSTITUTE(AF26,CHAR(160),""))),0)=IFERROR(VALUE(TRIM(SUBSTITUTE(P26,CHAR(160),""))),0),"OK",IFERROR(VALUE(TRIM(SUBSTITUTE(AF26,CHAR(160),""))),0)&lt;IFERROR(VALUE(TRIM(SUBSTITUTE(P26,CHAR(160),""))),0),"Montant instruit inférieur au montant présenté.",TRUE,""))</f>
        <v/>
      </c>
      <c r="AI26" s="180" t="str">
        <f t="shared" si="13"/>
        <v/>
      </c>
    </row>
    <row r="27" spans="1:35" ht="15" customHeight="1">
      <c r="A27" s="70">
        <v>18</v>
      </c>
      <c r="B27" s="784"/>
      <c r="C27" s="7"/>
      <c r="D27" s="451"/>
      <c r="E27" s="7"/>
      <c r="F27" s="314"/>
      <c r="G27" s="7"/>
      <c r="H27" s="323"/>
      <c r="I27" s="316"/>
      <c r="J27" s="317"/>
      <c r="K27" s="316"/>
      <c r="L27" s="316"/>
      <c r="M27" s="319"/>
      <c r="N27" s="7"/>
      <c r="O27" s="7"/>
      <c r="P27" s="320" t="str">
        <f t="shared" si="0"/>
        <v/>
      </c>
      <c r="Q27" s="324"/>
      <c r="R27" s="325" t="str">
        <f t="shared" si="1"/>
        <v/>
      </c>
      <c r="S27" s="322" t="str">
        <f t="shared" si="14"/>
        <v/>
      </c>
      <c r="T27" s="325" t="str">
        <f t="shared" si="2"/>
        <v/>
      </c>
      <c r="U27" s="325" t="str">
        <f t="shared" si="3"/>
        <v/>
      </c>
      <c r="V27" s="325" t="str">
        <f t="shared" si="4"/>
        <v/>
      </c>
      <c r="W27" s="37" t="str">
        <f t="shared" si="5"/>
        <v/>
      </c>
      <c r="X27" s="38" t="str">
        <f t="shared" si="6"/>
        <v/>
      </c>
      <c r="Y27" s="325" t="str">
        <f t="shared" si="7"/>
        <v/>
      </c>
      <c r="Z27" s="38" t="str">
        <f t="shared" si="8"/>
        <v/>
      </c>
      <c r="AA27" s="38" t="str">
        <f t="shared" si="9"/>
        <v/>
      </c>
      <c r="AB27" s="20" t="str">
        <f t="shared" si="10"/>
        <v/>
      </c>
      <c r="AC27" s="325" t="str">
        <f t="shared" si="11"/>
        <v/>
      </c>
      <c r="AD27" s="325" t="str">
        <f t="shared" si="12"/>
        <v/>
      </c>
      <c r="AE27" s="184"/>
      <c r="AF27" s="678" t="str">
        <f t="shared" si="15"/>
        <v/>
      </c>
      <c r="AG27" s="63"/>
      <c r="AH27" s="187" t="str" cm="1">
        <f t="array" ref="AH27">IF(OR(AF27="",P27=""),"",_xlfn.IFS(IFERROR(VALUE(TRIM(SUBSTITUTE(AF27,CHAR(160),""))),0)&gt;IFERROR(VALUE(TRIM(SUBSTITUTE(P27,CHAR(160),""))),0),"KO : Le montant retenu est supérieur au montant présenté. Merci de revoir la ligne de contributions ou plafonner son montant.",IFERROR(VALUE(TRIM(SUBSTITUTE(P27,CHAR(160),""))),0)=0,"",IFERROR(VALUE(TRIM(SUBSTITUTE(AF27,CHAR(160),""))),0)=IFERROR(VALUE(TRIM(SUBSTITUTE(P27,CHAR(160),""))),0),"OK",IFERROR(VALUE(TRIM(SUBSTITUTE(AF27,CHAR(160),""))),0)&lt;IFERROR(VALUE(TRIM(SUBSTITUTE(P27,CHAR(160),""))),0),"Montant instruit inférieur au montant présenté.",TRUE,""))</f>
        <v/>
      </c>
      <c r="AI27" s="180" t="str">
        <f t="shared" si="13"/>
        <v/>
      </c>
    </row>
    <row r="28" spans="1:35" ht="15" customHeight="1">
      <c r="A28" s="70">
        <v>19</v>
      </c>
      <c r="B28" s="784"/>
      <c r="C28" s="7"/>
      <c r="D28" s="451"/>
      <c r="E28" s="7"/>
      <c r="F28" s="314"/>
      <c r="G28" s="7"/>
      <c r="H28" s="323"/>
      <c r="I28" s="316"/>
      <c r="J28" s="317"/>
      <c r="K28" s="316"/>
      <c r="L28" s="316"/>
      <c r="M28" s="319"/>
      <c r="N28" s="7"/>
      <c r="O28" s="7"/>
      <c r="P28" s="320" t="str">
        <f t="shared" si="0"/>
        <v/>
      </c>
      <c r="Q28" s="324"/>
      <c r="R28" s="325" t="str">
        <f t="shared" si="1"/>
        <v/>
      </c>
      <c r="S28" s="322" t="str">
        <f t="shared" si="14"/>
        <v/>
      </c>
      <c r="T28" s="325" t="str">
        <f t="shared" si="2"/>
        <v/>
      </c>
      <c r="U28" s="325" t="str">
        <f t="shared" si="3"/>
        <v/>
      </c>
      <c r="V28" s="325" t="str">
        <f t="shared" si="4"/>
        <v/>
      </c>
      <c r="W28" s="37" t="str">
        <f t="shared" si="5"/>
        <v/>
      </c>
      <c r="X28" s="38" t="str">
        <f t="shared" si="6"/>
        <v/>
      </c>
      <c r="Y28" s="325" t="str">
        <f t="shared" si="7"/>
        <v/>
      </c>
      <c r="Z28" s="38" t="str">
        <f t="shared" si="8"/>
        <v/>
      </c>
      <c r="AA28" s="38" t="str">
        <f t="shared" si="9"/>
        <v/>
      </c>
      <c r="AB28" s="20" t="str">
        <f t="shared" si="10"/>
        <v/>
      </c>
      <c r="AC28" s="325" t="str">
        <f t="shared" si="11"/>
        <v/>
      </c>
      <c r="AD28" s="325" t="str">
        <f t="shared" si="12"/>
        <v/>
      </c>
      <c r="AE28" s="184"/>
      <c r="AF28" s="678" t="str">
        <f t="shared" si="15"/>
        <v/>
      </c>
      <c r="AG28" s="63"/>
      <c r="AH28" s="187" t="str" cm="1">
        <f t="array" ref="AH28">IF(OR(AF28="",P28=""),"",_xlfn.IFS(IFERROR(VALUE(TRIM(SUBSTITUTE(AF28,CHAR(160),""))),0)&gt;IFERROR(VALUE(TRIM(SUBSTITUTE(P28,CHAR(160),""))),0),"KO : Le montant retenu est supérieur au montant présenté. Merci de revoir la ligne de contributions ou plafonner son montant.",IFERROR(VALUE(TRIM(SUBSTITUTE(P28,CHAR(160),""))),0)=0,"",IFERROR(VALUE(TRIM(SUBSTITUTE(AF28,CHAR(160),""))),0)=IFERROR(VALUE(TRIM(SUBSTITUTE(P28,CHAR(160),""))),0),"OK",IFERROR(VALUE(TRIM(SUBSTITUTE(AF28,CHAR(160),""))),0)&lt;IFERROR(VALUE(TRIM(SUBSTITUTE(P28,CHAR(160),""))),0),"Montant instruit inférieur au montant présenté.",TRUE,""))</f>
        <v/>
      </c>
      <c r="AI28" s="180" t="str">
        <f t="shared" si="13"/>
        <v/>
      </c>
    </row>
    <row r="29" spans="1:35" ht="15" customHeight="1">
      <c r="A29" s="70">
        <v>20</v>
      </c>
      <c r="B29" s="784"/>
      <c r="C29" s="7"/>
      <c r="D29" s="451"/>
      <c r="E29" s="7"/>
      <c r="F29" s="314"/>
      <c r="G29" s="7"/>
      <c r="H29" s="323"/>
      <c r="I29" s="316"/>
      <c r="J29" s="317"/>
      <c r="K29" s="316"/>
      <c r="L29" s="316"/>
      <c r="M29" s="319"/>
      <c r="N29" s="7"/>
      <c r="O29" s="7"/>
      <c r="P29" s="320" t="str">
        <f t="shared" si="0"/>
        <v/>
      </c>
      <c r="Q29" s="324"/>
      <c r="R29" s="325" t="str">
        <f t="shared" si="1"/>
        <v/>
      </c>
      <c r="S29" s="322" t="str">
        <f t="shared" si="14"/>
        <v/>
      </c>
      <c r="T29" s="325" t="str">
        <f t="shared" si="2"/>
        <v/>
      </c>
      <c r="U29" s="325" t="str">
        <f t="shared" si="3"/>
        <v/>
      </c>
      <c r="V29" s="325" t="str">
        <f t="shared" si="4"/>
        <v/>
      </c>
      <c r="W29" s="37" t="str">
        <f t="shared" si="5"/>
        <v/>
      </c>
      <c r="X29" s="38" t="str">
        <f t="shared" si="6"/>
        <v/>
      </c>
      <c r="Y29" s="325" t="str">
        <f t="shared" si="7"/>
        <v/>
      </c>
      <c r="Z29" s="38" t="str">
        <f t="shared" si="8"/>
        <v/>
      </c>
      <c r="AA29" s="38" t="str">
        <f t="shared" si="9"/>
        <v/>
      </c>
      <c r="AB29" s="20" t="str">
        <f t="shared" si="10"/>
        <v/>
      </c>
      <c r="AC29" s="325" t="str">
        <f t="shared" si="11"/>
        <v/>
      </c>
      <c r="AD29" s="325" t="str">
        <f t="shared" si="12"/>
        <v/>
      </c>
      <c r="AE29" s="184"/>
      <c r="AF29" s="678" t="str">
        <f t="shared" si="15"/>
        <v/>
      </c>
      <c r="AG29" s="63"/>
      <c r="AH29" s="187" t="str" cm="1">
        <f t="array" ref="AH29">IF(OR(AF29="",P29=""),"",_xlfn.IFS(IFERROR(VALUE(TRIM(SUBSTITUTE(AF29,CHAR(160),""))),0)&gt;IFERROR(VALUE(TRIM(SUBSTITUTE(P29,CHAR(160),""))),0),"KO : Le montant retenu est supérieur au montant présenté. Merci de revoir la ligne de contributions ou plafonner son montant.",IFERROR(VALUE(TRIM(SUBSTITUTE(P29,CHAR(160),""))),0)=0,"",IFERROR(VALUE(TRIM(SUBSTITUTE(AF29,CHAR(160),""))),0)=IFERROR(VALUE(TRIM(SUBSTITUTE(P29,CHAR(160),""))),0),"OK",IFERROR(VALUE(TRIM(SUBSTITUTE(AF29,CHAR(160),""))),0)&lt;IFERROR(VALUE(TRIM(SUBSTITUTE(P29,CHAR(160),""))),0),"Montant instruit inférieur au montant présenté.",TRUE,""))</f>
        <v/>
      </c>
      <c r="AI29" s="180" t="str">
        <f t="shared" si="13"/>
        <v/>
      </c>
    </row>
    <row r="30" spans="1:35" ht="15" customHeight="1">
      <c r="A30" s="70">
        <v>21</v>
      </c>
      <c r="B30" s="784"/>
      <c r="C30" s="7"/>
      <c r="D30" s="451"/>
      <c r="E30" s="7"/>
      <c r="F30" s="314"/>
      <c r="G30" s="7"/>
      <c r="H30" s="323"/>
      <c r="I30" s="316"/>
      <c r="J30" s="317"/>
      <c r="K30" s="316"/>
      <c r="L30" s="316"/>
      <c r="M30" s="319"/>
      <c r="N30" s="7"/>
      <c r="O30" s="7"/>
      <c r="P30" s="320" t="str">
        <f t="shared" si="0"/>
        <v/>
      </c>
      <c r="Q30" s="324"/>
      <c r="R30" s="325" t="str">
        <f t="shared" si="1"/>
        <v/>
      </c>
      <c r="S30" s="322" t="str">
        <f t="shared" si="14"/>
        <v/>
      </c>
      <c r="T30" s="325" t="str">
        <f t="shared" si="2"/>
        <v/>
      </c>
      <c r="U30" s="325" t="str">
        <f t="shared" si="3"/>
        <v/>
      </c>
      <c r="V30" s="325" t="str">
        <f t="shared" si="4"/>
        <v/>
      </c>
      <c r="W30" s="37" t="str">
        <f t="shared" si="5"/>
        <v/>
      </c>
      <c r="X30" s="38" t="str">
        <f t="shared" si="6"/>
        <v/>
      </c>
      <c r="Y30" s="325" t="str">
        <f t="shared" si="7"/>
        <v/>
      </c>
      <c r="Z30" s="38" t="str">
        <f t="shared" si="8"/>
        <v/>
      </c>
      <c r="AA30" s="38" t="str">
        <f t="shared" si="9"/>
        <v/>
      </c>
      <c r="AB30" s="20" t="str">
        <f t="shared" si="10"/>
        <v/>
      </c>
      <c r="AC30" s="325" t="str">
        <f t="shared" si="11"/>
        <v/>
      </c>
      <c r="AD30" s="325" t="str">
        <f t="shared" si="12"/>
        <v/>
      </c>
      <c r="AE30" s="184"/>
      <c r="AF30" s="678" t="str">
        <f t="shared" si="15"/>
        <v/>
      </c>
      <c r="AG30" s="63"/>
      <c r="AH30" s="187" t="str" cm="1">
        <f t="array" ref="AH30">IF(OR(AF30="",P30=""),"",_xlfn.IFS(IFERROR(VALUE(TRIM(SUBSTITUTE(AF30,CHAR(160),""))),0)&gt;IFERROR(VALUE(TRIM(SUBSTITUTE(P30,CHAR(160),""))),0),"KO : Le montant retenu est supérieur au montant présenté. Merci de revoir la ligne de contributions ou plafonner son montant.",IFERROR(VALUE(TRIM(SUBSTITUTE(P30,CHAR(160),""))),0)=0,"",IFERROR(VALUE(TRIM(SUBSTITUTE(AF30,CHAR(160),""))),0)=IFERROR(VALUE(TRIM(SUBSTITUTE(P30,CHAR(160),""))),0),"OK",IFERROR(VALUE(TRIM(SUBSTITUTE(AF30,CHAR(160),""))),0)&lt;IFERROR(VALUE(TRIM(SUBSTITUTE(P30,CHAR(160),""))),0),"Montant instruit inférieur au montant présenté.",TRUE,""))</f>
        <v/>
      </c>
      <c r="AI30" s="180" t="str">
        <f t="shared" si="13"/>
        <v/>
      </c>
    </row>
    <row r="31" spans="1:35" ht="15" customHeight="1">
      <c r="A31" s="70">
        <v>22</v>
      </c>
      <c r="B31" s="784"/>
      <c r="C31" s="7"/>
      <c r="D31" s="451"/>
      <c r="E31" s="7"/>
      <c r="F31" s="314"/>
      <c r="G31" s="7"/>
      <c r="H31" s="323"/>
      <c r="I31" s="316"/>
      <c r="J31" s="317"/>
      <c r="K31" s="316"/>
      <c r="L31" s="316"/>
      <c r="M31" s="319"/>
      <c r="N31" s="7"/>
      <c r="O31" s="7"/>
      <c r="P31" s="320" t="str">
        <f t="shared" si="0"/>
        <v/>
      </c>
      <c r="Q31" s="324"/>
      <c r="R31" s="325" t="str">
        <f t="shared" si="1"/>
        <v/>
      </c>
      <c r="S31" s="322" t="str">
        <f t="shared" si="14"/>
        <v/>
      </c>
      <c r="T31" s="325" t="str">
        <f t="shared" si="2"/>
        <v/>
      </c>
      <c r="U31" s="325" t="str">
        <f t="shared" si="3"/>
        <v/>
      </c>
      <c r="V31" s="325" t="str">
        <f t="shared" si="4"/>
        <v/>
      </c>
      <c r="W31" s="37" t="str">
        <f t="shared" si="5"/>
        <v/>
      </c>
      <c r="X31" s="38" t="str">
        <f t="shared" si="6"/>
        <v/>
      </c>
      <c r="Y31" s="325" t="str">
        <f t="shared" si="7"/>
        <v/>
      </c>
      <c r="Z31" s="38" t="str">
        <f t="shared" si="8"/>
        <v/>
      </c>
      <c r="AA31" s="38" t="str">
        <f t="shared" si="9"/>
        <v/>
      </c>
      <c r="AB31" s="20" t="str">
        <f t="shared" si="10"/>
        <v/>
      </c>
      <c r="AC31" s="325" t="str">
        <f t="shared" si="11"/>
        <v/>
      </c>
      <c r="AD31" s="325" t="str">
        <f t="shared" si="12"/>
        <v/>
      </c>
      <c r="AE31" s="184"/>
      <c r="AF31" s="678" t="str">
        <f t="shared" si="15"/>
        <v/>
      </c>
      <c r="AG31" s="63"/>
      <c r="AH31" s="187" t="str" cm="1">
        <f t="array" ref="AH31">IF(OR(AF31="",P31=""),"",_xlfn.IFS(IFERROR(VALUE(TRIM(SUBSTITUTE(AF31,CHAR(160),""))),0)&gt;IFERROR(VALUE(TRIM(SUBSTITUTE(P31,CHAR(160),""))),0),"KO : Le montant retenu est supérieur au montant présenté. Merci de revoir la ligne de contributions ou plafonner son montant.",IFERROR(VALUE(TRIM(SUBSTITUTE(P31,CHAR(160),""))),0)=0,"",IFERROR(VALUE(TRIM(SUBSTITUTE(AF31,CHAR(160),""))),0)=IFERROR(VALUE(TRIM(SUBSTITUTE(P31,CHAR(160),""))),0),"OK",IFERROR(VALUE(TRIM(SUBSTITUTE(AF31,CHAR(160),""))),0)&lt;IFERROR(VALUE(TRIM(SUBSTITUTE(P31,CHAR(160),""))),0),"Montant instruit inférieur au montant présenté.",TRUE,""))</f>
        <v/>
      </c>
      <c r="AI31" s="180" t="str">
        <f t="shared" si="13"/>
        <v/>
      </c>
    </row>
    <row r="32" spans="1:35" ht="15" customHeight="1">
      <c r="A32" s="70">
        <v>23</v>
      </c>
      <c r="B32" s="784"/>
      <c r="C32" s="7"/>
      <c r="D32" s="451"/>
      <c r="E32" s="7"/>
      <c r="F32" s="314"/>
      <c r="G32" s="7"/>
      <c r="H32" s="323"/>
      <c r="I32" s="316"/>
      <c r="J32" s="317"/>
      <c r="K32" s="316"/>
      <c r="L32" s="316"/>
      <c r="M32" s="319"/>
      <c r="N32" s="7"/>
      <c r="O32" s="7"/>
      <c r="P32" s="320" t="str">
        <f t="shared" si="0"/>
        <v/>
      </c>
      <c r="Q32" s="324"/>
      <c r="R32" s="325" t="str">
        <f t="shared" si="1"/>
        <v/>
      </c>
      <c r="S32" s="322" t="str">
        <f t="shared" si="14"/>
        <v/>
      </c>
      <c r="T32" s="325" t="str">
        <f t="shared" si="2"/>
        <v/>
      </c>
      <c r="U32" s="325" t="str">
        <f t="shared" si="3"/>
        <v/>
      </c>
      <c r="V32" s="325" t="str">
        <f t="shared" si="4"/>
        <v/>
      </c>
      <c r="W32" s="37" t="str">
        <f t="shared" si="5"/>
        <v/>
      </c>
      <c r="X32" s="38" t="str">
        <f t="shared" si="6"/>
        <v/>
      </c>
      <c r="Y32" s="325" t="str">
        <f t="shared" si="7"/>
        <v/>
      </c>
      <c r="Z32" s="38" t="str">
        <f t="shared" si="8"/>
        <v/>
      </c>
      <c r="AA32" s="38" t="str">
        <f t="shared" si="9"/>
        <v/>
      </c>
      <c r="AB32" s="20" t="str">
        <f t="shared" si="10"/>
        <v/>
      </c>
      <c r="AC32" s="325" t="str">
        <f t="shared" si="11"/>
        <v/>
      </c>
      <c r="AD32" s="325" t="str">
        <f t="shared" si="12"/>
        <v/>
      </c>
      <c r="AE32" s="184"/>
      <c r="AF32" s="678" t="str">
        <f t="shared" si="15"/>
        <v/>
      </c>
      <c r="AG32" s="63"/>
      <c r="AH32" s="187" t="str" cm="1">
        <f t="array" ref="AH32">IF(OR(AF32="",P32=""),"",_xlfn.IFS(IFERROR(VALUE(TRIM(SUBSTITUTE(AF32,CHAR(160),""))),0)&gt;IFERROR(VALUE(TRIM(SUBSTITUTE(P32,CHAR(160),""))),0),"KO : Le montant retenu est supérieur au montant présenté. Merci de revoir la ligne de contributions ou plafonner son montant.",IFERROR(VALUE(TRIM(SUBSTITUTE(P32,CHAR(160),""))),0)=0,"",IFERROR(VALUE(TRIM(SUBSTITUTE(AF32,CHAR(160),""))),0)=IFERROR(VALUE(TRIM(SUBSTITUTE(P32,CHAR(160),""))),0),"OK",IFERROR(VALUE(TRIM(SUBSTITUTE(AF32,CHAR(160),""))),0)&lt;IFERROR(VALUE(TRIM(SUBSTITUTE(P32,CHAR(160),""))),0),"Montant instruit inférieur au montant présenté.",TRUE,""))</f>
        <v/>
      </c>
      <c r="AI32" s="180" t="str">
        <f t="shared" si="13"/>
        <v/>
      </c>
    </row>
    <row r="33" spans="1:35" ht="15" customHeight="1">
      <c r="A33" s="70">
        <v>24</v>
      </c>
      <c r="B33" s="784"/>
      <c r="C33" s="7"/>
      <c r="D33" s="451"/>
      <c r="E33" s="7"/>
      <c r="F33" s="314"/>
      <c r="G33" s="7"/>
      <c r="H33" s="323"/>
      <c r="I33" s="316"/>
      <c r="J33" s="317"/>
      <c r="K33" s="316"/>
      <c r="L33" s="316"/>
      <c r="M33" s="319"/>
      <c r="N33" s="7"/>
      <c r="O33" s="7"/>
      <c r="P33" s="320" t="str">
        <f t="shared" si="0"/>
        <v/>
      </c>
      <c r="Q33" s="324"/>
      <c r="R33" s="325" t="str">
        <f t="shared" si="1"/>
        <v/>
      </c>
      <c r="S33" s="322" t="str">
        <f t="shared" si="14"/>
        <v/>
      </c>
      <c r="T33" s="325" t="str">
        <f t="shared" si="2"/>
        <v/>
      </c>
      <c r="U33" s="325" t="str">
        <f t="shared" si="3"/>
        <v/>
      </c>
      <c r="V33" s="325" t="str">
        <f t="shared" si="4"/>
        <v/>
      </c>
      <c r="W33" s="37" t="str">
        <f t="shared" si="5"/>
        <v/>
      </c>
      <c r="X33" s="38" t="str">
        <f t="shared" si="6"/>
        <v/>
      </c>
      <c r="Y33" s="325" t="str">
        <f t="shared" si="7"/>
        <v/>
      </c>
      <c r="Z33" s="38" t="str">
        <f t="shared" si="8"/>
        <v/>
      </c>
      <c r="AA33" s="38" t="str">
        <f t="shared" si="9"/>
        <v/>
      </c>
      <c r="AB33" s="20" t="str">
        <f t="shared" si="10"/>
        <v/>
      </c>
      <c r="AC33" s="325" t="str">
        <f t="shared" si="11"/>
        <v/>
      </c>
      <c r="AD33" s="325" t="str">
        <f t="shared" si="12"/>
        <v/>
      </c>
      <c r="AE33" s="184"/>
      <c r="AF33" s="678" t="str">
        <f t="shared" si="15"/>
        <v/>
      </c>
      <c r="AG33" s="63"/>
      <c r="AH33" s="187" t="str" cm="1">
        <f t="array" ref="AH33">IF(OR(AF33="",P33=""),"",_xlfn.IFS(IFERROR(VALUE(TRIM(SUBSTITUTE(AF33,CHAR(160),""))),0)&gt;IFERROR(VALUE(TRIM(SUBSTITUTE(P33,CHAR(160),""))),0),"KO : Le montant retenu est supérieur au montant présenté. Merci de revoir la ligne de contributions ou plafonner son montant.",IFERROR(VALUE(TRIM(SUBSTITUTE(P33,CHAR(160),""))),0)=0,"",IFERROR(VALUE(TRIM(SUBSTITUTE(AF33,CHAR(160),""))),0)=IFERROR(VALUE(TRIM(SUBSTITUTE(P33,CHAR(160),""))),0),"OK",IFERROR(VALUE(TRIM(SUBSTITUTE(AF33,CHAR(160),""))),0)&lt;IFERROR(VALUE(TRIM(SUBSTITUTE(P33,CHAR(160),""))),0),"Montant instruit inférieur au montant présenté.",TRUE,""))</f>
        <v/>
      </c>
      <c r="AI33" s="180" t="str">
        <f t="shared" si="13"/>
        <v/>
      </c>
    </row>
    <row r="34" spans="1:35" ht="15" customHeight="1">
      <c r="A34" s="70">
        <v>25</v>
      </c>
      <c r="B34" s="784"/>
      <c r="C34" s="7"/>
      <c r="D34" s="451"/>
      <c r="E34" s="7"/>
      <c r="F34" s="314"/>
      <c r="G34" s="7"/>
      <c r="H34" s="323"/>
      <c r="I34" s="316"/>
      <c r="J34" s="317"/>
      <c r="K34" s="316"/>
      <c r="L34" s="316"/>
      <c r="M34" s="319"/>
      <c r="N34" s="7"/>
      <c r="O34" s="7"/>
      <c r="P34" s="320" t="str">
        <f t="shared" si="0"/>
        <v/>
      </c>
      <c r="Q34" s="324"/>
      <c r="R34" s="325" t="str">
        <f t="shared" si="1"/>
        <v/>
      </c>
      <c r="S34" s="322" t="str">
        <f t="shared" si="14"/>
        <v/>
      </c>
      <c r="T34" s="325" t="str">
        <f t="shared" si="2"/>
        <v/>
      </c>
      <c r="U34" s="325" t="str">
        <f t="shared" si="3"/>
        <v/>
      </c>
      <c r="V34" s="325" t="str">
        <f t="shared" si="4"/>
        <v/>
      </c>
      <c r="W34" s="37" t="str">
        <f t="shared" si="5"/>
        <v/>
      </c>
      <c r="X34" s="38" t="str">
        <f t="shared" si="6"/>
        <v/>
      </c>
      <c r="Y34" s="325" t="str">
        <f t="shared" si="7"/>
        <v/>
      </c>
      <c r="Z34" s="38" t="str">
        <f t="shared" si="8"/>
        <v/>
      </c>
      <c r="AA34" s="38" t="str">
        <f t="shared" si="9"/>
        <v/>
      </c>
      <c r="AB34" s="20" t="str">
        <f t="shared" si="10"/>
        <v/>
      </c>
      <c r="AC34" s="325" t="str">
        <f t="shared" si="11"/>
        <v/>
      </c>
      <c r="AD34" s="325" t="str">
        <f t="shared" si="12"/>
        <v/>
      </c>
      <c r="AE34" s="184"/>
      <c r="AF34" s="678" t="str">
        <f t="shared" si="15"/>
        <v/>
      </c>
      <c r="AG34" s="63"/>
      <c r="AH34" s="187" t="str" cm="1">
        <f t="array" ref="AH34">IF(OR(AF34="",P34=""),"",_xlfn.IFS(IFERROR(VALUE(TRIM(SUBSTITUTE(AF34,CHAR(160),""))),0)&gt;IFERROR(VALUE(TRIM(SUBSTITUTE(P34,CHAR(160),""))),0),"KO : Le montant retenu est supérieur au montant présenté. Merci de revoir la ligne de contributions ou plafonner son montant.",IFERROR(VALUE(TRIM(SUBSTITUTE(P34,CHAR(160),""))),0)=0,"",IFERROR(VALUE(TRIM(SUBSTITUTE(AF34,CHAR(160),""))),0)=IFERROR(VALUE(TRIM(SUBSTITUTE(P34,CHAR(160),""))),0),"OK",IFERROR(VALUE(TRIM(SUBSTITUTE(AF34,CHAR(160),""))),0)&lt;IFERROR(VALUE(TRIM(SUBSTITUTE(P34,CHAR(160),""))),0),"Montant instruit inférieur au montant présenté.",TRUE,""))</f>
        <v/>
      </c>
      <c r="AI34" s="180" t="str">
        <f t="shared" si="13"/>
        <v/>
      </c>
    </row>
    <row r="35" spans="1:35" ht="15" customHeight="1">
      <c r="A35" s="70">
        <v>26</v>
      </c>
      <c r="B35" s="784"/>
      <c r="C35" s="7"/>
      <c r="D35" s="451"/>
      <c r="E35" s="7"/>
      <c r="F35" s="314"/>
      <c r="G35" s="7"/>
      <c r="H35" s="323"/>
      <c r="I35" s="316"/>
      <c r="J35" s="317"/>
      <c r="K35" s="316"/>
      <c r="L35" s="316"/>
      <c r="M35" s="319"/>
      <c r="N35" s="7"/>
      <c r="O35" s="7"/>
      <c r="P35" s="320" t="str">
        <f t="shared" si="0"/>
        <v/>
      </c>
      <c r="Q35" s="324"/>
      <c r="R35" s="325" t="str">
        <f t="shared" si="1"/>
        <v/>
      </c>
      <c r="S35" s="322" t="str">
        <f t="shared" si="14"/>
        <v/>
      </c>
      <c r="T35" s="325" t="str">
        <f t="shared" si="2"/>
        <v/>
      </c>
      <c r="U35" s="325" t="str">
        <f t="shared" si="3"/>
        <v/>
      </c>
      <c r="V35" s="325" t="str">
        <f t="shared" si="4"/>
        <v/>
      </c>
      <c r="W35" s="37" t="str">
        <f t="shared" si="5"/>
        <v/>
      </c>
      <c r="X35" s="38" t="str">
        <f t="shared" si="6"/>
        <v/>
      </c>
      <c r="Y35" s="325" t="str">
        <f t="shared" si="7"/>
        <v/>
      </c>
      <c r="Z35" s="38" t="str">
        <f t="shared" si="8"/>
        <v/>
      </c>
      <c r="AA35" s="38" t="str">
        <f t="shared" si="9"/>
        <v/>
      </c>
      <c r="AB35" s="20" t="str">
        <f t="shared" si="10"/>
        <v/>
      </c>
      <c r="AC35" s="325" t="str">
        <f t="shared" si="11"/>
        <v/>
      </c>
      <c r="AD35" s="325" t="str">
        <f t="shared" si="12"/>
        <v/>
      </c>
      <c r="AE35" s="184"/>
      <c r="AF35" s="678" t="str">
        <f t="shared" si="15"/>
        <v/>
      </c>
      <c r="AG35" s="63"/>
      <c r="AH35" s="187" t="str" cm="1">
        <f t="array" ref="AH35">IF(OR(AF35="",P35=""),"",_xlfn.IFS(IFERROR(VALUE(TRIM(SUBSTITUTE(AF35,CHAR(160),""))),0)&gt;IFERROR(VALUE(TRIM(SUBSTITUTE(P35,CHAR(160),""))),0),"KO : Le montant retenu est supérieur au montant présenté. Merci de revoir la ligne de contributions ou plafonner son montant.",IFERROR(VALUE(TRIM(SUBSTITUTE(P35,CHAR(160),""))),0)=0,"",IFERROR(VALUE(TRIM(SUBSTITUTE(AF35,CHAR(160),""))),0)=IFERROR(VALUE(TRIM(SUBSTITUTE(P35,CHAR(160),""))),0),"OK",IFERROR(VALUE(TRIM(SUBSTITUTE(AF35,CHAR(160),""))),0)&lt;IFERROR(VALUE(TRIM(SUBSTITUTE(P35,CHAR(160),""))),0),"Montant instruit inférieur au montant présenté.",TRUE,""))</f>
        <v/>
      </c>
      <c r="AI35" s="180" t="str">
        <f t="shared" si="13"/>
        <v/>
      </c>
    </row>
    <row r="36" spans="1:35" ht="15" customHeight="1">
      <c r="A36" s="70">
        <v>27</v>
      </c>
      <c r="B36" s="784"/>
      <c r="C36" s="7"/>
      <c r="D36" s="451"/>
      <c r="E36" s="7"/>
      <c r="F36" s="314"/>
      <c r="G36" s="7"/>
      <c r="H36" s="323"/>
      <c r="I36" s="316"/>
      <c r="J36" s="317"/>
      <c r="K36" s="316"/>
      <c r="L36" s="316"/>
      <c r="M36" s="319"/>
      <c r="N36" s="7"/>
      <c r="O36" s="7"/>
      <c r="P36" s="320" t="str">
        <f t="shared" si="0"/>
        <v/>
      </c>
      <c r="Q36" s="324"/>
      <c r="R36" s="325" t="str">
        <f t="shared" si="1"/>
        <v/>
      </c>
      <c r="S36" s="322" t="str">
        <f t="shared" si="14"/>
        <v/>
      </c>
      <c r="T36" s="325" t="str">
        <f t="shared" si="2"/>
        <v/>
      </c>
      <c r="U36" s="325" t="str">
        <f t="shared" si="3"/>
        <v/>
      </c>
      <c r="V36" s="325" t="str">
        <f t="shared" si="4"/>
        <v/>
      </c>
      <c r="W36" s="37" t="str">
        <f t="shared" si="5"/>
        <v/>
      </c>
      <c r="X36" s="38" t="str">
        <f t="shared" si="6"/>
        <v/>
      </c>
      <c r="Y36" s="325" t="str">
        <f t="shared" si="7"/>
        <v/>
      </c>
      <c r="Z36" s="38" t="str">
        <f t="shared" si="8"/>
        <v/>
      </c>
      <c r="AA36" s="38" t="str">
        <f t="shared" si="9"/>
        <v/>
      </c>
      <c r="AB36" s="20" t="str">
        <f t="shared" si="10"/>
        <v/>
      </c>
      <c r="AC36" s="325" t="str">
        <f t="shared" si="11"/>
        <v/>
      </c>
      <c r="AD36" s="325" t="str">
        <f t="shared" si="12"/>
        <v/>
      </c>
      <c r="AE36" s="184"/>
      <c r="AF36" s="678" t="str">
        <f t="shared" si="15"/>
        <v/>
      </c>
      <c r="AG36" s="63"/>
      <c r="AH36" s="187" t="str" cm="1">
        <f t="array" ref="AH36">IF(OR(AF36="",P36=""),"",_xlfn.IFS(IFERROR(VALUE(TRIM(SUBSTITUTE(AF36,CHAR(160),""))),0)&gt;IFERROR(VALUE(TRIM(SUBSTITUTE(P36,CHAR(160),""))),0),"KO : Le montant retenu est supérieur au montant présenté. Merci de revoir la ligne de contributions ou plafonner son montant.",IFERROR(VALUE(TRIM(SUBSTITUTE(P36,CHAR(160),""))),0)=0,"",IFERROR(VALUE(TRIM(SUBSTITUTE(AF36,CHAR(160),""))),0)=IFERROR(VALUE(TRIM(SUBSTITUTE(P36,CHAR(160),""))),0),"OK",IFERROR(VALUE(TRIM(SUBSTITUTE(AF36,CHAR(160),""))),0)&lt;IFERROR(VALUE(TRIM(SUBSTITUTE(P36,CHAR(160),""))),0),"Montant instruit inférieur au montant présenté.",TRUE,""))</f>
        <v/>
      </c>
      <c r="AI36" s="180" t="str">
        <f t="shared" si="13"/>
        <v/>
      </c>
    </row>
    <row r="37" spans="1:35" ht="15" customHeight="1">
      <c r="A37" s="70">
        <v>28</v>
      </c>
      <c r="B37" s="784"/>
      <c r="C37" s="7"/>
      <c r="D37" s="451"/>
      <c r="E37" s="7"/>
      <c r="F37" s="314"/>
      <c r="G37" s="7"/>
      <c r="H37" s="323"/>
      <c r="I37" s="316"/>
      <c r="J37" s="317"/>
      <c r="K37" s="316"/>
      <c r="L37" s="316"/>
      <c r="M37" s="319"/>
      <c r="N37" s="7"/>
      <c r="O37" s="7"/>
      <c r="P37" s="320" t="str">
        <f t="shared" si="0"/>
        <v/>
      </c>
      <c r="Q37" s="324"/>
      <c r="R37" s="325" t="str">
        <f t="shared" si="1"/>
        <v/>
      </c>
      <c r="S37" s="322" t="str">
        <f t="shared" si="14"/>
        <v/>
      </c>
      <c r="T37" s="325" t="str">
        <f t="shared" si="2"/>
        <v/>
      </c>
      <c r="U37" s="325" t="str">
        <f t="shared" si="3"/>
        <v/>
      </c>
      <c r="V37" s="325" t="str">
        <f t="shared" si="4"/>
        <v/>
      </c>
      <c r="W37" s="37" t="str">
        <f t="shared" si="5"/>
        <v/>
      </c>
      <c r="X37" s="38" t="str">
        <f t="shared" si="6"/>
        <v/>
      </c>
      <c r="Y37" s="325" t="str">
        <f t="shared" si="7"/>
        <v/>
      </c>
      <c r="Z37" s="38" t="str">
        <f t="shared" si="8"/>
        <v/>
      </c>
      <c r="AA37" s="38" t="str">
        <f t="shared" si="9"/>
        <v/>
      </c>
      <c r="AB37" s="20" t="str">
        <f t="shared" si="10"/>
        <v/>
      </c>
      <c r="AC37" s="325" t="str">
        <f t="shared" si="11"/>
        <v/>
      </c>
      <c r="AD37" s="325" t="str">
        <f t="shared" si="12"/>
        <v/>
      </c>
      <c r="AE37" s="184"/>
      <c r="AF37" s="678" t="str">
        <f t="shared" si="15"/>
        <v/>
      </c>
      <c r="AG37" s="63"/>
      <c r="AH37" s="187" t="str" cm="1">
        <f t="array" ref="AH37">IF(OR(AF37="",P37=""),"",_xlfn.IFS(IFERROR(VALUE(TRIM(SUBSTITUTE(AF37,CHAR(160),""))),0)&gt;IFERROR(VALUE(TRIM(SUBSTITUTE(P37,CHAR(160),""))),0),"KO : Le montant retenu est supérieur au montant présenté. Merci de revoir la ligne de contributions ou plafonner son montant.",IFERROR(VALUE(TRIM(SUBSTITUTE(P37,CHAR(160),""))),0)=0,"",IFERROR(VALUE(TRIM(SUBSTITUTE(AF37,CHAR(160),""))),0)=IFERROR(VALUE(TRIM(SUBSTITUTE(P37,CHAR(160),""))),0),"OK",IFERROR(VALUE(TRIM(SUBSTITUTE(AF37,CHAR(160),""))),0)&lt;IFERROR(VALUE(TRIM(SUBSTITUTE(P37,CHAR(160),""))),0),"Montant instruit inférieur au montant présenté.",TRUE,""))</f>
        <v/>
      </c>
      <c r="AI37" s="180" t="str">
        <f t="shared" si="13"/>
        <v/>
      </c>
    </row>
    <row r="38" spans="1:35" ht="15" customHeight="1">
      <c r="A38" s="70">
        <v>29</v>
      </c>
      <c r="B38" s="784"/>
      <c r="C38" s="7"/>
      <c r="D38" s="451"/>
      <c r="E38" s="7"/>
      <c r="F38" s="314"/>
      <c r="G38" s="7"/>
      <c r="H38" s="323"/>
      <c r="I38" s="316"/>
      <c r="J38" s="317"/>
      <c r="K38" s="316"/>
      <c r="L38" s="316"/>
      <c r="M38" s="319"/>
      <c r="N38" s="7"/>
      <c r="O38" s="7"/>
      <c r="P38" s="320" t="str">
        <f t="shared" si="0"/>
        <v/>
      </c>
      <c r="Q38" s="324"/>
      <c r="R38" s="325" t="str">
        <f t="shared" si="1"/>
        <v/>
      </c>
      <c r="S38" s="322" t="str">
        <f t="shared" si="14"/>
        <v/>
      </c>
      <c r="T38" s="325" t="str">
        <f t="shared" si="2"/>
        <v/>
      </c>
      <c r="U38" s="325" t="str">
        <f t="shared" si="3"/>
        <v/>
      </c>
      <c r="V38" s="325" t="str">
        <f t="shared" si="4"/>
        <v/>
      </c>
      <c r="W38" s="37" t="str">
        <f t="shared" si="5"/>
        <v/>
      </c>
      <c r="X38" s="38" t="str">
        <f t="shared" si="6"/>
        <v/>
      </c>
      <c r="Y38" s="325" t="str">
        <f t="shared" si="7"/>
        <v/>
      </c>
      <c r="Z38" s="38" t="str">
        <f t="shared" si="8"/>
        <v/>
      </c>
      <c r="AA38" s="38" t="str">
        <f t="shared" si="9"/>
        <v/>
      </c>
      <c r="AB38" s="20" t="str">
        <f t="shared" si="10"/>
        <v/>
      </c>
      <c r="AC38" s="325" t="str">
        <f t="shared" si="11"/>
        <v/>
      </c>
      <c r="AD38" s="325" t="str">
        <f t="shared" si="12"/>
        <v/>
      </c>
      <c r="AE38" s="184"/>
      <c r="AF38" s="678" t="str">
        <f t="shared" si="15"/>
        <v/>
      </c>
      <c r="AG38" s="63"/>
      <c r="AH38" s="187" t="str" cm="1">
        <f t="array" ref="AH38">IF(OR(AF38="",P38=""),"",_xlfn.IFS(IFERROR(VALUE(TRIM(SUBSTITUTE(AF38,CHAR(160),""))),0)&gt;IFERROR(VALUE(TRIM(SUBSTITUTE(P38,CHAR(160),""))),0),"KO : Le montant retenu est supérieur au montant présenté. Merci de revoir la ligne de contributions ou plafonner son montant.",IFERROR(VALUE(TRIM(SUBSTITUTE(P38,CHAR(160),""))),0)=0,"",IFERROR(VALUE(TRIM(SUBSTITUTE(AF38,CHAR(160),""))),0)=IFERROR(VALUE(TRIM(SUBSTITUTE(P38,CHAR(160),""))),0),"OK",IFERROR(VALUE(TRIM(SUBSTITUTE(AF38,CHAR(160),""))),0)&lt;IFERROR(VALUE(TRIM(SUBSTITUTE(P38,CHAR(160),""))),0),"Montant instruit inférieur au montant présenté.",TRUE,""))</f>
        <v/>
      </c>
      <c r="AI38" s="180" t="str">
        <f t="shared" si="13"/>
        <v/>
      </c>
    </row>
    <row r="39" spans="1:35" ht="15" customHeight="1">
      <c r="A39" s="70">
        <v>30</v>
      </c>
      <c r="B39" s="784"/>
      <c r="C39" s="7"/>
      <c r="D39" s="451"/>
      <c r="E39" s="7"/>
      <c r="F39" s="314"/>
      <c r="G39" s="7"/>
      <c r="H39" s="323"/>
      <c r="I39" s="316"/>
      <c r="J39" s="317"/>
      <c r="K39" s="316"/>
      <c r="L39" s="316"/>
      <c r="M39" s="319"/>
      <c r="N39" s="7"/>
      <c r="O39" s="7"/>
      <c r="P39" s="320" t="str">
        <f t="shared" si="0"/>
        <v/>
      </c>
      <c r="Q39" s="324"/>
      <c r="R39" s="325" t="str">
        <f t="shared" si="1"/>
        <v/>
      </c>
      <c r="S39" s="322" t="str">
        <f t="shared" si="14"/>
        <v/>
      </c>
      <c r="T39" s="325" t="str">
        <f t="shared" si="2"/>
        <v/>
      </c>
      <c r="U39" s="325" t="str">
        <f t="shared" si="3"/>
        <v/>
      </c>
      <c r="V39" s="325" t="str">
        <f t="shared" si="4"/>
        <v/>
      </c>
      <c r="W39" s="37" t="str">
        <f t="shared" si="5"/>
        <v/>
      </c>
      <c r="X39" s="38" t="str">
        <f t="shared" si="6"/>
        <v/>
      </c>
      <c r="Y39" s="325" t="str">
        <f t="shared" si="7"/>
        <v/>
      </c>
      <c r="Z39" s="38" t="str">
        <f t="shared" si="8"/>
        <v/>
      </c>
      <c r="AA39" s="38" t="str">
        <f t="shared" si="9"/>
        <v/>
      </c>
      <c r="AB39" s="20" t="str">
        <f t="shared" si="10"/>
        <v/>
      </c>
      <c r="AC39" s="325" t="str">
        <f t="shared" si="11"/>
        <v/>
      </c>
      <c r="AD39" s="325" t="str">
        <f t="shared" si="12"/>
        <v/>
      </c>
      <c r="AE39" s="184"/>
      <c r="AF39" s="678" t="str">
        <f t="shared" si="15"/>
        <v/>
      </c>
      <c r="AG39" s="63"/>
      <c r="AH39" s="187" t="str" cm="1">
        <f t="array" ref="AH39">IF(OR(AF39="",P39=""),"",_xlfn.IFS(IFERROR(VALUE(TRIM(SUBSTITUTE(AF39,CHAR(160),""))),0)&gt;IFERROR(VALUE(TRIM(SUBSTITUTE(P39,CHAR(160),""))),0),"KO : Le montant retenu est supérieur au montant présenté. Merci de revoir la ligne de contributions ou plafonner son montant.",IFERROR(VALUE(TRIM(SUBSTITUTE(P39,CHAR(160),""))),0)=0,"",IFERROR(VALUE(TRIM(SUBSTITUTE(AF39,CHAR(160),""))),0)=IFERROR(VALUE(TRIM(SUBSTITUTE(P39,CHAR(160),""))),0),"OK",IFERROR(VALUE(TRIM(SUBSTITUTE(AF39,CHAR(160),""))),0)&lt;IFERROR(VALUE(TRIM(SUBSTITUTE(P39,CHAR(160),""))),0),"Montant instruit inférieur au montant présenté.",TRUE,""))</f>
        <v/>
      </c>
      <c r="AI39" s="180" t="str">
        <f t="shared" si="13"/>
        <v/>
      </c>
    </row>
    <row r="40" spans="1:35" ht="15" customHeight="1">
      <c r="A40" s="70">
        <v>31</v>
      </c>
      <c r="B40" s="784"/>
      <c r="C40" s="7"/>
      <c r="D40" s="451"/>
      <c r="E40" s="7"/>
      <c r="F40" s="314"/>
      <c r="G40" s="7"/>
      <c r="H40" s="323"/>
      <c r="I40" s="316"/>
      <c r="J40" s="317"/>
      <c r="K40" s="316"/>
      <c r="L40" s="316"/>
      <c r="M40" s="319"/>
      <c r="N40" s="7"/>
      <c r="O40" s="7"/>
      <c r="P40" s="320" t="str">
        <f t="shared" si="0"/>
        <v/>
      </c>
      <c r="Q40" s="324"/>
      <c r="R40" s="325" t="str">
        <f t="shared" si="1"/>
        <v/>
      </c>
      <c r="S40" s="322" t="str">
        <f t="shared" si="14"/>
        <v/>
      </c>
      <c r="T40" s="325" t="str">
        <f t="shared" si="2"/>
        <v/>
      </c>
      <c r="U40" s="325" t="str">
        <f t="shared" si="3"/>
        <v/>
      </c>
      <c r="V40" s="325" t="str">
        <f t="shared" si="4"/>
        <v/>
      </c>
      <c r="W40" s="37" t="str">
        <f t="shared" si="5"/>
        <v/>
      </c>
      <c r="X40" s="38" t="str">
        <f t="shared" si="6"/>
        <v/>
      </c>
      <c r="Y40" s="325" t="str">
        <f t="shared" si="7"/>
        <v/>
      </c>
      <c r="Z40" s="38" t="str">
        <f t="shared" si="8"/>
        <v/>
      </c>
      <c r="AA40" s="38" t="str">
        <f t="shared" si="9"/>
        <v/>
      </c>
      <c r="AB40" s="20" t="str">
        <f t="shared" si="10"/>
        <v/>
      </c>
      <c r="AC40" s="325" t="str">
        <f t="shared" si="11"/>
        <v/>
      </c>
      <c r="AD40" s="325" t="str">
        <f t="shared" si="12"/>
        <v/>
      </c>
      <c r="AE40" s="184"/>
      <c r="AF40" s="678" t="str">
        <f t="shared" si="15"/>
        <v/>
      </c>
      <c r="AG40" s="63"/>
      <c r="AH40" s="187" t="str" cm="1">
        <f t="array" ref="AH40">IF(OR(AF40="",P40=""),"",_xlfn.IFS(IFERROR(VALUE(TRIM(SUBSTITUTE(AF40,CHAR(160),""))),0)&gt;IFERROR(VALUE(TRIM(SUBSTITUTE(P40,CHAR(160),""))),0),"KO : Le montant retenu est supérieur au montant présenté. Merci de revoir la ligne de contributions ou plafonner son montant.",IFERROR(VALUE(TRIM(SUBSTITUTE(P40,CHAR(160),""))),0)=0,"",IFERROR(VALUE(TRIM(SUBSTITUTE(AF40,CHAR(160),""))),0)=IFERROR(VALUE(TRIM(SUBSTITUTE(P40,CHAR(160),""))),0),"OK",IFERROR(VALUE(TRIM(SUBSTITUTE(AF40,CHAR(160),""))),0)&lt;IFERROR(VALUE(TRIM(SUBSTITUTE(P40,CHAR(160),""))),0),"Montant instruit inférieur au montant présenté.",TRUE,""))</f>
        <v/>
      </c>
      <c r="AI40" s="180" t="str">
        <f t="shared" si="13"/>
        <v/>
      </c>
    </row>
    <row r="41" spans="1:35" ht="15" customHeight="1">
      <c r="A41" s="70">
        <v>32</v>
      </c>
      <c r="B41" s="784"/>
      <c r="C41" s="7"/>
      <c r="D41" s="451"/>
      <c r="E41" s="7"/>
      <c r="F41" s="314"/>
      <c r="G41" s="7"/>
      <c r="H41" s="323"/>
      <c r="I41" s="316"/>
      <c r="J41" s="317"/>
      <c r="K41" s="316"/>
      <c r="L41" s="316"/>
      <c r="M41" s="319"/>
      <c r="N41" s="7"/>
      <c r="O41" s="7"/>
      <c r="P41" s="320" t="str">
        <f t="shared" ref="P41:P72" si="17">IF(K41=0,"",((M41/K41)*L41)*H41)</f>
        <v/>
      </c>
      <c r="Q41" s="324"/>
      <c r="R41" s="325" t="str">
        <f t="shared" ref="R41:R72" si="18">IF(C41="","",C41)</f>
        <v/>
      </c>
      <c r="S41" s="322" t="str">
        <f t="shared" si="14"/>
        <v/>
      </c>
      <c r="T41" s="325" t="str">
        <f t="shared" ref="T41:T72" si="19">IF(E41="","",E41)</f>
        <v/>
      </c>
      <c r="U41" s="325" t="str">
        <f t="shared" ref="U41:U72" si="20">IF(F41="","",F41)</f>
        <v/>
      </c>
      <c r="V41" s="325" t="str">
        <f t="shared" ref="V41:V72" si="21">IF(G41="","",G41)</f>
        <v/>
      </c>
      <c r="W41" s="37" t="str">
        <f t="shared" ref="W41:W72" si="22">IF(H41="","",H41)</f>
        <v/>
      </c>
      <c r="X41" s="38" t="str">
        <f t="shared" ref="X41:X72" si="23">IF(I41="","",I41)</f>
        <v/>
      </c>
      <c r="Y41" s="325" t="str">
        <f t="shared" ref="Y41:Y72" si="24">IF(J41="","",J41)</f>
        <v/>
      </c>
      <c r="Z41" s="38" t="str">
        <f t="shared" ref="Z41:Z72" si="25">IF(K41="","",K41)</f>
        <v/>
      </c>
      <c r="AA41" s="38" t="str">
        <f t="shared" ref="AA41:AA72" si="26">IF(L41="","",L41)</f>
        <v/>
      </c>
      <c r="AB41" s="20" t="str">
        <f t="shared" ref="AB41:AB72" si="27">IF(M41="","",M41)</f>
        <v/>
      </c>
      <c r="AC41" s="325" t="str">
        <f t="shared" ref="AC41:AC72" si="28">IF(N41="","",N41)</f>
        <v/>
      </c>
      <c r="AD41" s="325" t="str">
        <f t="shared" ref="AD41:AD72" si="29">IF(O41="","",O41)</f>
        <v/>
      </c>
      <c r="AE41" s="184"/>
      <c r="AF41" s="678" t="str">
        <f t="shared" si="15"/>
        <v/>
      </c>
      <c r="AG41" s="63"/>
      <c r="AH41" s="187" t="str" cm="1">
        <f t="array" ref="AH41">IF(OR(AF41="",P41=""),"",_xlfn.IFS(IFERROR(VALUE(TRIM(SUBSTITUTE(AF41,CHAR(160),""))),0)&gt;IFERROR(VALUE(TRIM(SUBSTITUTE(P41,CHAR(160),""))),0),"KO : Le montant retenu est supérieur au montant présenté. Merci de revoir la ligne de contributions ou plafonner son montant.",IFERROR(VALUE(TRIM(SUBSTITUTE(P41,CHAR(160),""))),0)=0,"",IFERROR(VALUE(TRIM(SUBSTITUTE(AF41,CHAR(160),""))),0)=IFERROR(VALUE(TRIM(SUBSTITUTE(P41,CHAR(160),""))),0),"OK",IFERROR(VALUE(TRIM(SUBSTITUTE(AF41,CHAR(160),""))),0)&lt;IFERROR(VALUE(TRIM(SUBSTITUTE(P41,CHAR(160),""))),0),"Montant instruit inférieur au montant présenté.",TRUE,""))</f>
        <v/>
      </c>
      <c r="AI41" s="180" t="str">
        <f t="shared" ref="AI41:AI72" si="30">IF(OR(P41="",AF41=""),"",IFERROR(VALUE(TRIM(SUBSTITUTE(P41,CHAR(160),""))),0)-IFERROR(VALUE(TRIM(SUBSTITUTE(AF41,CHAR(160),""))),0))</f>
        <v/>
      </c>
    </row>
    <row r="42" spans="1:35" ht="15" customHeight="1">
      <c r="A42" s="70">
        <v>33</v>
      </c>
      <c r="B42" s="784"/>
      <c r="C42" s="7"/>
      <c r="D42" s="451"/>
      <c r="E42" s="7"/>
      <c r="F42" s="314"/>
      <c r="G42" s="7"/>
      <c r="H42" s="323"/>
      <c r="I42" s="316"/>
      <c r="J42" s="317"/>
      <c r="K42" s="316"/>
      <c r="L42" s="316"/>
      <c r="M42" s="319"/>
      <c r="N42" s="7"/>
      <c r="O42" s="7"/>
      <c r="P42" s="320" t="str">
        <f t="shared" si="17"/>
        <v/>
      </c>
      <c r="Q42" s="324"/>
      <c r="R42" s="325" t="str">
        <f t="shared" si="18"/>
        <v/>
      </c>
      <c r="S42" s="322" t="str">
        <f t="shared" ref="S42:S73" si="31">IF(D42="","",D42)</f>
        <v/>
      </c>
      <c r="T42" s="325" t="str">
        <f t="shared" si="19"/>
        <v/>
      </c>
      <c r="U42" s="325" t="str">
        <f t="shared" si="20"/>
        <v/>
      </c>
      <c r="V42" s="325" t="str">
        <f t="shared" si="21"/>
        <v/>
      </c>
      <c r="W42" s="37" t="str">
        <f t="shared" si="22"/>
        <v/>
      </c>
      <c r="X42" s="38" t="str">
        <f t="shared" si="23"/>
        <v/>
      </c>
      <c r="Y42" s="325" t="str">
        <f t="shared" si="24"/>
        <v/>
      </c>
      <c r="Z42" s="38" t="str">
        <f t="shared" si="25"/>
        <v/>
      </c>
      <c r="AA42" s="38" t="str">
        <f t="shared" si="26"/>
        <v/>
      </c>
      <c r="AB42" s="20" t="str">
        <f t="shared" si="27"/>
        <v/>
      </c>
      <c r="AC42" s="325" t="str">
        <f t="shared" si="28"/>
        <v/>
      </c>
      <c r="AD42" s="325" t="str">
        <f t="shared" si="29"/>
        <v/>
      </c>
      <c r="AE42" s="184"/>
      <c r="AF42" s="678" t="str">
        <f t="shared" si="15"/>
        <v/>
      </c>
      <c r="AG42" s="63"/>
      <c r="AH42" s="187" t="str" cm="1">
        <f t="array" ref="AH42">IF(OR(AF42="",P42=""),"",_xlfn.IFS(IFERROR(VALUE(TRIM(SUBSTITUTE(AF42,CHAR(160),""))),0)&gt;IFERROR(VALUE(TRIM(SUBSTITUTE(P42,CHAR(160),""))),0),"KO : Le montant retenu est supérieur au montant présenté. Merci de revoir la ligne de contributions ou plafonner son montant.",IFERROR(VALUE(TRIM(SUBSTITUTE(P42,CHAR(160),""))),0)=0,"",IFERROR(VALUE(TRIM(SUBSTITUTE(AF42,CHAR(160),""))),0)=IFERROR(VALUE(TRIM(SUBSTITUTE(P42,CHAR(160),""))),0),"OK",IFERROR(VALUE(TRIM(SUBSTITUTE(AF42,CHAR(160),""))),0)&lt;IFERROR(VALUE(TRIM(SUBSTITUTE(P42,CHAR(160),""))),0),"Montant instruit inférieur au montant présenté.",TRUE,""))</f>
        <v/>
      </c>
      <c r="AI42" s="180" t="str">
        <f t="shared" si="30"/>
        <v/>
      </c>
    </row>
    <row r="43" spans="1:35" ht="15" customHeight="1">
      <c r="A43" s="70">
        <v>34</v>
      </c>
      <c r="B43" s="784"/>
      <c r="C43" s="7"/>
      <c r="D43" s="451"/>
      <c r="E43" s="7"/>
      <c r="F43" s="314"/>
      <c r="G43" s="7"/>
      <c r="H43" s="323"/>
      <c r="I43" s="316"/>
      <c r="J43" s="317"/>
      <c r="K43" s="316"/>
      <c r="L43" s="316"/>
      <c r="M43" s="319"/>
      <c r="N43" s="7"/>
      <c r="O43" s="7"/>
      <c r="P43" s="320" t="str">
        <f t="shared" si="17"/>
        <v/>
      </c>
      <c r="Q43" s="324"/>
      <c r="R43" s="325" t="str">
        <f t="shared" si="18"/>
        <v/>
      </c>
      <c r="S43" s="322" t="str">
        <f t="shared" si="31"/>
        <v/>
      </c>
      <c r="T43" s="325" t="str">
        <f t="shared" si="19"/>
        <v/>
      </c>
      <c r="U43" s="325" t="str">
        <f t="shared" si="20"/>
        <v/>
      </c>
      <c r="V43" s="325" t="str">
        <f t="shared" si="21"/>
        <v/>
      </c>
      <c r="W43" s="37" t="str">
        <f t="shared" si="22"/>
        <v/>
      </c>
      <c r="X43" s="38" t="str">
        <f t="shared" si="23"/>
        <v/>
      </c>
      <c r="Y43" s="325" t="str">
        <f t="shared" si="24"/>
        <v/>
      </c>
      <c r="Z43" s="38" t="str">
        <f t="shared" si="25"/>
        <v/>
      </c>
      <c r="AA43" s="38" t="str">
        <f t="shared" si="26"/>
        <v/>
      </c>
      <c r="AB43" s="20" t="str">
        <f t="shared" si="27"/>
        <v/>
      </c>
      <c r="AC43" s="325" t="str">
        <f t="shared" si="28"/>
        <v/>
      </c>
      <c r="AD43" s="325" t="str">
        <f t="shared" si="29"/>
        <v/>
      </c>
      <c r="AE43" s="184"/>
      <c r="AF43" s="678" t="str">
        <f t="shared" si="15"/>
        <v/>
      </c>
      <c r="AG43" s="63"/>
      <c r="AH43" s="187" t="str" cm="1">
        <f t="array" ref="AH43">IF(OR(AF43="",P43=""),"",_xlfn.IFS(IFERROR(VALUE(TRIM(SUBSTITUTE(AF43,CHAR(160),""))),0)&gt;IFERROR(VALUE(TRIM(SUBSTITUTE(P43,CHAR(160),""))),0),"KO : Le montant retenu est supérieur au montant présenté. Merci de revoir la ligne de contributions ou plafonner son montant.",IFERROR(VALUE(TRIM(SUBSTITUTE(P43,CHAR(160),""))),0)=0,"",IFERROR(VALUE(TRIM(SUBSTITUTE(AF43,CHAR(160),""))),0)=IFERROR(VALUE(TRIM(SUBSTITUTE(P43,CHAR(160),""))),0),"OK",IFERROR(VALUE(TRIM(SUBSTITUTE(AF43,CHAR(160),""))),0)&lt;IFERROR(VALUE(TRIM(SUBSTITUTE(P43,CHAR(160),""))),0),"Montant instruit inférieur au montant présenté.",TRUE,""))</f>
        <v/>
      </c>
      <c r="AI43" s="180" t="str">
        <f t="shared" si="30"/>
        <v/>
      </c>
    </row>
    <row r="44" spans="1:35" ht="15" customHeight="1">
      <c r="A44" s="70">
        <v>35</v>
      </c>
      <c r="B44" s="784"/>
      <c r="C44" s="7"/>
      <c r="D44" s="451"/>
      <c r="E44" s="7"/>
      <c r="F44" s="314"/>
      <c r="G44" s="7"/>
      <c r="H44" s="323"/>
      <c r="I44" s="316"/>
      <c r="J44" s="317"/>
      <c r="K44" s="316"/>
      <c r="L44" s="316"/>
      <c r="M44" s="319"/>
      <c r="N44" s="7"/>
      <c r="O44" s="7"/>
      <c r="P44" s="320" t="str">
        <f t="shared" si="17"/>
        <v/>
      </c>
      <c r="Q44" s="324"/>
      <c r="R44" s="325" t="str">
        <f t="shared" si="18"/>
        <v/>
      </c>
      <c r="S44" s="322" t="str">
        <f t="shared" si="31"/>
        <v/>
      </c>
      <c r="T44" s="325" t="str">
        <f t="shared" si="19"/>
        <v/>
      </c>
      <c r="U44" s="325" t="str">
        <f t="shared" si="20"/>
        <v/>
      </c>
      <c r="V44" s="325" t="str">
        <f t="shared" si="21"/>
        <v/>
      </c>
      <c r="W44" s="37" t="str">
        <f t="shared" si="22"/>
        <v/>
      </c>
      <c r="X44" s="38" t="str">
        <f t="shared" si="23"/>
        <v/>
      </c>
      <c r="Y44" s="325" t="str">
        <f t="shared" si="24"/>
        <v/>
      </c>
      <c r="Z44" s="38" t="str">
        <f t="shared" si="25"/>
        <v/>
      </c>
      <c r="AA44" s="38" t="str">
        <f t="shared" si="26"/>
        <v/>
      </c>
      <c r="AB44" s="20" t="str">
        <f t="shared" si="27"/>
        <v/>
      </c>
      <c r="AC44" s="325" t="str">
        <f t="shared" si="28"/>
        <v/>
      </c>
      <c r="AD44" s="325" t="str">
        <f t="shared" si="29"/>
        <v/>
      </c>
      <c r="AE44" s="184"/>
      <c r="AF44" s="678" t="str">
        <f t="shared" si="15"/>
        <v/>
      </c>
      <c r="AG44" s="63"/>
      <c r="AH44" s="187" t="str" cm="1">
        <f t="array" ref="AH44">IF(OR(AF44="",P44=""),"",_xlfn.IFS(IFERROR(VALUE(TRIM(SUBSTITUTE(AF44,CHAR(160),""))),0)&gt;IFERROR(VALUE(TRIM(SUBSTITUTE(P44,CHAR(160),""))),0),"KO : Le montant retenu est supérieur au montant présenté. Merci de revoir la ligne de contributions ou plafonner son montant.",IFERROR(VALUE(TRIM(SUBSTITUTE(P44,CHAR(160),""))),0)=0,"",IFERROR(VALUE(TRIM(SUBSTITUTE(AF44,CHAR(160),""))),0)=IFERROR(VALUE(TRIM(SUBSTITUTE(P44,CHAR(160),""))),0),"OK",IFERROR(VALUE(TRIM(SUBSTITUTE(AF44,CHAR(160),""))),0)&lt;IFERROR(VALUE(TRIM(SUBSTITUTE(P44,CHAR(160),""))),0),"Montant instruit inférieur au montant présenté.",TRUE,""))</f>
        <v/>
      </c>
      <c r="AI44" s="180" t="str">
        <f t="shared" si="30"/>
        <v/>
      </c>
    </row>
    <row r="45" spans="1:35" ht="15" customHeight="1">
      <c r="A45" s="70">
        <v>36</v>
      </c>
      <c r="B45" s="784"/>
      <c r="C45" s="7"/>
      <c r="D45" s="451"/>
      <c r="E45" s="7"/>
      <c r="F45" s="314"/>
      <c r="G45" s="7"/>
      <c r="H45" s="323"/>
      <c r="I45" s="316"/>
      <c r="J45" s="317"/>
      <c r="K45" s="316"/>
      <c r="L45" s="316"/>
      <c r="M45" s="319"/>
      <c r="N45" s="7"/>
      <c r="O45" s="7"/>
      <c r="P45" s="320" t="str">
        <f t="shared" si="17"/>
        <v/>
      </c>
      <c r="Q45" s="324"/>
      <c r="R45" s="325" t="str">
        <f t="shared" si="18"/>
        <v/>
      </c>
      <c r="S45" s="322" t="str">
        <f t="shared" si="31"/>
        <v/>
      </c>
      <c r="T45" s="325" t="str">
        <f t="shared" si="19"/>
        <v/>
      </c>
      <c r="U45" s="325" t="str">
        <f t="shared" si="20"/>
        <v/>
      </c>
      <c r="V45" s="325" t="str">
        <f t="shared" si="21"/>
        <v/>
      </c>
      <c r="W45" s="37" t="str">
        <f t="shared" si="22"/>
        <v/>
      </c>
      <c r="X45" s="38" t="str">
        <f t="shared" si="23"/>
        <v/>
      </c>
      <c r="Y45" s="325" t="str">
        <f t="shared" si="24"/>
        <v/>
      </c>
      <c r="Z45" s="38" t="str">
        <f t="shared" si="25"/>
        <v/>
      </c>
      <c r="AA45" s="38" t="str">
        <f t="shared" si="26"/>
        <v/>
      </c>
      <c r="AB45" s="20" t="str">
        <f t="shared" si="27"/>
        <v/>
      </c>
      <c r="AC45" s="325" t="str">
        <f t="shared" si="28"/>
        <v/>
      </c>
      <c r="AD45" s="325" t="str">
        <f t="shared" si="29"/>
        <v/>
      </c>
      <c r="AE45" s="184"/>
      <c r="AF45" s="678" t="str">
        <f t="shared" si="15"/>
        <v/>
      </c>
      <c r="AG45" s="63"/>
      <c r="AH45" s="187" t="str" cm="1">
        <f t="array" ref="AH45">IF(OR(AF45="",P45=""),"",_xlfn.IFS(IFERROR(VALUE(TRIM(SUBSTITUTE(AF45,CHAR(160),""))),0)&gt;IFERROR(VALUE(TRIM(SUBSTITUTE(P45,CHAR(160),""))),0),"KO : Le montant retenu est supérieur au montant présenté. Merci de revoir la ligne de contributions ou plafonner son montant.",IFERROR(VALUE(TRIM(SUBSTITUTE(P45,CHAR(160),""))),0)=0,"",IFERROR(VALUE(TRIM(SUBSTITUTE(AF45,CHAR(160),""))),0)=IFERROR(VALUE(TRIM(SUBSTITUTE(P45,CHAR(160),""))),0),"OK",IFERROR(VALUE(TRIM(SUBSTITUTE(AF45,CHAR(160),""))),0)&lt;IFERROR(VALUE(TRIM(SUBSTITUTE(P45,CHAR(160),""))),0),"Montant instruit inférieur au montant présenté.",TRUE,""))</f>
        <v/>
      </c>
      <c r="AI45" s="180" t="str">
        <f t="shared" si="30"/>
        <v/>
      </c>
    </row>
    <row r="46" spans="1:35" ht="15" customHeight="1">
      <c r="A46" s="70">
        <v>37</v>
      </c>
      <c r="B46" s="784"/>
      <c r="C46" s="7"/>
      <c r="D46" s="451"/>
      <c r="E46" s="7"/>
      <c r="F46" s="314"/>
      <c r="G46" s="7"/>
      <c r="H46" s="323"/>
      <c r="I46" s="316"/>
      <c r="J46" s="317"/>
      <c r="K46" s="316"/>
      <c r="L46" s="316"/>
      <c r="M46" s="319"/>
      <c r="N46" s="7"/>
      <c r="O46" s="7"/>
      <c r="P46" s="320" t="str">
        <f t="shared" si="17"/>
        <v/>
      </c>
      <c r="Q46" s="324"/>
      <c r="R46" s="325" t="str">
        <f t="shared" si="18"/>
        <v/>
      </c>
      <c r="S46" s="322" t="str">
        <f t="shared" si="31"/>
        <v/>
      </c>
      <c r="T46" s="325" t="str">
        <f t="shared" si="19"/>
        <v/>
      </c>
      <c r="U46" s="325" t="str">
        <f t="shared" si="20"/>
        <v/>
      </c>
      <c r="V46" s="325" t="str">
        <f t="shared" si="21"/>
        <v/>
      </c>
      <c r="W46" s="37" t="str">
        <f t="shared" si="22"/>
        <v/>
      </c>
      <c r="X46" s="38" t="str">
        <f t="shared" si="23"/>
        <v/>
      </c>
      <c r="Y46" s="325" t="str">
        <f t="shared" si="24"/>
        <v/>
      </c>
      <c r="Z46" s="38" t="str">
        <f t="shared" si="25"/>
        <v/>
      </c>
      <c r="AA46" s="38" t="str">
        <f t="shared" si="26"/>
        <v/>
      </c>
      <c r="AB46" s="20" t="str">
        <f t="shared" si="27"/>
        <v/>
      </c>
      <c r="AC46" s="325" t="str">
        <f t="shared" si="28"/>
        <v/>
      </c>
      <c r="AD46" s="325" t="str">
        <f t="shared" si="29"/>
        <v/>
      </c>
      <c r="AE46" s="184"/>
      <c r="AF46" s="678" t="str">
        <f t="shared" si="15"/>
        <v/>
      </c>
      <c r="AG46" s="63"/>
      <c r="AH46" s="187" t="str" cm="1">
        <f t="array" ref="AH46">IF(OR(AF46="",P46=""),"",_xlfn.IFS(IFERROR(VALUE(TRIM(SUBSTITUTE(AF46,CHAR(160),""))),0)&gt;IFERROR(VALUE(TRIM(SUBSTITUTE(P46,CHAR(160),""))),0),"KO : Le montant retenu est supérieur au montant présenté. Merci de revoir la ligne de contributions ou plafonner son montant.",IFERROR(VALUE(TRIM(SUBSTITUTE(P46,CHAR(160),""))),0)=0,"",IFERROR(VALUE(TRIM(SUBSTITUTE(AF46,CHAR(160),""))),0)=IFERROR(VALUE(TRIM(SUBSTITUTE(P46,CHAR(160),""))),0),"OK",IFERROR(VALUE(TRIM(SUBSTITUTE(AF46,CHAR(160),""))),0)&lt;IFERROR(VALUE(TRIM(SUBSTITUTE(P46,CHAR(160),""))),0),"Montant instruit inférieur au montant présenté.",TRUE,""))</f>
        <v/>
      </c>
      <c r="AI46" s="180" t="str">
        <f t="shared" si="30"/>
        <v/>
      </c>
    </row>
    <row r="47" spans="1:35" ht="15" customHeight="1">
      <c r="A47" s="70">
        <v>38</v>
      </c>
      <c r="B47" s="784"/>
      <c r="C47" s="7"/>
      <c r="D47" s="451"/>
      <c r="E47" s="7"/>
      <c r="F47" s="314"/>
      <c r="G47" s="7"/>
      <c r="H47" s="323"/>
      <c r="I47" s="316"/>
      <c r="J47" s="317"/>
      <c r="K47" s="316"/>
      <c r="L47" s="316"/>
      <c r="M47" s="319"/>
      <c r="N47" s="7"/>
      <c r="O47" s="7"/>
      <c r="P47" s="320" t="str">
        <f t="shared" si="17"/>
        <v/>
      </c>
      <c r="Q47" s="324"/>
      <c r="R47" s="325" t="str">
        <f t="shared" si="18"/>
        <v/>
      </c>
      <c r="S47" s="322" t="str">
        <f t="shared" si="31"/>
        <v/>
      </c>
      <c r="T47" s="325" t="str">
        <f t="shared" si="19"/>
        <v/>
      </c>
      <c r="U47" s="325" t="str">
        <f t="shared" si="20"/>
        <v/>
      </c>
      <c r="V47" s="325" t="str">
        <f t="shared" si="21"/>
        <v/>
      </c>
      <c r="W47" s="37" t="str">
        <f t="shared" si="22"/>
        <v/>
      </c>
      <c r="X47" s="38" t="str">
        <f t="shared" si="23"/>
        <v/>
      </c>
      <c r="Y47" s="325" t="str">
        <f t="shared" si="24"/>
        <v/>
      </c>
      <c r="Z47" s="38" t="str">
        <f t="shared" si="25"/>
        <v/>
      </c>
      <c r="AA47" s="38" t="str">
        <f t="shared" si="26"/>
        <v/>
      </c>
      <c r="AB47" s="20" t="str">
        <f t="shared" si="27"/>
        <v/>
      </c>
      <c r="AC47" s="325" t="str">
        <f t="shared" si="28"/>
        <v/>
      </c>
      <c r="AD47" s="325" t="str">
        <f t="shared" si="29"/>
        <v/>
      </c>
      <c r="AE47" s="184"/>
      <c r="AF47" s="678" t="str">
        <f t="shared" si="15"/>
        <v/>
      </c>
      <c r="AG47" s="63"/>
      <c r="AH47" s="187" t="str" cm="1">
        <f t="array" ref="AH47">IF(OR(AF47="",P47=""),"",_xlfn.IFS(IFERROR(VALUE(TRIM(SUBSTITUTE(AF47,CHAR(160),""))),0)&gt;IFERROR(VALUE(TRIM(SUBSTITUTE(P47,CHAR(160),""))),0),"KO : Le montant retenu est supérieur au montant présenté. Merci de revoir la ligne de contributions ou plafonner son montant.",IFERROR(VALUE(TRIM(SUBSTITUTE(P47,CHAR(160),""))),0)=0,"",IFERROR(VALUE(TRIM(SUBSTITUTE(AF47,CHAR(160),""))),0)=IFERROR(VALUE(TRIM(SUBSTITUTE(P47,CHAR(160),""))),0),"OK",IFERROR(VALUE(TRIM(SUBSTITUTE(AF47,CHAR(160),""))),0)&lt;IFERROR(VALUE(TRIM(SUBSTITUTE(P47,CHAR(160),""))),0),"Montant instruit inférieur au montant présenté.",TRUE,""))</f>
        <v/>
      </c>
      <c r="AI47" s="180" t="str">
        <f t="shared" si="30"/>
        <v/>
      </c>
    </row>
    <row r="48" spans="1:35" ht="15" customHeight="1">
      <c r="A48" s="70">
        <v>39</v>
      </c>
      <c r="B48" s="784"/>
      <c r="C48" s="7"/>
      <c r="D48" s="451"/>
      <c r="E48" s="7"/>
      <c r="F48" s="314"/>
      <c r="G48" s="7"/>
      <c r="H48" s="323"/>
      <c r="I48" s="316"/>
      <c r="J48" s="317"/>
      <c r="K48" s="316"/>
      <c r="L48" s="316"/>
      <c r="M48" s="319"/>
      <c r="N48" s="7"/>
      <c r="O48" s="7"/>
      <c r="P48" s="320" t="str">
        <f t="shared" si="17"/>
        <v/>
      </c>
      <c r="Q48" s="324"/>
      <c r="R48" s="325" t="str">
        <f t="shared" si="18"/>
        <v/>
      </c>
      <c r="S48" s="322" t="str">
        <f t="shared" si="31"/>
        <v/>
      </c>
      <c r="T48" s="325" t="str">
        <f t="shared" si="19"/>
        <v/>
      </c>
      <c r="U48" s="325" t="str">
        <f t="shared" si="20"/>
        <v/>
      </c>
      <c r="V48" s="325" t="str">
        <f t="shared" si="21"/>
        <v/>
      </c>
      <c r="W48" s="37" t="str">
        <f t="shared" si="22"/>
        <v/>
      </c>
      <c r="X48" s="38" t="str">
        <f t="shared" si="23"/>
        <v/>
      </c>
      <c r="Y48" s="325" t="str">
        <f t="shared" si="24"/>
        <v/>
      </c>
      <c r="Z48" s="38" t="str">
        <f t="shared" si="25"/>
        <v/>
      </c>
      <c r="AA48" s="38" t="str">
        <f t="shared" si="26"/>
        <v/>
      </c>
      <c r="AB48" s="20" t="str">
        <f t="shared" si="27"/>
        <v/>
      </c>
      <c r="AC48" s="325" t="str">
        <f t="shared" si="28"/>
        <v/>
      </c>
      <c r="AD48" s="325" t="str">
        <f t="shared" si="29"/>
        <v/>
      </c>
      <c r="AE48" s="184"/>
      <c r="AF48" s="678" t="str">
        <f t="shared" si="15"/>
        <v/>
      </c>
      <c r="AG48" s="63"/>
      <c r="AH48" s="187" t="str" cm="1">
        <f t="array" ref="AH48">IF(OR(AF48="",P48=""),"",_xlfn.IFS(IFERROR(VALUE(TRIM(SUBSTITUTE(AF48,CHAR(160),""))),0)&gt;IFERROR(VALUE(TRIM(SUBSTITUTE(P48,CHAR(160),""))),0),"KO : Le montant retenu est supérieur au montant présenté. Merci de revoir la ligne de contributions ou plafonner son montant.",IFERROR(VALUE(TRIM(SUBSTITUTE(P48,CHAR(160),""))),0)=0,"",IFERROR(VALUE(TRIM(SUBSTITUTE(AF48,CHAR(160),""))),0)=IFERROR(VALUE(TRIM(SUBSTITUTE(P48,CHAR(160),""))),0),"OK",IFERROR(VALUE(TRIM(SUBSTITUTE(AF48,CHAR(160),""))),0)&lt;IFERROR(VALUE(TRIM(SUBSTITUTE(P48,CHAR(160),""))),0),"Montant instruit inférieur au montant présenté.",TRUE,""))</f>
        <v/>
      </c>
      <c r="AI48" s="180" t="str">
        <f t="shared" si="30"/>
        <v/>
      </c>
    </row>
    <row r="49" spans="1:35" ht="15" customHeight="1" thickBot="1">
      <c r="A49" s="70">
        <v>40</v>
      </c>
      <c r="B49" s="784"/>
      <c r="C49" s="7"/>
      <c r="D49" s="798"/>
      <c r="E49" s="7"/>
      <c r="F49" s="314"/>
      <c r="G49" s="7"/>
      <c r="H49" s="323"/>
      <c r="I49" s="316"/>
      <c r="J49" s="317"/>
      <c r="K49" s="316"/>
      <c r="L49" s="316"/>
      <c r="M49" s="319"/>
      <c r="N49" s="7"/>
      <c r="O49" s="7"/>
      <c r="P49" s="320" t="str">
        <f t="shared" si="17"/>
        <v/>
      </c>
      <c r="Q49" s="324"/>
      <c r="R49" s="325" t="str">
        <f t="shared" si="18"/>
        <v/>
      </c>
      <c r="S49" s="322" t="str">
        <f t="shared" si="31"/>
        <v/>
      </c>
      <c r="T49" s="325" t="str">
        <f t="shared" si="19"/>
        <v/>
      </c>
      <c r="U49" s="325" t="str">
        <f t="shared" si="20"/>
        <v/>
      </c>
      <c r="V49" s="325" t="str">
        <f t="shared" si="21"/>
        <v/>
      </c>
      <c r="W49" s="37" t="str">
        <f t="shared" si="22"/>
        <v/>
      </c>
      <c r="X49" s="38" t="str">
        <f t="shared" si="23"/>
        <v/>
      </c>
      <c r="Y49" s="325" t="str">
        <f t="shared" si="24"/>
        <v/>
      </c>
      <c r="Z49" s="38" t="str">
        <f t="shared" si="25"/>
        <v/>
      </c>
      <c r="AA49" s="38" t="str">
        <f t="shared" si="26"/>
        <v/>
      </c>
      <c r="AB49" s="20" t="str">
        <f t="shared" si="27"/>
        <v/>
      </c>
      <c r="AC49" s="325" t="str">
        <f t="shared" si="28"/>
        <v/>
      </c>
      <c r="AD49" s="325" t="str">
        <f t="shared" si="29"/>
        <v/>
      </c>
      <c r="AE49" s="184"/>
      <c r="AF49" s="678" t="str">
        <f t="shared" si="15"/>
        <v/>
      </c>
      <c r="AG49" s="63"/>
      <c r="AH49" s="187" t="str" cm="1">
        <f t="array" ref="AH49">IF(OR(AF49="",P49=""),"",_xlfn.IFS(IFERROR(VALUE(TRIM(SUBSTITUTE(AF49,CHAR(160),""))),0)&gt;IFERROR(VALUE(TRIM(SUBSTITUTE(P49,CHAR(160),""))),0),"KO : Le montant retenu est supérieur au montant présenté. Merci de revoir la ligne de contributions ou plafonner son montant.",IFERROR(VALUE(TRIM(SUBSTITUTE(P49,CHAR(160),""))),0)=0,"",IFERROR(VALUE(TRIM(SUBSTITUTE(AF49,CHAR(160),""))),0)=IFERROR(VALUE(TRIM(SUBSTITUTE(P49,CHAR(160),""))),0),"OK",IFERROR(VALUE(TRIM(SUBSTITUTE(AF49,CHAR(160),""))),0)&lt;IFERROR(VALUE(TRIM(SUBSTITUTE(P49,CHAR(160),""))),0),"Montant instruit inférieur au montant présenté.",TRUE,""))</f>
        <v/>
      </c>
      <c r="AI49" s="180" t="str">
        <f t="shared" si="30"/>
        <v/>
      </c>
    </row>
    <row r="50" spans="1:35" ht="15" customHeight="1">
      <c r="A50" s="70">
        <v>41</v>
      </c>
      <c r="B50" s="784"/>
      <c r="C50" s="7"/>
      <c r="D50" s="11"/>
      <c r="E50" s="7"/>
      <c r="F50" s="314"/>
      <c r="G50" s="7"/>
      <c r="H50" s="323"/>
      <c r="I50" s="316"/>
      <c r="J50" s="317"/>
      <c r="K50" s="316"/>
      <c r="L50" s="316"/>
      <c r="M50" s="319"/>
      <c r="N50" s="7"/>
      <c r="O50" s="7"/>
      <c r="P50" s="320" t="str">
        <f t="shared" si="17"/>
        <v/>
      </c>
      <c r="Q50" s="324"/>
      <c r="R50" s="325" t="str">
        <f t="shared" si="18"/>
        <v/>
      </c>
      <c r="S50" s="322" t="str">
        <f t="shared" si="31"/>
        <v/>
      </c>
      <c r="T50" s="325" t="str">
        <f t="shared" si="19"/>
        <v/>
      </c>
      <c r="U50" s="325" t="str">
        <f t="shared" si="20"/>
        <v/>
      </c>
      <c r="V50" s="325" t="str">
        <f t="shared" si="21"/>
        <v/>
      </c>
      <c r="W50" s="37" t="str">
        <f t="shared" si="22"/>
        <v/>
      </c>
      <c r="X50" s="38" t="str">
        <f t="shared" si="23"/>
        <v/>
      </c>
      <c r="Y50" s="325" t="str">
        <f t="shared" si="24"/>
        <v/>
      </c>
      <c r="Z50" s="38" t="str">
        <f t="shared" si="25"/>
        <v/>
      </c>
      <c r="AA50" s="38" t="str">
        <f t="shared" si="26"/>
        <v/>
      </c>
      <c r="AB50" s="20" t="str">
        <f t="shared" si="27"/>
        <v/>
      </c>
      <c r="AC50" s="325" t="str">
        <f t="shared" si="28"/>
        <v/>
      </c>
      <c r="AD50" s="325" t="str">
        <f t="shared" si="29"/>
        <v/>
      </c>
      <c r="AE50" s="184"/>
      <c r="AF50" s="678" t="str">
        <f t="shared" si="15"/>
        <v/>
      </c>
      <c r="AG50" s="63"/>
      <c r="AH50" s="187" t="str" cm="1">
        <f t="array" ref="AH50">IF(OR(AF50="",P50=""),"",_xlfn.IFS(IFERROR(VALUE(TRIM(SUBSTITUTE(AF50,CHAR(160),""))),0)&gt;IFERROR(VALUE(TRIM(SUBSTITUTE(P50,CHAR(160),""))),0),"KO : Le montant retenu est supérieur au montant présenté. Merci de revoir la ligne de contributions ou plafonner son montant.",IFERROR(VALUE(TRIM(SUBSTITUTE(P50,CHAR(160),""))),0)=0,"",IFERROR(VALUE(TRIM(SUBSTITUTE(AF50,CHAR(160),""))),0)=IFERROR(VALUE(TRIM(SUBSTITUTE(P50,CHAR(160),""))),0),"OK",IFERROR(VALUE(TRIM(SUBSTITUTE(AF50,CHAR(160),""))),0)&lt;IFERROR(VALUE(TRIM(SUBSTITUTE(P50,CHAR(160),""))),0),"Montant instruit inférieur au montant présenté.",TRUE,""))</f>
        <v/>
      </c>
      <c r="AI50" s="180" t="str">
        <f t="shared" si="30"/>
        <v/>
      </c>
    </row>
    <row r="51" spans="1:35" ht="15" customHeight="1">
      <c r="A51" s="70">
        <v>42</v>
      </c>
      <c r="B51" s="784"/>
      <c r="C51" s="7"/>
      <c r="D51" s="11"/>
      <c r="E51" s="7"/>
      <c r="F51" s="314"/>
      <c r="G51" s="7"/>
      <c r="H51" s="323"/>
      <c r="I51" s="316"/>
      <c r="J51" s="317"/>
      <c r="K51" s="316"/>
      <c r="L51" s="316"/>
      <c r="M51" s="319"/>
      <c r="N51" s="7"/>
      <c r="O51" s="7"/>
      <c r="P51" s="320" t="str">
        <f t="shared" si="17"/>
        <v/>
      </c>
      <c r="Q51" s="324"/>
      <c r="R51" s="325" t="str">
        <f t="shared" si="18"/>
        <v/>
      </c>
      <c r="S51" s="322" t="str">
        <f t="shared" si="31"/>
        <v/>
      </c>
      <c r="T51" s="325" t="str">
        <f t="shared" si="19"/>
        <v/>
      </c>
      <c r="U51" s="325" t="str">
        <f t="shared" si="20"/>
        <v/>
      </c>
      <c r="V51" s="325" t="str">
        <f t="shared" si="21"/>
        <v/>
      </c>
      <c r="W51" s="37" t="str">
        <f t="shared" si="22"/>
        <v/>
      </c>
      <c r="X51" s="38" t="str">
        <f t="shared" si="23"/>
        <v/>
      </c>
      <c r="Y51" s="325" t="str">
        <f t="shared" si="24"/>
        <v/>
      </c>
      <c r="Z51" s="38" t="str">
        <f t="shared" si="25"/>
        <v/>
      </c>
      <c r="AA51" s="38" t="str">
        <f t="shared" si="26"/>
        <v/>
      </c>
      <c r="AB51" s="20" t="str">
        <f t="shared" si="27"/>
        <v/>
      </c>
      <c r="AC51" s="325" t="str">
        <f t="shared" si="28"/>
        <v/>
      </c>
      <c r="AD51" s="325" t="str">
        <f t="shared" si="29"/>
        <v/>
      </c>
      <c r="AE51" s="184"/>
      <c r="AF51" s="678" t="str">
        <f t="shared" si="15"/>
        <v/>
      </c>
      <c r="AG51" s="63"/>
      <c r="AH51" s="187" t="str" cm="1">
        <f t="array" ref="AH51">IF(OR(AF51="",P51=""),"",_xlfn.IFS(IFERROR(VALUE(TRIM(SUBSTITUTE(AF51,CHAR(160),""))),0)&gt;IFERROR(VALUE(TRIM(SUBSTITUTE(P51,CHAR(160),""))),0),"KO : Le montant retenu est supérieur au montant présenté. Merci de revoir la ligne de contributions ou plafonner son montant.",IFERROR(VALUE(TRIM(SUBSTITUTE(P51,CHAR(160),""))),0)=0,"",IFERROR(VALUE(TRIM(SUBSTITUTE(AF51,CHAR(160),""))),0)=IFERROR(VALUE(TRIM(SUBSTITUTE(P51,CHAR(160),""))),0),"OK",IFERROR(VALUE(TRIM(SUBSTITUTE(AF51,CHAR(160),""))),0)&lt;IFERROR(VALUE(TRIM(SUBSTITUTE(P51,CHAR(160),""))),0),"Montant instruit inférieur au montant présenté.",TRUE,""))</f>
        <v/>
      </c>
      <c r="AI51" s="180" t="str">
        <f t="shared" si="30"/>
        <v/>
      </c>
    </row>
    <row r="52" spans="1:35" ht="15" customHeight="1">
      <c r="A52" s="70">
        <v>43</v>
      </c>
      <c r="B52" s="784"/>
      <c r="C52" s="7"/>
      <c r="D52" s="11"/>
      <c r="E52" s="7"/>
      <c r="F52" s="314"/>
      <c r="G52" s="7"/>
      <c r="H52" s="323"/>
      <c r="I52" s="316"/>
      <c r="J52" s="317"/>
      <c r="K52" s="316"/>
      <c r="L52" s="316"/>
      <c r="M52" s="319"/>
      <c r="N52" s="7"/>
      <c r="O52" s="7"/>
      <c r="P52" s="320" t="str">
        <f t="shared" si="17"/>
        <v/>
      </c>
      <c r="Q52" s="324"/>
      <c r="R52" s="325" t="str">
        <f t="shared" si="18"/>
        <v/>
      </c>
      <c r="S52" s="322" t="str">
        <f t="shared" si="31"/>
        <v/>
      </c>
      <c r="T52" s="325" t="str">
        <f t="shared" si="19"/>
        <v/>
      </c>
      <c r="U52" s="325" t="str">
        <f t="shared" si="20"/>
        <v/>
      </c>
      <c r="V52" s="325" t="str">
        <f t="shared" si="21"/>
        <v/>
      </c>
      <c r="W52" s="37" t="str">
        <f t="shared" si="22"/>
        <v/>
      </c>
      <c r="X52" s="38" t="str">
        <f t="shared" si="23"/>
        <v/>
      </c>
      <c r="Y52" s="325" t="str">
        <f t="shared" si="24"/>
        <v/>
      </c>
      <c r="Z52" s="38" t="str">
        <f t="shared" si="25"/>
        <v/>
      </c>
      <c r="AA52" s="38" t="str">
        <f t="shared" si="26"/>
        <v/>
      </c>
      <c r="AB52" s="20" t="str">
        <f t="shared" si="27"/>
        <v/>
      </c>
      <c r="AC52" s="325" t="str">
        <f t="shared" si="28"/>
        <v/>
      </c>
      <c r="AD52" s="325" t="str">
        <f t="shared" si="29"/>
        <v/>
      </c>
      <c r="AE52" s="184"/>
      <c r="AF52" s="678" t="str">
        <f t="shared" si="15"/>
        <v/>
      </c>
      <c r="AG52" s="63"/>
      <c r="AH52" s="187" t="str" cm="1">
        <f t="array" ref="AH52">IF(OR(AF52="",P52=""),"",_xlfn.IFS(IFERROR(VALUE(TRIM(SUBSTITUTE(AF52,CHAR(160),""))),0)&gt;IFERROR(VALUE(TRIM(SUBSTITUTE(P52,CHAR(160),""))),0),"KO : Le montant retenu est supérieur au montant présenté. Merci de revoir la ligne de contributions ou plafonner son montant.",IFERROR(VALUE(TRIM(SUBSTITUTE(P52,CHAR(160),""))),0)=0,"",IFERROR(VALUE(TRIM(SUBSTITUTE(AF52,CHAR(160),""))),0)=IFERROR(VALUE(TRIM(SUBSTITUTE(P52,CHAR(160),""))),0),"OK",IFERROR(VALUE(TRIM(SUBSTITUTE(AF52,CHAR(160),""))),0)&lt;IFERROR(VALUE(TRIM(SUBSTITUTE(P52,CHAR(160),""))),0),"Montant instruit inférieur au montant présenté.",TRUE,""))</f>
        <v/>
      </c>
      <c r="AI52" s="180" t="str">
        <f t="shared" si="30"/>
        <v/>
      </c>
    </row>
    <row r="53" spans="1:35" ht="15" customHeight="1">
      <c r="A53" s="70">
        <v>44</v>
      </c>
      <c r="B53" s="784"/>
      <c r="C53" s="7"/>
      <c r="D53" s="11"/>
      <c r="E53" s="7"/>
      <c r="F53" s="314"/>
      <c r="G53" s="7"/>
      <c r="H53" s="323"/>
      <c r="I53" s="316"/>
      <c r="J53" s="317"/>
      <c r="K53" s="316"/>
      <c r="L53" s="316"/>
      <c r="M53" s="319"/>
      <c r="N53" s="7"/>
      <c r="O53" s="7"/>
      <c r="P53" s="320" t="str">
        <f t="shared" si="17"/>
        <v/>
      </c>
      <c r="Q53" s="324"/>
      <c r="R53" s="325" t="str">
        <f t="shared" si="18"/>
        <v/>
      </c>
      <c r="S53" s="322" t="str">
        <f t="shared" si="31"/>
        <v/>
      </c>
      <c r="T53" s="325" t="str">
        <f t="shared" si="19"/>
        <v/>
      </c>
      <c r="U53" s="325" t="str">
        <f t="shared" si="20"/>
        <v/>
      </c>
      <c r="V53" s="325" t="str">
        <f t="shared" si="21"/>
        <v/>
      </c>
      <c r="W53" s="37" t="str">
        <f t="shared" si="22"/>
        <v/>
      </c>
      <c r="X53" s="38" t="str">
        <f t="shared" si="23"/>
        <v/>
      </c>
      <c r="Y53" s="325" t="str">
        <f t="shared" si="24"/>
        <v/>
      </c>
      <c r="Z53" s="38" t="str">
        <f t="shared" si="25"/>
        <v/>
      </c>
      <c r="AA53" s="38" t="str">
        <f t="shared" si="26"/>
        <v/>
      </c>
      <c r="AB53" s="20" t="str">
        <f t="shared" si="27"/>
        <v/>
      </c>
      <c r="AC53" s="325" t="str">
        <f t="shared" si="28"/>
        <v/>
      </c>
      <c r="AD53" s="325" t="str">
        <f t="shared" si="29"/>
        <v/>
      </c>
      <c r="AE53" s="184"/>
      <c r="AF53" s="678" t="str">
        <f t="shared" si="15"/>
        <v/>
      </c>
      <c r="AG53" s="63"/>
      <c r="AH53" s="187" t="str" cm="1">
        <f t="array" ref="AH53">IF(OR(AF53="",P53=""),"",_xlfn.IFS(IFERROR(VALUE(TRIM(SUBSTITUTE(AF53,CHAR(160),""))),0)&gt;IFERROR(VALUE(TRIM(SUBSTITUTE(P53,CHAR(160),""))),0),"KO : Le montant retenu est supérieur au montant présenté. Merci de revoir la ligne de contributions ou plafonner son montant.",IFERROR(VALUE(TRIM(SUBSTITUTE(P53,CHAR(160),""))),0)=0,"",IFERROR(VALUE(TRIM(SUBSTITUTE(AF53,CHAR(160),""))),0)=IFERROR(VALUE(TRIM(SUBSTITUTE(P53,CHAR(160),""))),0),"OK",IFERROR(VALUE(TRIM(SUBSTITUTE(AF53,CHAR(160),""))),0)&lt;IFERROR(VALUE(TRIM(SUBSTITUTE(P53,CHAR(160),""))),0),"Montant instruit inférieur au montant présenté.",TRUE,""))</f>
        <v/>
      </c>
      <c r="AI53" s="180" t="str">
        <f t="shared" si="30"/>
        <v/>
      </c>
    </row>
    <row r="54" spans="1:35" ht="15" customHeight="1">
      <c r="A54" s="70">
        <v>45</v>
      </c>
      <c r="B54" s="784"/>
      <c r="C54" s="7"/>
      <c r="D54" s="11"/>
      <c r="E54" s="7"/>
      <c r="F54" s="314"/>
      <c r="G54" s="7"/>
      <c r="H54" s="323"/>
      <c r="I54" s="316"/>
      <c r="J54" s="317"/>
      <c r="K54" s="316"/>
      <c r="L54" s="316"/>
      <c r="M54" s="319"/>
      <c r="N54" s="7"/>
      <c r="O54" s="7"/>
      <c r="P54" s="320" t="str">
        <f t="shared" si="17"/>
        <v/>
      </c>
      <c r="Q54" s="324"/>
      <c r="R54" s="325" t="str">
        <f t="shared" si="18"/>
        <v/>
      </c>
      <c r="S54" s="322" t="str">
        <f t="shared" si="31"/>
        <v/>
      </c>
      <c r="T54" s="325" t="str">
        <f t="shared" si="19"/>
        <v/>
      </c>
      <c r="U54" s="325" t="str">
        <f t="shared" si="20"/>
        <v/>
      </c>
      <c r="V54" s="325" t="str">
        <f t="shared" si="21"/>
        <v/>
      </c>
      <c r="W54" s="37" t="str">
        <f t="shared" si="22"/>
        <v/>
      </c>
      <c r="X54" s="38" t="str">
        <f t="shared" si="23"/>
        <v/>
      </c>
      <c r="Y54" s="325" t="str">
        <f t="shared" si="24"/>
        <v/>
      </c>
      <c r="Z54" s="38" t="str">
        <f t="shared" si="25"/>
        <v/>
      </c>
      <c r="AA54" s="38" t="str">
        <f t="shared" si="26"/>
        <v/>
      </c>
      <c r="AB54" s="20" t="str">
        <f t="shared" si="27"/>
        <v/>
      </c>
      <c r="AC54" s="325" t="str">
        <f t="shared" si="28"/>
        <v/>
      </c>
      <c r="AD54" s="325" t="str">
        <f t="shared" si="29"/>
        <v/>
      </c>
      <c r="AE54" s="184"/>
      <c r="AF54" s="678" t="str">
        <f t="shared" si="15"/>
        <v/>
      </c>
      <c r="AG54" s="63"/>
      <c r="AH54" s="187" t="str" cm="1">
        <f t="array" ref="AH54">IF(OR(AF54="",P54=""),"",_xlfn.IFS(IFERROR(VALUE(TRIM(SUBSTITUTE(AF54,CHAR(160),""))),0)&gt;IFERROR(VALUE(TRIM(SUBSTITUTE(P54,CHAR(160),""))),0),"KO : Le montant retenu est supérieur au montant présenté. Merci de revoir la ligne de contributions ou plafonner son montant.",IFERROR(VALUE(TRIM(SUBSTITUTE(P54,CHAR(160),""))),0)=0,"",IFERROR(VALUE(TRIM(SUBSTITUTE(AF54,CHAR(160),""))),0)=IFERROR(VALUE(TRIM(SUBSTITUTE(P54,CHAR(160),""))),0),"OK",IFERROR(VALUE(TRIM(SUBSTITUTE(AF54,CHAR(160),""))),0)&lt;IFERROR(VALUE(TRIM(SUBSTITUTE(P54,CHAR(160),""))),0),"Montant instruit inférieur au montant présenté.",TRUE,""))</f>
        <v/>
      </c>
      <c r="AI54" s="180" t="str">
        <f t="shared" si="30"/>
        <v/>
      </c>
    </row>
    <row r="55" spans="1:35" ht="15" customHeight="1">
      <c r="A55" s="70">
        <v>46</v>
      </c>
      <c r="B55" s="784"/>
      <c r="C55" s="7"/>
      <c r="D55" s="11"/>
      <c r="E55" s="7"/>
      <c r="F55" s="314"/>
      <c r="G55" s="7"/>
      <c r="H55" s="323"/>
      <c r="I55" s="316"/>
      <c r="J55" s="317"/>
      <c r="K55" s="316"/>
      <c r="L55" s="316"/>
      <c r="M55" s="319"/>
      <c r="N55" s="7"/>
      <c r="O55" s="7"/>
      <c r="P55" s="320" t="str">
        <f t="shared" si="17"/>
        <v/>
      </c>
      <c r="Q55" s="324"/>
      <c r="R55" s="325" t="str">
        <f t="shared" si="18"/>
        <v/>
      </c>
      <c r="S55" s="322" t="str">
        <f t="shared" si="31"/>
        <v/>
      </c>
      <c r="T55" s="325" t="str">
        <f t="shared" si="19"/>
        <v/>
      </c>
      <c r="U55" s="325" t="str">
        <f t="shared" si="20"/>
        <v/>
      </c>
      <c r="V55" s="325" t="str">
        <f t="shared" si="21"/>
        <v/>
      </c>
      <c r="W55" s="37" t="str">
        <f t="shared" si="22"/>
        <v/>
      </c>
      <c r="X55" s="38" t="str">
        <f t="shared" si="23"/>
        <v/>
      </c>
      <c r="Y55" s="325" t="str">
        <f t="shared" si="24"/>
        <v/>
      </c>
      <c r="Z55" s="38" t="str">
        <f t="shared" si="25"/>
        <v/>
      </c>
      <c r="AA55" s="38" t="str">
        <f t="shared" si="26"/>
        <v/>
      </c>
      <c r="AB55" s="20" t="str">
        <f t="shared" si="27"/>
        <v/>
      </c>
      <c r="AC55" s="325" t="str">
        <f t="shared" si="28"/>
        <v/>
      </c>
      <c r="AD55" s="325" t="str">
        <f t="shared" si="29"/>
        <v/>
      </c>
      <c r="AE55" s="184"/>
      <c r="AF55" s="678" t="str">
        <f t="shared" si="15"/>
        <v/>
      </c>
      <c r="AG55" s="63"/>
      <c r="AH55" s="187" t="str" cm="1">
        <f t="array" ref="AH55">IF(OR(AF55="",P55=""),"",_xlfn.IFS(IFERROR(VALUE(TRIM(SUBSTITUTE(AF55,CHAR(160),""))),0)&gt;IFERROR(VALUE(TRIM(SUBSTITUTE(P55,CHAR(160),""))),0),"KO : Le montant retenu est supérieur au montant présenté. Merci de revoir la ligne de contributions ou plafonner son montant.",IFERROR(VALUE(TRIM(SUBSTITUTE(P55,CHAR(160),""))),0)=0,"",IFERROR(VALUE(TRIM(SUBSTITUTE(AF55,CHAR(160),""))),0)=IFERROR(VALUE(TRIM(SUBSTITUTE(P55,CHAR(160),""))),0),"OK",IFERROR(VALUE(TRIM(SUBSTITUTE(AF55,CHAR(160),""))),0)&lt;IFERROR(VALUE(TRIM(SUBSTITUTE(P55,CHAR(160),""))),0),"Montant instruit inférieur au montant présenté.",TRUE,""))</f>
        <v/>
      </c>
      <c r="AI55" s="180" t="str">
        <f t="shared" si="30"/>
        <v/>
      </c>
    </row>
    <row r="56" spans="1:35" ht="15" customHeight="1">
      <c r="A56" s="70">
        <v>47</v>
      </c>
      <c r="B56" s="784"/>
      <c r="C56" s="7"/>
      <c r="D56" s="11"/>
      <c r="E56" s="7"/>
      <c r="F56" s="314"/>
      <c r="G56" s="7"/>
      <c r="H56" s="323"/>
      <c r="I56" s="316"/>
      <c r="J56" s="317"/>
      <c r="K56" s="316"/>
      <c r="L56" s="316"/>
      <c r="M56" s="319"/>
      <c r="N56" s="7"/>
      <c r="O56" s="7"/>
      <c r="P56" s="320" t="str">
        <f t="shared" si="17"/>
        <v/>
      </c>
      <c r="Q56" s="324"/>
      <c r="R56" s="325" t="str">
        <f t="shared" si="18"/>
        <v/>
      </c>
      <c r="S56" s="322" t="str">
        <f t="shared" si="31"/>
        <v/>
      </c>
      <c r="T56" s="325" t="str">
        <f t="shared" si="19"/>
        <v/>
      </c>
      <c r="U56" s="325" t="str">
        <f t="shared" si="20"/>
        <v/>
      </c>
      <c r="V56" s="325" t="str">
        <f t="shared" si="21"/>
        <v/>
      </c>
      <c r="W56" s="37" t="str">
        <f t="shared" si="22"/>
        <v/>
      </c>
      <c r="X56" s="38" t="str">
        <f t="shared" si="23"/>
        <v/>
      </c>
      <c r="Y56" s="325" t="str">
        <f t="shared" si="24"/>
        <v/>
      </c>
      <c r="Z56" s="38" t="str">
        <f t="shared" si="25"/>
        <v/>
      </c>
      <c r="AA56" s="38" t="str">
        <f t="shared" si="26"/>
        <v/>
      </c>
      <c r="AB56" s="20" t="str">
        <f t="shared" si="27"/>
        <v/>
      </c>
      <c r="AC56" s="325" t="str">
        <f t="shared" si="28"/>
        <v/>
      </c>
      <c r="AD56" s="325" t="str">
        <f t="shared" si="29"/>
        <v/>
      </c>
      <c r="AE56" s="184"/>
      <c r="AF56" s="678" t="str">
        <f t="shared" si="15"/>
        <v/>
      </c>
      <c r="AG56" s="63"/>
      <c r="AH56" s="187" t="str" cm="1">
        <f t="array" ref="AH56">IF(OR(AF56="",P56=""),"",_xlfn.IFS(IFERROR(VALUE(TRIM(SUBSTITUTE(AF56,CHAR(160),""))),0)&gt;IFERROR(VALUE(TRIM(SUBSTITUTE(P56,CHAR(160),""))),0),"KO : Le montant retenu est supérieur au montant présenté. Merci de revoir la ligne de contributions ou plafonner son montant.",IFERROR(VALUE(TRIM(SUBSTITUTE(P56,CHAR(160),""))),0)=0,"",IFERROR(VALUE(TRIM(SUBSTITUTE(AF56,CHAR(160),""))),0)=IFERROR(VALUE(TRIM(SUBSTITUTE(P56,CHAR(160),""))),0),"OK",IFERROR(VALUE(TRIM(SUBSTITUTE(AF56,CHAR(160),""))),0)&lt;IFERROR(VALUE(TRIM(SUBSTITUTE(P56,CHAR(160),""))),0),"Montant instruit inférieur au montant présenté.",TRUE,""))</f>
        <v/>
      </c>
      <c r="AI56" s="180" t="str">
        <f t="shared" si="30"/>
        <v/>
      </c>
    </row>
    <row r="57" spans="1:35" ht="15" customHeight="1">
      <c r="A57" s="70">
        <v>48</v>
      </c>
      <c r="B57" s="784"/>
      <c r="C57" s="7"/>
      <c r="D57" s="11"/>
      <c r="E57" s="7"/>
      <c r="F57" s="314"/>
      <c r="G57" s="7"/>
      <c r="H57" s="323"/>
      <c r="I57" s="316"/>
      <c r="J57" s="317"/>
      <c r="K57" s="316"/>
      <c r="L57" s="316"/>
      <c r="M57" s="319"/>
      <c r="N57" s="7"/>
      <c r="O57" s="7"/>
      <c r="P57" s="320" t="str">
        <f t="shared" si="17"/>
        <v/>
      </c>
      <c r="Q57" s="324"/>
      <c r="R57" s="325" t="str">
        <f t="shared" si="18"/>
        <v/>
      </c>
      <c r="S57" s="322" t="str">
        <f t="shared" si="31"/>
        <v/>
      </c>
      <c r="T57" s="325" t="str">
        <f t="shared" si="19"/>
        <v/>
      </c>
      <c r="U57" s="325" t="str">
        <f t="shared" si="20"/>
        <v/>
      </c>
      <c r="V57" s="325" t="str">
        <f t="shared" si="21"/>
        <v/>
      </c>
      <c r="W57" s="37" t="str">
        <f t="shared" si="22"/>
        <v/>
      </c>
      <c r="X57" s="38" t="str">
        <f t="shared" si="23"/>
        <v/>
      </c>
      <c r="Y57" s="325" t="str">
        <f t="shared" si="24"/>
        <v/>
      </c>
      <c r="Z57" s="38" t="str">
        <f t="shared" si="25"/>
        <v/>
      </c>
      <c r="AA57" s="38" t="str">
        <f t="shared" si="26"/>
        <v/>
      </c>
      <c r="AB57" s="20" t="str">
        <f t="shared" si="27"/>
        <v/>
      </c>
      <c r="AC57" s="325" t="str">
        <f t="shared" si="28"/>
        <v/>
      </c>
      <c r="AD57" s="325" t="str">
        <f t="shared" si="29"/>
        <v/>
      </c>
      <c r="AE57" s="184"/>
      <c r="AF57" s="678" t="str">
        <f t="shared" si="15"/>
        <v/>
      </c>
      <c r="AG57" s="63"/>
      <c r="AH57" s="187" t="str" cm="1">
        <f t="array" ref="AH57">IF(OR(AF57="",P57=""),"",_xlfn.IFS(IFERROR(VALUE(TRIM(SUBSTITUTE(AF57,CHAR(160),""))),0)&gt;IFERROR(VALUE(TRIM(SUBSTITUTE(P57,CHAR(160),""))),0),"KO : Le montant retenu est supérieur au montant présenté. Merci de revoir la ligne de contributions ou plafonner son montant.",IFERROR(VALUE(TRIM(SUBSTITUTE(P57,CHAR(160),""))),0)=0,"",IFERROR(VALUE(TRIM(SUBSTITUTE(AF57,CHAR(160),""))),0)=IFERROR(VALUE(TRIM(SUBSTITUTE(P57,CHAR(160),""))),0),"OK",IFERROR(VALUE(TRIM(SUBSTITUTE(AF57,CHAR(160),""))),0)&lt;IFERROR(VALUE(TRIM(SUBSTITUTE(P57,CHAR(160),""))),0),"Montant instruit inférieur au montant présenté.",TRUE,""))</f>
        <v/>
      </c>
      <c r="AI57" s="180" t="str">
        <f t="shared" si="30"/>
        <v/>
      </c>
    </row>
    <row r="58" spans="1:35" ht="15" customHeight="1">
      <c r="A58" s="70">
        <v>49</v>
      </c>
      <c r="B58" s="784"/>
      <c r="C58" s="7"/>
      <c r="D58" s="11"/>
      <c r="E58" s="7"/>
      <c r="F58" s="314"/>
      <c r="G58" s="7"/>
      <c r="H58" s="323"/>
      <c r="I58" s="316"/>
      <c r="J58" s="317"/>
      <c r="K58" s="316"/>
      <c r="L58" s="316"/>
      <c r="M58" s="319"/>
      <c r="N58" s="7"/>
      <c r="O58" s="7"/>
      <c r="P58" s="320" t="str">
        <f t="shared" si="17"/>
        <v/>
      </c>
      <c r="Q58" s="324"/>
      <c r="R58" s="325" t="str">
        <f t="shared" si="18"/>
        <v/>
      </c>
      <c r="S58" s="322" t="str">
        <f t="shared" si="31"/>
        <v/>
      </c>
      <c r="T58" s="325" t="str">
        <f t="shared" si="19"/>
        <v/>
      </c>
      <c r="U58" s="325" t="str">
        <f t="shared" si="20"/>
        <v/>
      </c>
      <c r="V58" s="325" t="str">
        <f t="shared" si="21"/>
        <v/>
      </c>
      <c r="W58" s="37" t="str">
        <f t="shared" si="22"/>
        <v/>
      </c>
      <c r="X58" s="38" t="str">
        <f t="shared" si="23"/>
        <v/>
      </c>
      <c r="Y58" s="325" t="str">
        <f t="shared" si="24"/>
        <v/>
      </c>
      <c r="Z58" s="38" t="str">
        <f t="shared" si="25"/>
        <v/>
      </c>
      <c r="AA58" s="38" t="str">
        <f t="shared" si="26"/>
        <v/>
      </c>
      <c r="AB58" s="20" t="str">
        <f t="shared" si="27"/>
        <v/>
      </c>
      <c r="AC58" s="325" t="str">
        <f t="shared" si="28"/>
        <v/>
      </c>
      <c r="AD58" s="325" t="str">
        <f t="shared" si="29"/>
        <v/>
      </c>
      <c r="AE58" s="184"/>
      <c r="AF58" s="678" t="str">
        <f t="shared" si="15"/>
        <v/>
      </c>
      <c r="AG58" s="63"/>
      <c r="AH58" s="187" t="str" cm="1">
        <f t="array" ref="AH58">IF(OR(AF58="",P58=""),"",_xlfn.IFS(IFERROR(VALUE(TRIM(SUBSTITUTE(AF58,CHAR(160),""))),0)&gt;IFERROR(VALUE(TRIM(SUBSTITUTE(P58,CHAR(160),""))),0),"KO : Le montant retenu est supérieur au montant présenté. Merci de revoir la ligne de contributions ou plafonner son montant.",IFERROR(VALUE(TRIM(SUBSTITUTE(P58,CHAR(160),""))),0)=0,"",IFERROR(VALUE(TRIM(SUBSTITUTE(AF58,CHAR(160),""))),0)=IFERROR(VALUE(TRIM(SUBSTITUTE(P58,CHAR(160),""))),0),"OK",IFERROR(VALUE(TRIM(SUBSTITUTE(AF58,CHAR(160),""))),0)&lt;IFERROR(VALUE(TRIM(SUBSTITUTE(P58,CHAR(160),""))),0),"Montant instruit inférieur au montant présenté.",TRUE,""))</f>
        <v/>
      </c>
      <c r="AI58" s="180" t="str">
        <f t="shared" si="30"/>
        <v/>
      </c>
    </row>
    <row r="59" spans="1:35" ht="15" customHeight="1">
      <c r="A59" s="70">
        <v>50</v>
      </c>
      <c r="B59" s="784"/>
      <c r="C59" s="7"/>
      <c r="D59" s="11"/>
      <c r="E59" s="7"/>
      <c r="F59" s="314"/>
      <c r="G59" s="7"/>
      <c r="H59" s="323"/>
      <c r="I59" s="316"/>
      <c r="J59" s="317"/>
      <c r="K59" s="316"/>
      <c r="L59" s="316"/>
      <c r="M59" s="319"/>
      <c r="N59" s="7"/>
      <c r="O59" s="7"/>
      <c r="P59" s="320" t="str">
        <f t="shared" si="17"/>
        <v/>
      </c>
      <c r="Q59" s="324"/>
      <c r="R59" s="325" t="str">
        <f t="shared" si="18"/>
        <v/>
      </c>
      <c r="S59" s="322" t="str">
        <f t="shared" si="31"/>
        <v/>
      </c>
      <c r="T59" s="325" t="str">
        <f t="shared" si="19"/>
        <v/>
      </c>
      <c r="U59" s="325" t="str">
        <f t="shared" si="20"/>
        <v/>
      </c>
      <c r="V59" s="325" t="str">
        <f t="shared" si="21"/>
        <v/>
      </c>
      <c r="W59" s="37" t="str">
        <f t="shared" si="22"/>
        <v/>
      </c>
      <c r="X59" s="38" t="str">
        <f t="shared" si="23"/>
        <v/>
      </c>
      <c r="Y59" s="325" t="str">
        <f t="shared" si="24"/>
        <v/>
      </c>
      <c r="Z59" s="38" t="str">
        <f t="shared" si="25"/>
        <v/>
      </c>
      <c r="AA59" s="38" t="str">
        <f t="shared" si="26"/>
        <v/>
      </c>
      <c r="AB59" s="20" t="str">
        <f t="shared" si="27"/>
        <v/>
      </c>
      <c r="AC59" s="325" t="str">
        <f t="shared" si="28"/>
        <v/>
      </c>
      <c r="AD59" s="325" t="str">
        <f t="shared" si="29"/>
        <v/>
      </c>
      <c r="AE59" s="184"/>
      <c r="AF59" s="678" t="str">
        <f t="shared" si="15"/>
        <v/>
      </c>
      <c r="AG59" s="63"/>
      <c r="AH59" s="187" t="str" cm="1">
        <f t="array" ref="AH59">IF(OR(AF59="",P59=""),"",_xlfn.IFS(IFERROR(VALUE(TRIM(SUBSTITUTE(AF59,CHAR(160),""))),0)&gt;IFERROR(VALUE(TRIM(SUBSTITUTE(P59,CHAR(160),""))),0),"KO : Le montant retenu est supérieur au montant présenté. Merci de revoir la ligne de contributions ou plafonner son montant.",IFERROR(VALUE(TRIM(SUBSTITUTE(P59,CHAR(160),""))),0)=0,"",IFERROR(VALUE(TRIM(SUBSTITUTE(AF59,CHAR(160),""))),0)=IFERROR(VALUE(TRIM(SUBSTITUTE(P59,CHAR(160),""))),0),"OK",IFERROR(VALUE(TRIM(SUBSTITUTE(AF59,CHAR(160),""))),0)&lt;IFERROR(VALUE(TRIM(SUBSTITUTE(P59,CHAR(160),""))),0),"Montant instruit inférieur au montant présenté.",TRUE,""))</f>
        <v/>
      </c>
      <c r="AI59" s="180" t="str">
        <f t="shared" si="30"/>
        <v/>
      </c>
    </row>
    <row r="60" spans="1:35" ht="15" customHeight="1">
      <c r="A60" s="70">
        <v>51</v>
      </c>
      <c r="B60" s="784"/>
      <c r="C60" s="7"/>
      <c r="D60" s="11"/>
      <c r="E60" s="7"/>
      <c r="F60" s="314"/>
      <c r="G60" s="7"/>
      <c r="H60" s="323"/>
      <c r="I60" s="316"/>
      <c r="J60" s="317"/>
      <c r="K60" s="316"/>
      <c r="L60" s="316"/>
      <c r="M60" s="319"/>
      <c r="N60" s="7"/>
      <c r="O60" s="7"/>
      <c r="P60" s="320" t="str">
        <f t="shared" si="17"/>
        <v/>
      </c>
      <c r="Q60" s="324"/>
      <c r="R60" s="325" t="str">
        <f t="shared" si="18"/>
        <v/>
      </c>
      <c r="S60" s="322" t="str">
        <f t="shared" si="31"/>
        <v/>
      </c>
      <c r="T60" s="325" t="str">
        <f t="shared" si="19"/>
        <v/>
      </c>
      <c r="U60" s="325" t="str">
        <f t="shared" si="20"/>
        <v/>
      </c>
      <c r="V60" s="325" t="str">
        <f t="shared" si="21"/>
        <v/>
      </c>
      <c r="W60" s="37" t="str">
        <f t="shared" si="22"/>
        <v/>
      </c>
      <c r="X60" s="38" t="str">
        <f t="shared" si="23"/>
        <v/>
      </c>
      <c r="Y60" s="325" t="str">
        <f t="shared" si="24"/>
        <v/>
      </c>
      <c r="Z60" s="38" t="str">
        <f t="shared" si="25"/>
        <v/>
      </c>
      <c r="AA60" s="38" t="str">
        <f t="shared" si="26"/>
        <v/>
      </c>
      <c r="AB60" s="20" t="str">
        <f t="shared" si="27"/>
        <v/>
      </c>
      <c r="AC60" s="325" t="str">
        <f t="shared" si="28"/>
        <v/>
      </c>
      <c r="AD60" s="325" t="str">
        <f t="shared" si="29"/>
        <v/>
      </c>
      <c r="AE60" s="184"/>
      <c r="AF60" s="678" t="str">
        <f t="shared" si="15"/>
        <v/>
      </c>
      <c r="AG60" s="63"/>
      <c r="AH60" s="187" t="str" cm="1">
        <f t="array" ref="AH60">IF(OR(AF60="",P60=""),"",_xlfn.IFS(IFERROR(VALUE(TRIM(SUBSTITUTE(AF60,CHAR(160),""))),0)&gt;IFERROR(VALUE(TRIM(SUBSTITUTE(P60,CHAR(160),""))),0),"KO : Le montant retenu est supérieur au montant présenté. Merci de revoir la ligne de contributions ou plafonner son montant.",IFERROR(VALUE(TRIM(SUBSTITUTE(P60,CHAR(160),""))),0)=0,"",IFERROR(VALUE(TRIM(SUBSTITUTE(AF60,CHAR(160),""))),0)=IFERROR(VALUE(TRIM(SUBSTITUTE(P60,CHAR(160),""))),0),"OK",IFERROR(VALUE(TRIM(SUBSTITUTE(AF60,CHAR(160),""))),0)&lt;IFERROR(VALUE(TRIM(SUBSTITUTE(P60,CHAR(160),""))),0),"Montant instruit inférieur au montant présenté.",TRUE,""))</f>
        <v/>
      </c>
      <c r="AI60" s="180" t="str">
        <f t="shared" si="30"/>
        <v/>
      </c>
    </row>
    <row r="61" spans="1:35" ht="15" customHeight="1">
      <c r="A61" s="70">
        <v>52</v>
      </c>
      <c r="B61" s="784"/>
      <c r="C61" s="7"/>
      <c r="D61" s="11"/>
      <c r="E61" s="7"/>
      <c r="F61" s="314"/>
      <c r="G61" s="7"/>
      <c r="H61" s="323"/>
      <c r="I61" s="316"/>
      <c r="J61" s="317"/>
      <c r="K61" s="316"/>
      <c r="L61" s="316"/>
      <c r="M61" s="319"/>
      <c r="N61" s="7"/>
      <c r="O61" s="7"/>
      <c r="P61" s="320" t="str">
        <f t="shared" si="17"/>
        <v/>
      </c>
      <c r="Q61" s="324"/>
      <c r="R61" s="325" t="str">
        <f t="shared" si="18"/>
        <v/>
      </c>
      <c r="S61" s="322" t="str">
        <f t="shared" si="31"/>
        <v/>
      </c>
      <c r="T61" s="325" t="str">
        <f t="shared" si="19"/>
        <v/>
      </c>
      <c r="U61" s="325" t="str">
        <f t="shared" si="20"/>
        <v/>
      </c>
      <c r="V61" s="325" t="str">
        <f t="shared" si="21"/>
        <v/>
      </c>
      <c r="W61" s="37" t="str">
        <f t="shared" si="22"/>
        <v/>
      </c>
      <c r="X61" s="38" t="str">
        <f t="shared" si="23"/>
        <v/>
      </c>
      <c r="Y61" s="325" t="str">
        <f t="shared" si="24"/>
        <v/>
      </c>
      <c r="Z61" s="38" t="str">
        <f t="shared" si="25"/>
        <v/>
      </c>
      <c r="AA61" s="38" t="str">
        <f t="shared" si="26"/>
        <v/>
      </c>
      <c r="AB61" s="20" t="str">
        <f t="shared" si="27"/>
        <v/>
      </c>
      <c r="AC61" s="325" t="str">
        <f t="shared" si="28"/>
        <v/>
      </c>
      <c r="AD61" s="325" t="str">
        <f t="shared" si="29"/>
        <v/>
      </c>
      <c r="AE61" s="184"/>
      <c r="AF61" s="678" t="str">
        <f t="shared" si="15"/>
        <v/>
      </c>
      <c r="AG61" s="63"/>
      <c r="AH61" s="187" t="str" cm="1">
        <f t="array" ref="AH61">IF(OR(AF61="",P61=""),"",_xlfn.IFS(IFERROR(VALUE(TRIM(SUBSTITUTE(AF61,CHAR(160),""))),0)&gt;IFERROR(VALUE(TRIM(SUBSTITUTE(P61,CHAR(160),""))),0),"KO : Le montant retenu est supérieur au montant présenté. Merci de revoir la ligne de contributions ou plafonner son montant.",IFERROR(VALUE(TRIM(SUBSTITUTE(P61,CHAR(160),""))),0)=0,"",IFERROR(VALUE(TRIM(SUBSTITUTE(AF61,CHAR(160),""))),0)=IFERROR(VALUE(TRIM(SUBSTITUTE(P61,CHAR(160),""))),0),"OK",IFERROR(VALUE(TRIM(SUBSTITUTE(AF61,CHAR(160),""))),0)&lt;IFERROR(VALUE(TRIM(SUBSTITUTE(P61,CHAR(160),""))),0),"Montant instruit inférieur au montant présenté.",TRUE,""))</f>
        <v/>
      </c>
      <c r="AI61" s="180" t="str">
        <f t="shared" si="30"/>
        <v/>
      </c>
    </row>
    <row r="62" spans="1:35" ht="15" customHeight="1">
      <c r="A62" s="70">
        <v>53</v>
      </c>
      <c r="B62" s="784"/>
      <c r="C62" s="7"/>
      <c r="D62" s="11"/>
      <c r="E62" s="7"/>
      <c r="F62" s="314"/>
      <c r="G62" s="7"/>
      <c r="H62" s="323"/>
      <c r="I62" s="316"/>
      <c r="J62" s="317"/>
      <c r="K62" s="316"/>
      <c r="L62" s="316"/>
      <c r="M62" s="319"/>
      <c r="N62" s="7"/>
      <c r="O62" s="7"/>
      <c r="P62" s="320" t="str">
        <f t="shared" si="17"/>
        <v/>
      </c>
      <c r="Q62" s="324"/>
      <c r="R62" s="325" t="str">
        <f t="shared" si="18"/>
        <v/>
      </c>
      <c r="S62" s="322" t="str">
        <f t="shared" si="31"/>
        <v/>
      </c>
      <c r="T62" s="325" t="str">
        <f t="shared" si="19"/>
        <v/>
      </c>
      <c r="U62" s="325" t="str">
        <f t="shared" si="20"/>
        <v/>
      </c>
      <c r="V62" s="325" t="str">
        <f t="shared" si="21"/>
        <v/>
      </c>
      <c r="W62" s="37" t="str">
        <f t="shared" si="22"/>
        <v/>
      </c>
      <c r="X62" s="38" t="str">
        <f t="shared" si="23"/>
        <v/>
      </c>
      <c r="Y62" s="325" t="str">
        <f t="shared" si="24"/>
        <v/>
      </c>
      <c r="Z62" s="38" t="str">
        <f t="shared" si="25"/>
        <v/>
      </c>
      <c r="AA62" s="38" t="str">
        <f t="shared" si="26"/>
        <v/>
      </c>
      <c r="AB62" s="20" t="str">
        <f t="shared" si="27"/>
        <v/>
      </c>
      <c r="AC62" s="325" t="str">
        <f t="shared" si="28"/>
        <v/>
      </c>
      <c r="AD62" s="325" t="str">
        <f t="shared" si="29"/>
        <v/>
      </c>
      <c r="AE62" s="184"/>
      <c r="AF62" s="678" t="str">
        <f t="shared" si="15"/>
        <v/>
      </c>
      <c r="AG62" s="63"/>
      <c r="AH62" s="187" t="str" cm="1">
        <f t="array" ref="AH62">IF(OR(AF62="",P62=""),"",_xlfn.IFS(IFERROR(VALUE(TRIM(SUBSTITUTE(AF62,CHAR(160),""))),0)&gt;IFERROR(VALUE(TRIM(SUBSTITUTE(P62,CHAR(160),""))),0),"KO : Le montant retenu est supérieur au montant présenté. Merci de revoir la ligne de contributions ou plafonner son montant.",IFERROR(VALUE(TRIM(SUBSTITUTE(P62,CHAR(160),""))),0)=0,"",IFERROR(VALUE(TRIM(SUBSTITUTE(AF62,CHAR(160),""))),0)=IFERROR(VALUE(TRIM(SUBSTITUTE(P62,CHAR(160),""))),0),"OK",IFERROR(VALUE(TRIM(SUBSTITUTE(AF62,CHAR(160),""))),0)&lt;IFERROR(VALUE(TRIM(SUBSTITUTE(P62,CHAR(160),""))),0),"Montant instruit inférieur au montant présenté.",TRUE,""))</f>
        <v/>
      </c>
      <c r="AI62" s="180" t="str">
        <f t="shared" si="30"/>
        <v/>
      </c>
    </row>
    <row r="63" spans="1:35" ht="15" customHeight="1">
      <c r="A63" s="70">
        <v>54</v>
      </c>
      <c r="B63" s="784"/>
      <c r="C63" s="7"/>
      <c r="D63" s="11"/>
      <c r="E63" s="7"/>
      <c r="F63" s="314"/>
      <c r="G63" s="7"/>
      <c r="H63" s="323"/>
      <c r="I63" s="316"/>
      <c r="J63" s="317"/>
      <c r="K63" s="316"/>
      <c r="L63" s="316"/>
      <c r="M63" s="319"/>
      <c r="N63" s="7"/>
      <c r="O63" s="7"/>
      <c r="P63" s="320" t="str">
        <f t="shared" si="17"/>
        <v/>
      </c>
      <c r="Q63" s="324"/>
      <c r="R63" s="325" t="str">
        <f t="shared" si="18"/>
        <v/>
      </c>
      <c r="S63" s="322" t="str">
        <f t="shared" si="31"/>
        <v/>
      </c>
      <c r="T63" s="325" t="str">
        <f t="shared" si="19"/>
        <v/>
      </c>
      <c r="U63" s="325" t="str">
        <f t="shared" si="20"/>
        <v/>
      </c>
      <c r="V63" s="325" t="str">
        <f t="shared" si="21"/>
        <v/>
      </c>
      <c r="W63" s="37" t="str">
        <f t="shared" si="22"/>
        <v/>
      </c>
      <c r="X63" s="38" t="str">
        <f t="shared" si="23"/>
        <v/>
      </c>
      <c r="Y63" s="325" t="str">
        <f t="shared" si="24"/>
        <v/>
      </c>
      <c r="Z63" s="38" t="str">
        <f t="shared" si="25"/>
        <v/>
      </c>
      <c r="AA63" s="38" t="str">
        <f t="shared" si="26"/>
        <v/>
      </c>
      <c r="AB63" s="20" t="str">
        <f t="shared" si="27"/>
        <v/>
      </c>
      <c r="AC63" s="325" t="str">
        <f t="shared" si="28"/>
        <v/>
      </c>
      <c r="AD63" s="325" t="str">
        <f t="shared" si="29"/>
        <v/>
      </c>
      <c r="AE63" s="184"/>
      <c r="AF63" s="678" t="str">
        <f t="shared" si="15"/>
        <v/>
      </c>
      <c r="AG63" s="63"/>
      <c r="AH63" s="187" t="str" cm="1">
        <f t="array" ref="AH63">IF(OR(AF63="",P63=""),"",_xlfn.IFS(IFERROR(VALUE(TRIM(SUBSTITUTE(AF63,CHAR(160),""))),0)&gt;IFERROR(VALUE(TRIM(SUBSTITUTE(P63,CHAR(160),""))),0),"KO : Le montant retenu est supérieur au montant présenté. Merci de revoir la ligne de contributions ou plafonner son montant.",IFERROR(VALUE(TRIM(SUBSTITUTE(P63,CHAR(160),""))),0)=0,"",IFERROR(VALUE(TRIM(SUBSTITUTE(AF63,CHAR(160),""))),0)=IFERROR(VALUE(TRIM(SUBSTITUTE(P63,CHAR(160),""))),0),"OK",IFERROR(VALUE(TRIM(SUBSTITUTE(AF63,CHAR(160),""))),0)&lt;IFERROR(VALUE(TRIM(SUBSTITUTE(P63,CHAR(160),""))),0),"Montant instruit inférieur au montant présenté.",TRUE,""))</f>
        <v/>
      </c>
      <c r="AI63" s="180" t="str">
        <f t="shared" si="30"/>
        <v/>
      </c>
    </row>
    <row r="64" spans="1:35" ht="15" customHeight="1">
      <c r="A64" s="70">
        <v>55</v>
      </c>
      <c r="B64" s="784"/>
      <c r="C64" s="7"/>
      <c r="D64" s="11"/>
      <c r="E64" s="7"/>
      <c r="F64" s="314"/>
      <c r="G64" s="7"/>
      <c r="H64" s="323"/>
      <c r="I64" s="316"/>
      <c r="J64" s="317"/>
      <c r="K64" s="316"/>
      <c r="L64" s="316"/>
      <c r="M64" s="319"/>
      <c r="N64" s="7"/>
      <c r="O64" s="7"/>
      <c r="P64" s="320" t="str">
        <f t="shared" si="17"/>
        <v/>
      </c>
      <c r="Q64" s="324"/>
      <c r="R64" s="325" t="str">
        <f t="shared" si="18"/>
        <v/>
      </c>
      <c r="S64" s="322" t="str">
        <f t="shared" si="31"/>
        <v/>
      </c>
      <c r="T64" s="325" t="str">
        <f t="shared" si="19"/>
        <v/>
      </c>
      <c r="U64" s="325" t="str">
        <f t="shared" si="20"/>
        <v/>
      </c>
      <c r="V64" s="325" t="str">
        <f t="shared" si="21"/>
        <v/>
      </c>
      <c r="W64" s="37" t="str">
        <f t="shared" si="22"/>
        <v/>
      </c>
      <c r="X64" s="38" t="str">
        <f t="shared" si="23"/>
        <v/>
      </c>
      <c r="Y64" s="325" t="str">
        <f t="shared" si="24"/>
        <v/>
      </c>
      <c r="Z64" s="38" t="str">
        <f t="shared" si="25"/>
        <v/>
      </c>
      <c r="AA64" s="38" t="str">
        <f t="shared" si="26"/>
        <v/>
      </c>
      <c r="AB64" s="20" t="str">
        <f t="shared" si="27"/>
        <v/>
      </c>
      <c r="AC64" s="325" t="str">
        <f t="shared" si="28"/>
        <v/>
      </c>
      <c r="AD64" s="325" t="str">
        <f t="shared" si="29"/>
        <v/>
      </c>
      <c r="AE64" s="184"/>
      <c r="AF64" s="678" t="str">
        <f t="shared" si="15"/>
        <v/>
      </c>
      <c r="AG64" s="63"/>
      <c r="AH64" s="187" t="str" cm="1">
        <f t="array" ref="AH64">IF(OR(AF64="",P64=""),"",_xlfn.IFS(IFERROR(VALUE(TRIM(SUBSTITUTE(AF64,CHAR(160),""))),0)&gt;IFERROR(VALUE(TRIM(SUBSTITUTE(P64,CHAR(160),""))),0),"KO : Le montant retenu est supérieur au montant présenté. Merci de revoir la ligne de contributions ou plafonner son montant.",IFERROR(VALUE(TRIM(SUBSTITUTE(P64,CHAR(160),""))),0)=0,"",IFERROR(VALUE(TRIM(SUBSTITUTE(AF64,CHAR(160),""))),0)=IFERROR(VALUE(TRIM(SUBSTITUTE(P64,CHAR(160),""))),0),"OK",IFERROR(VALUE(TRIM(SUBSTITUTE(AF64,CHAR(160),""))),0)&lt;IFERROR(VALUE(TRIM(SUBSTITUTE(P64,CHAR(160),""))),0),"Montant instruit inférieur au montant présenté.",TRUE,""))</f>
        <v/>
      </c>
      <c r="AI64" s="180" t="str">
        <f t="shared" si="30"/>
        <v/>
      </c>
    </row>
    <row r="65" spans="1:35" ht="15" customHeight="1">
      <c r="A65" s="70">
        <v>56</v>
      </c>
      <c r="B65" s="784"/>
      <c r="C65" s="7"/>
      <c r="D65" s="11"/>
      <c r="E65" s="7"/>
      <c r="F65" s="314"/>
      <c r="G65" s="7"/>
      <c r="H65" s="323"/>
      <c r="I65" s="316"/>
      <c r="J65" s="317"/>
      <c r="K65" s="316"/>
      <c r="L65" s="316"/>
      <c r="M65" s="319"/>
      <c r="N65" s="7"/>
      <c r="O65" s="7"/>
      <c r="P65" s="320" t="str">
        <f t="shared" si="17"/>
        <v/>
      </c>
      <c r="Q65" s="324"/>
      <c r="R65" s="325" t="str">
        <f t="shared" si="18"/>
        <v/>
      </c>
      <c r="S65" s="322" t="str">
        <f t="shared" si="31"/>
        <v/>
      </c>
      <c r="T65" s="325" t="str">
        <f t="shared" si="19"/>
        <v/>
      </c>
      <c r="U65" s="325" t="str">
        <f t="shared" si="20"/>
        <v/>
      </c>
      <c r="V65" s="325" t="str">
        <f t="shared" si="21"/>
        <v/>
      </c>
      <c r="W65" s="37" t="str">
        <f t="shared" si="22"/>
        <v/>
      </c>
      <c r="X65" s="38" t="str">
        <f t="shared" si="23"/>
        <v/>
      </c>
      <c r="Y65" s="325" t="str">
        <f t="shared" si="24"/>
        <v/>
      </c>
      <c r="Z65" s="38" t="str">
        <f t="shared" si="25"/>
        <v/>
      </c>
      <c r="AA65" s="38" t="str">
        <f t="shared" si="26"/>
        <v/>
      </c>
      <c r="AB65" s="20" t="str">
        <f t="shared" si="27"/>
        <v/>
      </c>
      <c r="AC65" s="325" t="str">
        <f t="shared" si="28"/>
        <v/>
      </c>
      <c r="AD65" s="325" t="str">
        <f t="shared" si="29"/>
        <v/>
      </c>
      <c r="AE65" s="184"/>
      <c r="AF65" s="678" t="str">
        <f t="shared" si="15"/>
        <v/>
      </c>
      <c r="AG65" s="63"/>
      <c r="AH65" s="187" t="str" cm="1">
        <f t="array" ref="AH65">IF(OR(AF65="",P65=""),"",_xlfn.IFS(IFERROR(VALUE(TRIM(SUBSTITUTE(AF65,CHAR(160),""))),0)&gt;IFERROR(VALUE(TRIM(SUBSTITUTE(P65,CHAR(160),""))),0),"KO : Le montant retenu est supérieur au montant présenté. Merci de revoir la ligne de contributions ou plafonner son montant.",IFERROR(VALUE(TRIM(SUBSTITUTE(P65,CHAR(160),""))),0)=0,"",IFERROR(VALUE(TRIM(SUBSTITUTE(AF65,CHAR(160),""))),0)=IFERROR(VALUE(TRIM(SUBSTITUTE(P65,CHAR(160),""))),0),"OK",IFERROR(VALUE(TRIM(SUBSTITUTE(AF65,CHAR(160),""))),0)&lt;IFERROR(VALUE(TRIM(SUBSTITUTE(P65,CHAR(160),""))),0),"Montant instruit inférieur au montant présenté.",TRUE,""))</f>
        <v/>
      </c>
      <c r="AI65" s="180" t="str">
        <f t="shared" si="30"/>
        <v/>
      </c>
    </row>
    <row r="66" spans="1:35" ht="15" customHeight="1">
      <c r="A66" s="70">
        <v>57</v>
      </c>
      <c r="B66" s="784"/>
      <c r="C66" s="7"/>
      <c r="D66" s="11"/>
      <c r="E66" s="7"/>
      <c r="F66" s="314"/>
      <c r="G66" s="7"/>
      <c r="H66" s="323"/>
      <c r="I66" s="316"/>
      <c r="J66" s="317"/>
      <c r="K66" s="316"/>
      <c r="L66" s="316"/>
      <c r="M66" s="319"/>
      <c r="N66" s="7"/>
      <c r="O66" s="7"/>
      <c r="P66" s="320" t="str">
        <f t="shared" si="17"/>
        <v/>
      </c>
      <c r="Q66" s="324"/>
      <c r="R66" s="325" t="str">
        <f t="shared" si="18"/>
        <v/>
      </c>
      <c r="S66" s="322" t="str">
        <f t="shared" si="31"/>
        <v/>
      </c>
      <c r="T66" s="325" t="str">
        <f t="shared" si="19"/>
        <v/>
      </c>
      <c r="U66" s="325" t="str">
        <f t="shared" si="20"/>
        <v/>
      </c>
      <c r="V66" s="325" t="str">
        <f t="shared" si="21"/>
        <v/>
      </c>
      <c r="W66" s="37" t="str">
        <f t="shared" si="22"/>
        <v/>
      </c>
      <c r="X66" s="38" t="str">
        <f t="shared" si="23"/>
        <v/>
      </c>
      <c r="Y66" s="325" t="str">
        <f t="shared" si="24"/>
        <v/>
      </c>
      <c r="Z66" s="38" t="str">
        <f t="shared" si="25"/>
        <v/>
      </c>
      <c r="AA66" s="38" t="str">
        <f t="shared" si="26"/>
        <v/>
      </c>
      <c r="AB66" s="20" t="str">
        <f t="shared" si="27"/>
        <v/>
      </c>
      <c r="AC66" s="325" t="str">
        <f t="shared" si="28"/>
        <v/>
      </c>
      <c r="AD66" s="325" t="str">
        <f t="shared" si="29"/>
        <v/>
      </c>
      <c r="AE66" s="184"/>
      <c r="AF66" s="678" t="str">
        <f t="shared" si="15"/>
        <v/>
      </c>
      <c r="AG66" s="63"/>
      <c r="AH66" s="187" t="str" cm="1">
        <f t="array" ref="AH66">IF(OR(AF66="",P66=""),"",_xlfn.IFS(IFERROR(VALUE(TRIM(SUBSTITUTE(AF66,CHAR(160),""))),0)&gt;IFERROR(VALUE(TRIM(SUBSTITUTE(P66,CHAR(160),""))),0),"KO : Le montant retenu est supérieur au montant présenté. Merci de revoir la ligne de contributions ou plafonner son montant.",IFERROR(VALUE(TRIM(SUBSTITUTE(P66,CHAR(160),""))),0)=0,"",IFERROR(VALUE(TRIM(SUBSTITUTE(AF66,CHAR(160),""))),0)=IFERROR(VALUE(TRIM(SUBSTITUTE(P66,CHAR(160),""))),0),"OK",IFERROR(VALUE(TRIM(SUBSTITUTE(AF66,CHAR(160),""))),0)&lt;IFERROR(VALUE(TRIM(SUBSTITUTE(P66,CHAR(160),""))),0),"Montant instruit inférieur au montant présenté.",TRUE,""))</f>
        <v/>
      </c>
      <c r="AI66" s="180" t="str">
        <f t="shared" si="30"/>
        <v/>
      </c>
    </row>
    <row r="67" spans="1:35" ht="15" customHeight="1">
      <c r="A67" s="70">
        <v>58</v>
      </c>
      <c r="B67" s="784"/>
      <c r="C67" s="7"/>
      <c r="D67" s="11"/>
      <c r="E67" s="7"/>
      <c r="F67" s="314"/>
      <c r="G67" s="7"/>
      <c r="H67" s="323"/>
      <c r="I67" s="316"/>
      <c r="J67" s="317"/>
      <c r="K67" s="316"/>
      <c r="L67" s="316"/>
      <c r="M67" s="319"/>
      <c r="N67" s="7"/>
      <c r="O67" s="7"/>
      <c r="P67" s="320" t="str">
        <f t="shared" si="17"/>
        <v/>
      </c>
      <c r="Q67" s="324"/>
      <c r="R67" s="325" t="str">
        <f t="shared" si="18"/>
        <v/>
      </c>
      <c r="S67" s="322" t="str">
        <f t="shared" si="31"/>
        <v/>
      </c>
      <c r="T67" s="325" t="str">
        <f t="shared" si="19"/>
        <v/>
      </c>
      <c r="U67" s="325" t="str">
        <f t="shared" si="20"/>
        <v/>
      </c>
      <c r="V67" s="325" t="str">
        <f t="shared" si="21"/>
        <v/>
      </c>
      <c r="W67" s="37" t="str">
        <f t="shared" si="22"/>
        <v/>
      </c>
      <c r="X67" s="38" t="str">
        <f t="shared" si="23"/>
        <v/>
      </c>
      <c r="Y67" s="325" t="str">
        <f t="shared" si="24"/>
        <v/>
      </c>
      <c r="Z67" s="38" t="str">
        <f t="shared" si="25"/>
        <v/>
      </c>
      <c r="AA67" s="38" t="str">
        <f t="shared" si="26"/>
        <v/>
      </c>
      <c r="AB67" s="20" t="str">
        <f t="shared" si="27"/>
        <v/>
      </c>
      <c r="AC67" s="325" t="str">
        <f t="shared" si="28"/>
        <v/>
      </c>
      <c r="AD67" s="325" t="str">
        <f t="shared" si="29"/>
        <v/>
      </c>
      <c r="AE67" s="184"/>
      <c r="AF67" s="678" t="str">
        <f t="shared" si="15"/>
        <v/>
      </c>
      <c r="AG67" s="63"/>
      <c r="AH67" s="187" t="str" cm="1">
        <f t="array" ref="AH67">IF(OR(AF67="",P67=""),"",_xlfn.IFS(IFERROR(VALUE(TRIM(SUBSTITUTE(AF67,CHAR(160),""))),0)&gt;IFERROR(VALUE(TRIM(SUBSTITUTE(P67,CHAR(160),""))),0),"KO : Le montant retenu est supérieur au montant présenté. Merci de revoir la ligne de contributions ou plafonner son montant.",IFERROR(VALUE(TRIM(SUBSTITUTE(P67,CHAR(160),""))),0)=0,"",IFERROR(VALUE(TRIM(SUBSTITUTE(AF67,CHAR(160),""))),0)=IFERROR(VALUE(TRIM(SUBSTITUTE(P67,CHAR(160),""))),0),"OK",IFERROR(VALUE(TRIM(SUBSTITUTE(AF67,CHAR(160),""))),0)&lt;IFERROR(VALUE(TRIM(SUBSTITUTE(P67,CHAR(160),""))),0),"Montant instruit inférieur au montant présenté.",TRUE,""))</f>
        <v/>
      </c>
      <c r="AI67" s="180" t="str">
        <f t="shared" si="30"/>
        <v/>
      </c>
    </row>
    <row r="68" spans="1:35" ht="15" customHeight="1">
      <c r="A68" s="70">
        <v>59</v>
      </c>
      <c r="B68" s="784"/>
      <c r="C68" s="7"/>
      <c r="D68" s="11"/>
      <c r="E68" s="7"/>
      <c r="F68" s="314"/>
      <c r="G68" s="7"/>
      <c r="H68" s="323"/>
      <c r="I68" s="316"/>
      <c r="J68" s="317"/>
      <c r="K68" s="316"/>
      <c r="L68" s="316"/>
      <c r="M68" s="319"/>
      <c r="N68" s="7"/>
      <c r="O68" s="7"/>
      <c r="P68" s="320" t="str">
        <f t="shared" si="17"/>
        <v/>
      </c>
      <c r="Q68" s="324"/>
      <c r="R68" s="325" t="str">
        <f t="shared" si="18"/>
        <v/>
      </c>
      <c r="S68" s="322" t="str">
        <f t="shared" si="31"/>
        <v/>
      </c>
      <c r="T68" s="325" t="str">
        <f t="shared" si="19"/>
        <v/>
      </c>
      <c r="U68" s="325" t="str">
        <f t="shared" si="20"/>
        <v/>
      </c>
      <c r="V68" s="325" t="str">
        <f t="shared" si="21"/>
        <v/>
      </c>
      <c r="W68" s="37" t="str">
        <f t="shared" si="22"/>
        <v/>
      </c>
      <c r="X68" s="38" t="str">
        <f t="shared" si="23"/>
        <v/>
      </c>
      <c r="Y68" s="325" t="str">
        <f t="shared" si="24"/>
        <v/>
      </c>
      <c r="Z68" s="38" t="str">
        <f t="shared" si="25"/>
        <v/>
      </c>
      <c r="AA68" s="38" t="str">
        <f t="shared" si="26"/>
        <v/>
      </c>
      <c r="AB68" s="20" t="str">
        <f t="shared" si="27"/>
        <v/>
      </c>
      <c r="AC68" s="325" t="str">
        <f t="shared" si="28"/>
        <v/>
      </c>
      <c r="AD68" s="325" t="str">
        <f t="shared" si="29"/>
        <v/>
      </c>
      <c r="AE68" s="184"/>
      <c r="AF68" s="678" t="str">
        <f t="shared" si="15"/>
        <v/>
      </c>
      <c r="AG68" s="63"/>
      <c r="AH68" s="187" t="str" cm="1">
        <f t="array" ref="AH68">IF(OR(AF68="",P68=""),"",_xlfn.IFS(IFERROR(VALUE(TRIM(SUBSTITUTE(AF68,CHAR(160),""))),0)&gt;IFERROR(VALUE(TRIM(SUBSTITUTE(P68,CHAR(160),""))),0),"KO : Le montant retenu est supérieur au montant présenté. Merci de revoir la ligne de contributions ou plafonner son montant.",IFERROR(VALUE(TRIM(SUBSTITUTE(P68,CHAR(160),""))),0)=0,"",IFERROR(VALUE(TRIM(SUBSTITUTE(AF68,CHAR(160),""))),0)=IFERROR(VALUE(TRIM(SUBSTITUTE(P68,CHAR(160),""))),0),"OK",IFERROR(VALUE(TRIM(SUBSTITUTE(AF68,CHAR(160),""))),0)&lt;IFERROR(VALUE(TRIM(SUBSTITUTE(P68,CHAR(160),""))),0),"Montant instruit inférieur au montant présenté.",TRUE,""))</f>
        <v/>
      </c>
      <c r="AI68" s="180" t="str">
        <f t="shared" si="30"/>
        <v/>
      </c>
    </row>
    <row r="69" spans="1:35" ht="15" customHeight="1">
      <c r="A69" s="70">
        <v>60</v>
      </c>
      <c r="B69" s="784"/>
      <c r="C69" s="7"/>
      <c r="D69" s="11"/>
      <c r="E69" s="7"/>
      <c r="F69" s="314"/>
      <c r="G69" s="7"/>
      <c r="H69" s="323"/>
      <c r="I69" s="316"/>
      <c r="J69" s="317"/>
      <c r="K69" s="316"/>
      <c r="L69" s="316"/>
      <c r="M69" s="319"/>
      <c r="N69" s="7"/>
      <c r="O69" s="7"/>
      <c r="P69" s="320" t="str">
        <f t="shared" si="17"/>
        <v/>
      </c>
      <c r="Q69" s="324"/>
      <c r="R69" s="325" t="str">
        <f t="shared" si="18"/>
        <v/>
      </c>
      <c r="S69" s="322" t="str">
        <f t="shared" si="31"/>
        <v/>
      </c>
      <c r="T69" s="325" t="str">
        <f t="shared" si="19"/>
        <v/>
      </c>
      <c r="U69" s="325" t="str">
        <f t="shared" si="20"/>
        <v/>
      </c>
      <c r="V69" s="325" t="str">
        <f t="shared" si="21"/>
        <v/>
      </c>
      <c r="W69" s="37" t="str">
        <f t="shared" si="22"/>
        <v/>
      </c>
      <c r="X69" s="38" t="str">
        <f t="shared" si="23"/>
        <v/>
      </c>
      <c r="Y69" s="325" t="str">
        <f t="shared" si="24"/>
        <v/>
      </c>
      <c r="Z69" s="38" t="str">
        <f t="shared" si="25"/>
        <v/>
      </c>
      <c r="AA69" s="38" t="str">
        <f t="shared" si="26"/>
        <v/>
      </c>
      <c r="AB69" s="20" t="str">
        <f t="shared" si="27"/>
        <v/>
      </c>
      <c r="AC69" s="325" t="str">
        <f t="shared" si="28"/>
        <v/>
      </c>
      <c r="AD69" s="325" t="str">
        <f t="shared" si="29"/>
        <v/>
      </c>
      <c r="AE69" s="184"/>
      <c r="AF69" s="678" t="str">
        <f t="shared" si="15"/>
        <v/>
      </c>
      <c r="AG69" s="63"/>
      <c r="AH69" s="187" t="str" cm="1">
        <f t="array" ref="AH69">IF(OR(AF69="",P69=""),"",_xlfn.IFS(IFERROR(VALUE(TRIM(SUBSTITUTE(AF69,CHAR(160),""))),0)&gt;IFERROR(VALUE(TRIM(SUBSTITUTE(P69,CHAR(160),""))),0),"KO : Le montant retenu est supérieur au montant présenté. Merci de revoir la ligne de contributions ou plafonner son montant.",IFERROR(VALUE(TRIM(SUBSTITUTE(P69,CHAR(160),""))),0)=0,"",IFERROR(VALUE(TRIM(SUBSTITUTE(AF69,CHAR(160),""))),0)=IFERROR(VALUE(TRIM(SUBSTITUTE(P69,CHAR(160),""))),0),"OK",IFERROR(VALUE(TRIM(SUBSTITUTE(AF69,CHAR(160),""))),0)&lt;IFERROR(VALUE(TRIM(SUBSTITUTE(P69,CHAR(160),""))),0),"Montant instruit inférieur au montant présenté.",TRUE,""))</f>
        <v/>
      </c>
      <c r="AI69" s="180" t="str">
        <f t="shared" si="30"/>
        <v/>
      </c>
    </row>
    <row r="70" spans="1:35" ht="15" customHeight="1">
      <c r="A70" s="70">
        <v>61</v>
      </c>
      <c r="B70" s="784"/>
      <c r="C70" s="7"/>
      <c r="D70" s="11"/>
      <c r="E70" s="7"/>
      <c r="F70" s="314"/>
      <c r="G70" s="7"/>
      <c r="H70" s="323"/>
      <c r="I70" s="316"/>
      <c r="J70" s="317"/>
      <c r="K70" s="316"/>
      <c r="L70" s="316"/>
      <c r="M70" s="319"/>
      <c r="N70" s="7"/>
      <c r="O70" s="7"/>
      <c r="P70" s="320" t="str">
        <f t="shared" si="17"/>
        <v/>
      </c>
      <c r="Q70" s="324"/>
      <c r="R70" s="325" t="str">
        <f t="shared" si="18"/>
        <v/>
      </c>
      <c r="S70" s="322" t="str">
        <f t="shared" si="31"/>
        <v/>
      </c>
      <c r="T70" s="325" t="str">
        <f t="shared" si="19"/>
        <v/>
      </c>
      <c r="U70" s="325" t="str">
        <f t="shared" si="20"/>
        <v/>
      </c>
      <c r="V70" s="325" t="str">
        <f t="shared" si="21"/>
        <v/>
      </c>
      <c r="W70" s="37" t="str">
        <f t="shared" si="22"/>
        <v/>
      </c>
      <c r="X70" s="38" t="str">
        <f t="shared" si="23"/>
        <v/>
      </c>
      <c r="Y70" s="325" t="str">
        <f t="shared" si="24"/>
        <v/>
      </c>
      <c r="Z70" s="38" t="str">
        <f t="shared" si="25"/>
        <v/>
      </c>
      <c r="AA70" s="38" t="str">
        <f t="shared" si="26"/>
        <v/>
      </c>
      <c r="AB70" s="20" t="str">
        <f t="shared" si="27"/>
        <v/>
      </c>
      <c r="AC70" s="325" t="str">
        <f t="shared" si="28"/>
        <v/>
      </c>
      <c r="AD70" s="325" t="str">
        <f t="shared" si="29"/>
        <v/>
      </c>
      <c r="AE70" s="184"/>
      <c r="AF70" s="678" t="str">
        <f t="shared" si="15"/>
        <v/>
      </c>
      <c r="AG70" s="63"/>
      <c r="AH70" s="187" t="str" cm="1">
        <f t="array" ref="AH70">IF(OR(AF70="",P70=""),"",_xlfn.IFS(IFERROR(VALUE(TRIM(SUBSTITUTE(AF70,CHAR(160),""))),0)&gt;IFERROR(VALUE(TRIM(SUBSTITUTE(P70,CHAR(160),""))),0),"KO : Le montant retenu est supérieur au montant présenté. Merci de revoir la ligne de contributions ou plafonner son montant.",IFERROR(VALUE(TRIM(SUBSTITUTE(P70,CHAR(160),""))),0)=0,"",IFERROR(VALUE(TRIM(SUBSTITUTE(AF70,CHAR(160),""))),0)=IFERROR(VALUE(TRIM(SUBSTITUTE(P70,CHAR(160),""))),0),"OK",IFERROR(VALUE(TRIM(SUBSTITUTE(AF70,CHAR(160),""))),0)&lt;IFERROR(VALUE(TRIM(SUBSTITUTE(P70,CHAR(160),""))),0),"Montant instruit inférieur au montant présenté.",TRUE,""))</f>
        <v/>
      </c>
      <c r="AI70" s="180" t="str">
        <f t="shared" si="30"/>
        <v/>
      </c>
    </row>
    <row r="71" spans="1:35" ht="15" customHeight="1">
      <c r="A71" s="70">
        <v>62</v>
      </c>
      <c r="B71" s="784"/>
      <c r="C71" s="7"/>
      <c r="D71" s="11"/>
      <c r="E71" s="7"/>
      <c r="F71" s="314"/>
      <c r="G71" s="7"/>
      <c r="H71" s="323"/>
      <c r="I71" s="316"/>
      <c r="J71" s="317"/>
      <c r="K71" s="316"/>
      <c r="L71" s="316"/>
      <c r="M71" s="319"/>
      <c r="N71" s="7"/>
      <c r="O71" s="7"/>
      <c r="P71" s="320" t="str">
        <f t="shared" si="17"/>
        <v/>
      </c>
      <c r="Q71" s="324"/>
      <c r="R71" s="325" t="str">
        <f t="shared" si="18"/>
        <v/>
      </c>
      <c r="S71" s="322" t="str">
        <f t="shared" si="31"/>
        <v/>
      </c>
      <c r="T71" s="325" t="str">
        <f t="shared" si="19"/>
        <v/>
      </c>
      <c r="U71" s="325" t="str">
        <f t="shared" si="20"/>
        <v/>
      </c>
      <c r="V71" s="325" t="str">
        <f t="shared" si="21"/>
        <v/>
      </c>
      <c r="W71" s="37" t="str">
        <f t="shared" si="22"/>
        <v/>
      </c>
      <c r="X71" s="38" t="str">
        <f t="shared" si="23"/>
        <v/>
      </c>
      <c r="Y71" s="325" t="str">
        <f t="shared" si="24"/>
        <v/>
      </c>
      <c r="Z71" s="38" t="str">
        <f t="shared" si="25"/>
        <v/>
      </c>
      <c r="AA71" s="38" t="str">
        <f t="shared" si="26"/>
        <v/>
      </c>
      <c r="AB71" s="20" t="str">
        <f t="shared" si="27"/>
        <v/>
      </c>
      <c r="AC71" s="325" t="str">
        <f t="shared" si="28"/>
        <v/>
      </c>
      <c r="AD71" s="325" t="str">
        <f t="shared" si="29"/>
        <v/>
      </c>
      <c r="AE71" s="184"/>
      <c r="AF71" s="678" t="str">
        <f t="shared" si="15"/>
        <v/>
      </c>
      <c r="AG71" s="63"/>
      <c r="AH71" s="187" t="str" cm="1">
        <f t="array" ref="AH71">IF(OR(AF71="",P71=""),"",_xlfn.IFS(IFERROR(VALUE(TRIM(SUBSTITUTE(AF71,CHAR(160),""))),0)&gt;IFERROR(VALUE(TRIM(SUBSTITUTE(P71,CHAR(160),""))),0),"KO : Le montant retenu est supérieur au montant présenté. Merci de revoir la ligne de contributions ou plafonner son montant.",IFERROR(VALUE(TRIM(SUBSTITUTE(P71,CHAR(160),""))),0)=0,"",IFERROR(VALUE(TRIM(SUBSTITUTE(AF71,CHAR(160),""))),0)=IFERROR(VALUE(TRIM(SUBSTITUTE(P71,CHAR(160),""))),0),"OK",IFERROR(VALUE(TRIM(SUBSTITUTE(AF71,CHAR(160),""))),0)&lt;IFERROR(VALUE(TRIM(SUBSTITUTE(P71,CHAR(160),""))),0),"Montant instruit inférieur au montant présenté.",TRUE,""))</f>
        <v/>
      </c>
      <c r="AI71" s="180" t="str">
        <f t="shared" si="30"/>
        <v/>
      </c>
    </row>
    <row r="72" spans="1:35" ht="15" customHeight="1">
      <c r="A72" s="70">
        <v>63</v>
      </c>
      <c r="B72" s="784"/>
      <c r="C72" s="7"/>
      <c r="D72" s="11"/>
      <c r="E72" s="7"/>
      <c r="F72" s="314"/>
      <c r="G72" s="7"/>
      <c r="H72" s="323"/>
      <c r="I72" s="316"/>
      <c r="J72" s="317"/>
      <c r="K72" s="316"/>
      <c r="L72" s="316"/>
      <c r="M72" s="319"/>
      <c r="N72" s="7"/>
      <c r="O72" s="7"/>
      <c r="P72" s="320" t="str">
        <f t="shared" si="17"/>
        <v/>
      </c>
      <c r="Q72" s="324"/>
      <c r="R72" s="325" t="str">
        <f t="shared" si="18"/>
        <v/>
      </c>
      <c r="S72" s="322" t="str">
        <f t="shared" si="31"/>
        <v/>
      </c>
      <c r="T72" s="325" t="str">
        <f t="shared" si="19"/>
        <v/>
      </c>
      <c r="U72" s="325" t="str">
        <f t="shared" si="20"/>
        <v/>
      </c>
      <c r="V72" s="325" t="str">
        <f t="shared" si="21"/>
        <v/>
      </c>
      <c r="W72" s="37" t="str">
        <f t="shared" si="22"/>
        <v/>
      </c>
      <c r="X72" s="38" t="str">
        <f t="shared" si="23"/>
        <v/>
      </c>
      <c r="Y72" s="325" t="str">
        <f t="shared" si="24"/>
        <v/>
      </c>
      <c r="Z72" s="38" t="str">
        <f t="shared" si="25"/>
        <v/>
      </c>
      <c r="AA72" s="38" t="str">
        <f t="shared" si="26"/>
        <v/>
      </c>
      <c r="AB72" s="20" t="str">
        <f t="shared" si="27"/>
        <v/>
      </c>
      <c r="AC72" s="325" t="str">
        <f t="shared" si="28"/>
        <v/>
      </c>
      <c r="AD72" s="325" t="str">
        <f t="shared" si="29"/>
        <v/>
      </c>
      <c r="AE72" s="184"/>
      <c r="AF72" s="678" t="str">
        <f t="shared" si="15"/>
        <v/>
      </c>
      <c r="AG72" s="63"/>
      <c r="AH72" s="187" t="str" cm="1">
        <f t="array" ref="AH72">IF(OR(AF72="",P72=""),"",_xlfn.IFS(IFERROR(VALUE(TRIM(SUBSTITUTE(AF72,CHAR(160),""))),0)&gt;IFERROR(VALUE(TRIM(SUBSTITUTE(P72,CHAR(160),""))),0),"KO : Le montant retenu est supérieur au montant présenté. Merci de revoir la ligne de contributions ou plafonner son montant.",IFERROR(VALUE(TRIM(SUBSTITUTE(P72,CHAR(160),""))),0)=0,"",IFERROR(VALUE(TRIM(SUBSTITUTE(AF72,CHAR(160),""))),0)=IFERROR(VALUE(TRIM(SUBSTITUTE(P72,CHAR(160),""))),0),"OK",IFERROR(VALUE(TRIM(SUBSTITUTE(AF72,CHAR(160),""))),0)&lt;IFERROR(VALUE(TRIM(SUBSTITUTE(P72,CHAR(160),""))),0),"Montant instruit inférieur au montant présenté.",TRUE,""))</f>
        <v/>
      </c>
      <c r="AI72" s="180" t="str">
        <f t="shared" si="30"/>
        <v/>
      </c>
    </row>
    <row r="73" spans="1:35" ht="15" customHeight="1">
      <c r="A73" s="70">
        <v>64</v>
      </c>
      <c r="B73" s="784"/>
      <c r="C73" s="7"/>
      <c r="D73" s="11"/>
      <c r="E73" s="7"/>
      <c r="F73" s="314"/>
      <c r="G73" s="7"/>
      <c r="H73" s="323"/>
      <c r="I73" s="316"/>
      <c r="J73" s="317"/>
      <c r="K73" s="316"/>
      <c r="L73" s="316"/>
      <c r="M73" s="319"/>
      <c r="N73" s="7"/>
      <c r="O73" s="7"/>
      <c r="P73" s="320" t="str">
        <f t="shared" ref="P73:P109" si="32">IF(K73=0,"",((M73/K73)*L73)*H73)</f>
        <v/>
      </c>
      <c r="Q73" s="324"/>
      <c r="R73" s="325" t="str">
        <f t="shared" ref="R73:R109" si="33">IF(C73="","",C73)</f>
        <v/>
      </c>
      <c r="S73" s="322" t="str">
        <f t="shared" si="31"/>
        <v/>
      </c>
      <c r="T73" s="325" t="str">
        <f t="shared" ref="T73:T109" si="34">IF(E73="","",E73)</f>
        <v/>
      </c>
      <c r="U73" s="325" t="str">
        <f t="shared" ref="U73:U109" si="35">IF(F73="","",F73)</f>
        <v/>
      </c>
      <c r="V73" s="325" t="str">
        <f t="shared" ref="V73:V109" si="36">IF(G73="","",G73)</f>
        <v/>
      </c>
      <c r="W73" s="37" t="str">
        <f t="shared" ref="W73:W109" si="37">IF(H73="","",H73)</f>
        <v/>
      </c>
      <c r="X73" s="38" t="str">
        <f t="shared" ref="X73:X109" si="38">IF(I73="","",I73)</f>
        <v/>
      </c>
      <c r="Y73" s="325" t="str">
        <f t="shared" ref="Y73:Y109" si="39">IF(J73="","",J73)</f>
        <v/>
      </c>
      <c r="Z73" s="38" t="str">
        <f t="shared" ref="Z73:Z109" si="40">IF(K73="","",K73)</f>
        <v/>
      </c>
      <c r="AA73" s="38" t="str">
        <f t="shared" ref="AA73:AA109" si="41">IF(L73="","",L73)</f>
        <v/>
      </c>
      <c r="AB73" s="20" t="str">
        <f t="shared" ref="AB73:AB109" si="42">IF(M73="","",M73)</f>
        <v/>
      </c>
      <c r="AC73" s="325" t="str">
        <f t="shared" ref="AC73:AC109" si="43">IF(N73="","",N73)</f>
        <v/>
      </c>
      <c r="AD73" s="325" t="str">
        <f t="shared" ref="AD73:AD109" si="44">IF(O73="","",O73)</f>
        <v/>
      </c>
      <c r="AE73" s="184"/>
      <c r="AF73" s="678" t="str">
        <f t="shared" si="15"/>
        <v/>
      </c>
      <c r="AG73" s="63"/>
      <c r="AH73" s="187" t="str" cm="1">
        <f t="array" ref="AH73">IF(OR(AF73="",P73=""),"",_xlfn.IFS(IFERROR(VALUE(TRIM(SUBSTITUTE(AF73,CHAR(160),""))),0)&gt;IFERROR(VALUE(TRIM(SUBSTITUTE(P73,CHAR(160),""))),0),"KO : Le montant retenu est supérieur au montant présenté. Merci de revoir la ligne de contributions ou plafonner son montant.",IFERROR(VALUE(TRIM(SUBSTITUTE(P73,CHAR(160),""))),0)=0,"",IFERROR(VALUE(TRIM(SUBSTITUTE(AF73,CHAR(160),""))),0)=IFERROR(VALUE(TRIM(SUBSTITUTE(P73,CHAR(160),""))),0),"OK",IFERROR(VALUE(TRIM(SUBSTITUTE(AF73,CHAR(160),""))),0)&lt;IFERROR(VALUE(TRIM(SUBSTITUTE(P73,CHAR(160),""))),0),"Montant instruit inférieur au montant présenté.",TRUE,""))</f>
        <v/>
      </c>
      <c r="AI73" s="180" t="str">
        <f t="shared" ref="AI73:AI109" si="45">IF(OR(P73="",AF73=""),"",IFERROR(VALUE(TRIM(SUBSTITUTE(P73,CHAR(160),""))),0)-IFERROR(VALUE(TRIM(SUBSTITUTE(AF73,CHAR(160),""))),0))</f>
        <v/>
      </c>
    </row>
    <row r="74" spans="1:35" ht="15" customHeight="1">
      <c r="A74" s="70">
        <v>65</v>
      </c>
      <c r="B74" s="784"/>
      <c r="C74" s="7"/>
      <c r="D74" s="11"/>
      <c r="E74" s="7"/>
      <c r="F74" s="314"/>
      <c r="G74" s="7"/>
      <c r="H74" s="323"/>
      <c r="I74" s="316"/>
      <c r="J74" s="317"/>
      <c r="K74" s="316"/>
      <c r="L74" s="316"/>
      <c r="M74" s="319"/>
      <c r="N74" s="7"/>
      <c r="O74" s="7"/>
      <c r="P74" s="320" t="str">
        <f t="shared" si="32"/>
        <v/>
      </c>
      <c r="Q74" s="324"/>
      <c r="R74" s="325" t="str">
        <f t="shared" si="33"/>
        <v/>
      </c>
      <c r="S74" s="322" t="str">
        <f t="shared" ref="S74:S109" si="46">IF(D74="","",D74)</f>
        <v/>
      </c>
      <c r="T74" s="325" t="str">
        <f t="shared" si="34"/>
        <v/>
      </c>
      <c r="U74" s="325" t="str">
        <f t="shared" si="35"/>
        <v/>
      </c>
      <c r="V74" s="325" t="str">
        <f t="shared" si="36"/>
        <v/>
      </c>
      <c r="W74" s="37" t="str">
        <f t="shared" si="37"/>
        <v/>
      </c>
      <c r="X74" s="38" t="str">
        <f t="shared" si="38"/>
        <v/>
      </c>
      <c r="Y74" s="325" t="str">
        <f t="shared" si="39"/>
        <v/>
      </c>
      <c r="Z74" s="38" t="str">
        <f t="shared" si="40"/>
        <v/>
      </c>
      <c r="AA74" s="38" t="str">
        <f t="shared" si="41"/>
        <v/>
      </c>
      <c r="AB74" s="20" t="str">
        <f t="shared" si="42"/>
        <v/>
      </c>
      <c r="AC74" s="325" t="str">
        <f t="shared" si="43"/>
        <v/>
      </c>
      <c r="AD74" s="325" t="str">
        <f t="shared" si="44"/>
        <v/>
      </c>
      <c r="AE74" s="184"/>
      <c r="AF74" s="678" t="str">
        <f t="shared" ref="AF74:AF109" si="47">IF(Z74="","",((AB74/Z74)*AA74)*W74)</f>
        <v/>
      </c>
      <c r="AG74" s="63"/>
      <c r="AH74" s="187" t="str" cm="1">
        <f t="array" ref="AH74">IF(OR(AF74="",P74=""),"",_xlfn.IFS(IFERROR(VALUE(TRIM(SUBSTITUTE(AF74,CHAR(160),""))),0)&gt;IFERROR(VALUE(TRIM(SUBSTITUTE(P74,CHAR(160),""))),0),"KO : Le montant retenu est supérieur au montant présenté. Merci de revoir la ligne de contributions ou plafonner son montant.",IFERROR(VALUE(TRIM(SUBSTITUTE(P74,CHAR(160),""))),0)=0,"",IFERROR(VALUE(TRIM(SUBSTITUTE(AF74,CHAR(160),""))),0)=IFERROR(VALUE(TRIM(SUBSTITUTE(P74,CHAR(160),""))),0),"OK",IFERROR(VALUE(TRIM(SUBSTITUTE(AF74,CHAR(160),""))),0)&lt;IFERROR(VALUE(TRIM(SUBSTITUTE(P74,CHAR(160),""))),0),"Montant instruit inférieur au montant présenté.",TRUE,""))</f>
        <v/>
      </c>
      <c r="AI74" s="180" t="str">
        <f t="shared" si="45"/>
        <v/>
      </c>
    </row>
    <row r="75" spans="1:35" ht="15" customHeight="1">
      <c r="A75" s="70">
        <v>66</v>
      </c>
      <c r="B75" s="784"/>
      <c r="C75" s="7"/>
      <c r="D75" s="11"/>
      <c r="E75" s="7"/>
      <c r="F75" s="314"/>
      <c r="G75" s="7"/>
      <c r="H75" s="323"/>
      <c r="I75" s="316"/>
      <c r="J75" s="317"/>
      <c r="K75" s="316"/>
      <c r="L75" s="316"/>
      <c r="M75" s="319"/>
      <c r="N75" s="7"/>
      <c r="O75" s="7"/>
      <c r="P75" s="320" t="str">
        <f t="shared" si="32"/>
        <v/>
      </c>
      <c r="Q75" s="324"/>
      <c r="R75" s="325" t="str">
        <f t="shared" si="33"/>
        <v/>
      </c>
      <c r="S75" s="322" t="str">
        <f t="shared" si="46"/>
        <v/>
      </c>
      <c r="T75" s="325" t="str">
        <f t="shared" si="34"/>
        <v/>
      </c>
      <c r="U75" s="325" t="str">
        <f t="shared" si="35"/>
        <v/>
      </c>
      <c r="V75" s="325" t="str">
        <f t="shared" si="36"/>
        <v/>
      </c>
      <c r="W75" s="37" t="str">
        <f t="shared" si="37"/>
        <v/>
      </c>
      <c r="X75" s="38" t="str">
        <f t="shared" si="38"/>
        <v/>
      </c>
      <c r="Y75" s="325" t="str">
        <f t="shared" si="39"/>
        <v/>
      </c>
      <c r="Z75" s="38" t="str">
        <f t="shared" si="40"/>
        <v/>
      </c>
      <c r="AA75" s="38" t="str">
        <f t="shared" si="41"/>
        <v/>
      </c>
      <c r="AB75" s="20" t="str">
        <f t="shared" si="42"/>
        <v/>
      </c>
      <c r="AC75" s="325" t="str">
        <f t="shared" si="43"/>
        <v/>
      </c>
      <c r="AD75" s="325" t="str">
        <f t="shared" si="44"/>
        <v/>
      </c>
      <c r="AE75" s="184"/>
      <c r="AF75" s="678" t="str">
        <f t="shared" si="47"/>
        <v/>
      </c>
      <c r="AG75" s="63"/>
      <c r="AH75" s="187" t="str" cm="1">
        <f t="array" ref="AH75">IF(OR(AF75="",P75=""),"",_xlfn.IFS(IFERROR(VALUE(TRIM(SUBSTITUTE(AF75,CHAR(160),""))),0)&gt;IFERROR(VALUE(TRIM(SUBSTITUTE(P75,CHAR(160),""))),0),"KO : Le montant retenu est supérieur au montant présenté. Merci de revoir la ligne de contributions ou plafonner son montant.",IFERROR(VALUE(TRIM(SUBSTITUTE(P75,CHAR(160),""))),0)=0,"",IFERROR(VALUE(TRIM(SUBSTITUTE(AF75,CHAR(160),""))),0)=IFERROR(VALUE(TRIM(SUBSTITUTE(P75,CHAR(160),""))),0),"OK",IFERROR(VALUE(TRIM(SUBSTITUTE(AF75,CHAR(160),""))),0)&lt;IFERROR(VALUE(TRIM(SUBSTITUTE(P75,CHAR(160),""))),0),"Montant instruit inférieur au montant présenté.",TRUE,""))</f>
        <v/>
      </c>
      <c r="AI75" s="180" t="str">
        <f t="shared" si="45"/>
        <v/>
      </c>
    </row>
    <row r="76" spans="1:35" ht="15" customHeight="1">
      <c r="A76" s="70">
        <v>67</v>
      </c>
      <c r="B76" s="784"/>
      <c r="C76" s="7"/>
      <c r="D76" s="11"/>
      <c r="E76" s="7"/>
      <c r="F76" s="314"/>
      <c r="G76" s="7"/>
      <c r="H76" s="323"/>
      <c r="I76" s="316"/>
      <c r="J76" s="317"/>
      <c r="K76" s="316"/>
      <c r="L76" s="316"/>
      <c r="M76" s="319"/>
      <c r="N76" s="7"/>
      <c r="O76" s="7"/>
      <c r="P76" s="320" t="str">
        <f t="shared" si="32"/>
        <v/>
      </c>
      <c r="Q76" s="324"/>
      <c r="R76" s="325" t="str">
        <f t="shared" si="33"/>
        <v/>
      </c>
      <c r="S76" s="322" t="str">
        <f t="shared" si="46"/>
        <v/>
      </c>
      <c r="T76" s="325" t="str">
        <f t="shared" si="34"/>
        <v/>
      </c>
      <c r="U76" s="325" t="str">
        <f t="shared" si="35"/>
        <v/>
      </c>
      <c r="V76" s="325" t="str">
        <f t="shared" si="36"/>
        <v/>
      </c>
      <c r="W76" s="37" t="str">
        <f t="shared" si="37"/>
        <v/>
      </c>
      <c r="X76" s="38" t="str">
        <f t="shared" si="38"/>
        <v/>
      </c>
      <c r="Y76" s="325" t="str">
        <f t="shared" si="39"/>
        <v/>
      </c>
      <c r="Z76" s="38" t="str">
        <f t="shared" si="40"/>
        <v/>
      </c>
      <c r="AA76" s="38" t="str">
        <f t="shared" si="41"/>
        <v/>
      </c>
      <c r="AB76" s="20" t="str">
        <f t="shared" si="42"/>
        <v/>
      </c>
      <c r="AC76" s="325" t="str">
        <f t="shared" si="43"/>
        <v/>
      </c>
      <c r="AD76" s="325" t="str">
        <f t="shared" si="44"/>
        <v/>
      </c>
      <c r="AE76" s="184"/>
      <c r="AF76" s="678" t="str">
        <f t="shared" si="47"/>
        <v/>
      </c>
      <c r="AG76" s="63"/>
      <c r="AH76" s="187" t="str" cm="1">
        <f t="array" ref="AH76">IF(OR(AF76="",P76=""),"",_xlfn.IFS(IFERROR(VALUE(TRIM(SUBSTITUTE(AF76,CHAR(160),""))),0)&gt;IFERROR(VALUE(TRIM(SUBSTITUTE(P76,CHAR(160),""))),0),"KO : Le montant retenu est supérieur au montant présenté. Merci de revoir la ligne de contributions ou plafonner son montant.",IFERROR(VALUE(TRIM(SUBSTITUTE(P76,CHAR(160),""))),0)=0,"",IFERROR(VALUE(TRIM(SUBSTITUTE(AF76,CHAR(160),""))),0)=IFERROR(VALUE(TRIM(SUBSTITUTE(P76,CHAR(160),""))),0),"OK",IFERROR(VALUE(TRIM(SUBSTITUTE(AF76,CHAR(160),""))),0)&lt;IFERROR(VALUE(TRIM(SUBSTITUTE(P76,CHAR(160),""))),0),"Montant instruit inférieur au montant présenté.",TRUE,""))</f>
        <v/>
      </c>
      <c r="AI76" s="180" t="str">
        <f t="shared" si="45"/>
        <v/>
      </c>
    </row>
    <row r="77" spans="1:35" ht="15" customHeight="1">
      <c r="A77" s="70">
        <v>68</v>
      </c>
      <c r="B77" s="784"/>
      <c r="C77" s="7"/>
      <c r="D77" s="11"/>
      <c r="E77" s="7"/>
      <c r="F77" s="314"/>
      <c r="G77" s="7"/>
      <c r="H77" s="323"/>
      <c r="I77" s="316"/>
      <c r="J77" s="317"/>
      <c r="K77" s="316"/>
      <c r="L77" s="316"/>
      <c r="M77" s="319"/>
      <c r="N77" s="7"/>
      <c r="O77" s="7"/>
      <c r="P77" s="320" t="str">
        <f t="shared" si="32"/>
        <v/>
      </c>
      <c r="Q77" s="324"/>
      <c r="R77" s="325" t="str">
        <f t="shared" si="33"/>
        <v/>
      </c>
      <c r="S77" s="322" t="str">
        <f t="shared" si="46"/>
        <v/>
      </c>
      <c r="T77" s="325" t="str">
        <f t="shared" si="34"/>
        <v/>
      </c>
      <c r="U77" s="325" t="str">
        <f t="shared" si="35"/>
        <v/>
      </c>
      <c r="V77" s="325" t="str">
        <f t="shared" si="36"/>
        <v/>
      </c>
      <c r="W77" s="37" t="str">
        <f t="shared" si="37"/>
        <v/>
      </c>
      <c r="X77" s="38" t="str">
        <f t="shared" si="38"/>
        <v/>
      </c>
      <c r="Y77" s="325" t="str">
        <f t="shared" si="39"/>
        <v/>
      </c>
      <c r="Z77" s="38" t="str">
        <f t="shared" si="40"/>
        <v/>
      </c>
      <c r="AA77" s="38" t="str">
        <f t="shared" si="41"/>
        <v/>
      </c>
      <c r="AB77" s="20" t="str">
        <f t="shared" si="42"/>
        <v/>
      </c>
      <c r="AC77" s="325" t="str">
        <f t="shared" si="43"/>
        <v/>
      </c>
      <c r="AD77" s="325" t="str">
        <f t="shared" si="44"/>
        <v/>
      </c>
      <c r="AE77" s="184"/>
      <c r="AF77" s="678" t="str">
        <f t="shared" si="47"/>
        <v/>
      </c>
      <c r="AG77" s="63"/>
      <c r="AH77" s="187" t="str" cm="1">
        <f t="array" ref="AH77">IF(OR(AF77="",P77=""),"",_xlfn.IFS(IFERROR(VALUE(TRIM(SUBSTITUTE(AF77,CHAR(160),""))),0)&gt;IFERROR(VALUE(TRIM(SUBSTITUTE(P77,CHAR(160),""))),0),"KO : Le montant retenu est supérieur au montant présenté. Merci de revoir la ligne de contributions ou plafonner son montant.",IFERROR(VALUE(TRIM(SUBSTITUTE(P77,CHAR(160),""))),0)=0,"",IFERROR(VALUE(TRIM(SUBSTITUTE(AF77,CHAR(160),""))),0)=IFERROR(VALUE(TRIM(SUBSTITUTE(P77,CHAR(160),""))),0),"OK",IFERROR(VALUE(TRIM(SUBSTITUTE(AF77,CHAR(160),""))),0)&lt;IFERROR(VALUE(TRIM(SUBSTITUTE(P77,CHAR(160),""))),0),"Montant instruit inférieur au montant présenté.",TRUE,""))</f>
        <v/>
      </c>
      <c r="AI77" s="180" t="str">
        <f t="shared" si="45"/>
        <v/>
      </c>
    </row>
    <row r="78" spans="1:35" ht="15" customHeight="1">
      <c r="A78" s="70">
        <v>69</v>
      </c>
      <c r="B78" s="784"/>
      <c r="C78" s="7"/>
      <c r="D78" s="11"/>
      <c r="E78" s="7"/>
      <c r="F78" s="314"/>
      <c r="G78" s="7"/>
      <c r="H78" s="323"/>
      <c r="I78" s="316"/>
      <c r="J78" s="317"/>
      <c r="K78" s="316"/>
      <c r="L78" s="316"/>
      <c r="M78" s="319"/>
      <c r="N78" s="7"/>
      <c r="O78" s="7"/>
      <c r="P78" s="320" t="str">
        <f t="shared" si="32"/>
        <v/>
      </c>
      <c r="Q78" s="324"/>
      <c r="R78" s="325" t="str">
        <f t="shared" si="33"/>
        <v/>
      </c>
      <c r="S78" s="322" t="str">
        <f t="shared" si="46"/>
        <v/>
      </c>
      <c r="T78" s="325" t="str">
        <f t="shared" si="34"/>
        <v/>
      </c>
      <c r="U78" s="325" t="str">
        <f t="shared" si="35"/>
        <v/>
      </c>
      <c r="V78" s="325" t="str">
        <f t="shared" si="36"/>
        <v/>
      </c>
      <c r="W78" s="37" t="str">
        <f t="shared" si="37"/>
        <v/>
      </c>
      <c r="X78" s="38" t="str">
        <f t="shared" si="38"/>
        <v/>
      </c>
      <c r="Y78" s="325" t="str">
        <f t="shared" si="39"/>
        <v/>
      </c>
      <c r="Z78" s="38" t="str">
        <f t="shared" si="40"/>
        <v/>
      </c>
      <c r="AA78" s="38" t="str">
        <f t="shared" si="41"/>
        <v/>
      </c>
      <c r="AB78" s="20" t="str">
        <f t="shared" si="42"/>
        <v/>
      </c>
      <c r="AC78" s="325" t="str">
        <f t="shared" si="43"/>
        <v/>
      </c>
      <c r="AD78" s="325" t="str">
        <f t="shared" si="44"/>
        <v/>
      </c>
      <c r="AE78" s="184"/>
      <c r="AF78" s="678" t="str">
        <f t="shared" si="47"/>
        <v/>
      </c>
      <c r="AG78" s="63"/>
      <c r="AH78" s="187" t="str" cm="1">
        <f t="array" ref="AH78">IF(OR(AF78="",P78=""),"",_xlfn.IFS(IFERROR(VALUE(TRIM(SUBSTITUTE(AF78,CHAR(160),""))),0)&gt;IFERROR(VALUE(TRIM(SUBSTITUTE(P78,CHAR(160),""))),0),"KO : Le montant retenu est supérieur au montant présenté. Merci de revoir la ligne de contributions ou plafonner son montant.",IFERROR(VALUE(TRIM(SUBSTITUTE(P78,CHAR(160),""))),0)=0,"",IFERROR(VALUE(TRIM(SUBSTITUTE(AF78,CHAR(160),""))),0)=IFERROR(VALUE(TRIM(SUBSTITUTE(P78,CHAR(160),""))),0),"OK",IFERROR(VALUE(TRIM(SUBSTITUTE(AF78,CHAR(160),""))),0)&lt;IFERROR(VALUE(TRIM(SUBSTITUTE(P78,CHAR(160),""))),0),"Montant instruit inférieur au montant présenté.",TRUE,""))</f>
        <v/>
      </c>
      <c r="AI78" s="180" t="str">
        <f t="shared" si="45"/>
        <v/>
      </c>
    </row>
    <row r="79" spans="1:35" ht="15" customHeight="1">
      <c r="A79" s="70">
        <v>70</v>
      </c>
      <c r="B79" s="784"/>
      <c r="C79" s="7"/>
      <c r="D79" s="11"/>
      <c r="E79" s="7"/>
      <c r="F79" s="314"/>
      <c r="G79" s="7"/>
      <c r="H79" s="323"/>
      <c r="I79" s="316"/>
      <c r="J79" s="317"/>
      <c r="K79" s="316"/>
      <c r="L79" s="316"/>
      <c r="M79" s="319"/>
      <c r="N79" s="7"/>
      <c r="O79" s="7"/>
      <c r="P79" s="320" t="str">
        <f t="shared" si="32"/>
        <v/>
      </c>
      <c r="Q79" s="324"/>
      <c r="R79" s="325" t="str">
        <f t="shared" si="33"/>
        <v/>
      </c>
      <c r="S79" s="322" t="str">
        <f t="shared" si="46"/>
        <v/>
      </c>
      <c r="T79" s="325" t="str">
        <f t="shared" si="34"/>
        <v/>
      </c>
      <c r="U79" s="325" t="str">
        <f t="shared" si="35"/>
        <v/>
      </c>
      <c r="V79" s="325" t="str">
        <f t="shared" si="36"/>
        <v/>
      </c>
      <c r="W79" s="37" t="str">
        <f t="shared" si="37"/>
        <v/>
      </c>
      <c r="X79" s="38" t="str">
        <f t="shared" si="38"/>
        <v/>
      </c>
      <c r="Y79" s="325" t="str">
        <f t="shared" si="39"/>
        <v/>
      </c>
      <c r="Z79" s="38" t="str">
        <f t="shared" si="40"/>
        <v/>
      </c>
      <c r="AA79" s="38" t="str">
        <f t="shared" si="41"/>
        <v/>
      </c>
      <c r="AB79" s="20" t="str">
        <f t="shared" si="42"/>
        <v/>
      </c>
      <c r="AC79" s="325" t="str">
        <f t="shared" si="43"/>
        <v/>
      </c>
      <c r="AD79" s="325" t="str">
        <f t="shared" si="44"/>
        <v/>
      </c>
      <c r="AE79" s="184"/>
      <c r="AF79" s="678" t="str">
        <f t="shared" si="47"/>
        <v/>
      </c>
      <c r="AG79" s="63"/>
      <c r="AH79" s="187" t="str" cm="1">
        <f t="array" ref="AH79">IF(OR(AF79="",P79=""),"",_xlfn.IFS(IFERROR(VALUE(TRIM(SUBSTITUTE(AF79,CHAR(160),""))),0)&gt;IFERROR(VALUE(TRIM(SUBSTITUTE(P79,CHAR(160),""))),0),"KO : Le montant retenu est supérieur au montant présenté. Merci de revoir la ligne de contributions ou plafonner son montant.",IFERROR(VALUE(TRIM(SUBSTITUTE(P79,CHAR(160),""))),0)=0,"",IFERROR(VALUE(TRIM(SUBSTITUTE(AF79,CHAR(160),""))),0)=IFERROR(VALUE(TRIM(SUBSTITUTE(P79,CHAR(160),""))),0),"OK",IFERROR(VALUE(TRIM(SUBSTITUTE(AF79,CHAR(160),""))),0)&lt;IFERROR(VALUE(TRIM(SUBSTITUTE(P79,CHAR(160),""))),0),"Montant instruit inférieur au montant présenté.",TRUE,""))</f>
        <v/>
      </c>
      <c r="AI79" s="180" t="str">
        <f t="shared" si="45"/>
        <v/>
      </c>
    </row>
    <row r="80" spans="1:35" ht="15" customHeight="1">
      <c r="A80" s="70">
        <v>71</v>
      </c>
      <c r="B80" s="784"/>
      <c r="C80" s="7"/>
      <c r="D80" s="11"/>
      <c r="E80" s="7"/>
      <c r="F80" s="314"/>
      <c r="G80" s="7"/>
      <c r="H80" s="323"/>
      <c r="I80" s="316"/>
      <c r="J80" s="317"/>
      <c r="K80" s="316"/>
      <c r="L80" s="316"/>
      <c r="M80" s="319"/>
      <c r="N80" s="7"/>
      <c r="O80" s="7"/>
      <c r="P80" s="320" t="str">
        <f t="shared" si="32"/>
        <v/>
      </c>
      <c r="Q80" s="324"/>
      <c r="R80" s="325" t="str">
        <f t="shared" si="33"/>
        <v/>
      </c>
      <c r="S80" s="322" t="str">
        <f t="shared" si="46"/>
        <v/>
      </c>
      <c r="T80" s="325" t="str">
        <f t="shared" si="34"/>
        <v/>
      </c>
      <c r="U80" s="325" t="str">
        <f t="shared" si="35"/>
        <v/>
      </c>
      <c r="V80" s="325" t="str">
        <f t="shared" si="36"/>
        <v/>
      </c>
      <c r="W80" s="37" t="str">
        <f t="shared" si="37"/>
        <v/>
      </c>
      <c r="X80" s="38" t="str">
        <f t="shared" si="38"/>
        <v/>
      </c>
      <c r="Y80" s="325" t="str">
        <f t="shared" si="39"/>
        <v/>
      </c>
      <c r="Z80" s="38" t="str">
        <f t="shared" si="40"/>
        <v/>
      </c>
      <c r="AA80" s="38" t="str">
        <f t="shared" si="41"/>
        <v/>
      </c>
      <c r="AB80" s="20" t="str">
        <f t="shared" si="42"/>
        <v/>
      </c>
      <c r="AC80" s="325" t="str">
        <f t="shared" si="43"/>
        <v/>
      </c>
      <c r="AD80" s="325" t="str">
        <f t="shared" si="44"/>
        <v/>
      </c>
      <c r="AE80" s="184"/>
      <c r="AF80" s="678" t="str">
        <f t="shared" si="47"/>
        <v/>
      </c>
      <c r="AG80" s="63"/>
      <c r="AH80" s="187" t="str" cm="1">
        <f t="array" ref="AH80">IF(OR(AF80="",P80=""),"",_xlfn.IFS(IFERROR(VALUE(TRIM(SUBSTITUTE(AF80,CHAR(160),""))),0)&gt;IFERROR(VALUE(TRIM(SUBSTITUTE(P80,CHAR(160),""))),0),"KO : Le montant retenu est supérieur au montant présenté. Merci de revoir la ligne de contributions ou plafonner son montant.",IFERROR(VALUE(TRIM(SUBSTITUTE(P80,CHAR(160),""))),0)=0,"",IFERROR(VALUE(TRIM(SUBSTITUTE(AF80,CHAR(160),""))),0)=IFERROR(VALUE(TRIM(SUBSTITUTE(P80,CHAR(160),""))),0),"OK",IFERROR(VALUE(TRIM(SUBSTITUTE(AF80,CHAR(160),""))),0)&lt;IFERROR(VALUE(TRIM(SUBSTITUTE(P80,CHAR(160),""))),0),"Montant instruit inférieur au montant présenté.",TRUE,""))</f>
        <v/>
      </c>
      <c r="AI80" s="180" t="str">
        <f t="shared" si="45"/>
        <v/>
      </c>
    </row>
    <row r="81" spans="1:35" ht="15" customHeight="1">
      <c r="A81" s="70">
        <v>72</v>
      </c>
      <c r="B81" s="784"/>
      <c r="C81" s="7"/>
      <c r="D81" s="11"/>
      <c r="E81" s="7"/>
      <c r="F81" s="314"/>
      <c r="G81" s="7"/>
      <c r="H81" s="323"/>
      <c r="I81" s="316"/>
      <c r="J81" s="317"/>
      <c r="K81" s="316"/>
      <c r="L81" s="316"/>
      <c r="M81" s="319"/>
      <c r="N81" s="7"/>
      <c r="O81" s="7"/>
      <c r="P81" s="320" t="str">
        <f t="shared" si="32"/>
        <v/>
      </c>
      <c r="Q81" s="324"/>
      <c r="R81" s="325" t="str">
        <f t="shared" si="33"/>
        <v/>
      </c>
      <c r="S81" s="322" t="str">
        <f t="shared" si="46"/>
        <v/>
      </c>
      <c r="T81" s="325" t="str">
        <f t="shared" si="34"/>
        <v/>
      </c>
      <c r="U81" s="325" t="str">
        <f t="shared" si="35"/>
        <v/>
      </c>
      <c r="V81" s="325" t="str">
        <f t="shared" si="36"/>
        <v/>
      </c>
      <c r="W81" s="37" t="str">
        <f t="shared" si="37"/>
        <v/>
      </c>
      <c r="X81" s="38" t="str">
        <f t="shared" si="38"/>
        <v/>
      </c>
      <c r="Y81" s="325" t="str">
        <f t="shared" si="39"/>
        <v/>
      </c>
      <c r="Z81" s="38" t="str">
        <f t="shared" si="40"/>
        <v/>
      </c>
      <c r="AA81" s="38" t="str">
        <f t="shared" si="41"/>
        <v/>
      </c>
      <c r="AB81" s="20" t="str">
        <f t="shared" si="42"/>
        <v/>
      </c>
      <c r="AC81" s="325" t="str">
        <f t="shared" si="43"/>
        <v/>
      </c>
      <c r="AD81" s="325" t="str">
        <f t="shared" si="44"/>
        <v/>
      </c>
      <c r="AE81" s="184"/>
      <c r="AF81" s="678" t="str">
        <f t="shared" si="47"/>
        <v/>
      </c>
      <c r="AG81" s="63"/>
      <c r="AH81" s="187" t="str" cm="1">
        <f t="array" ref="AH81">IF(OR(AF81="",P81=""),"",_xlfn.IFS(IFERROR(VALUE(TRIM(SUBSTITUTE(AF81,CHAR(160),""))),0)&gt;IFERROR(VALUE(TRIM(SUBSTITUTE(P81,CHAR(160),""))),0),"KO : Le montant retenu est supérieur au montant présenté. Merci de revoir la ligne de contributions ou plafonner son montant.",IFERROR(VALUE(TRIM(SUBSTITUTE(P81,CHAR(160),""))),0)=0,"",IFERROR(VALUE(TRIM(SUBSTITUTE(AF81,CHAR(160),""))),0)=IFERROR(VALUE(TRIM(SUBSTITUTE(P81,CHAR(160),""))),0),"OK",IFERROR(VALUE(TRIM(SUBSTITUTE(AF81,CHAR(160),""))),0)&lt;IFERROR(VALUE(TRIM(SUBSTITUTE(P81,CHAR(160),""))),0),"Montant instruit inférieur au montant présenté.",TRUE,""))</f>
        <v/>
      </c>
      <c r="AI81" s="180" t="str">
        <f t="shared" si="45"/>
        <v/>
      </c>
    </row>
    <row r="82" spans="1:35" ht="15" customHeight="1">
      <c r="A82" s="70">
        <v>73</v>
      </c>
      <c r="B82" s="784"/>
      <c r="C82" s="7"/>
      <c r="D82" s="11"/>
      <c r="E82" s="7"/>
      <c r="F82" s="314"/>
      <c r="G82" s="7"/>
      <c r="H82" s="323"/>
      <c r="I82" s="316"/>
      <c r="J82" s="317"/>
      <c r="K82" s="316"/>
      <c r="L82" s="316"/>
      <c r="M82" s="319"/>
      <c r="N82" s="7"/>
      <c r="O82" s="7"/>
      <c r="P82" s="320" t="str">
        <f t="shared" si="32"/>
        <v/>
      </c>
      <c r="Q82" s="324"/>
      <c r="R82" s="325" t="str">
        <f t="shared" si="33"/>
        <v/>
      </c>
      <c r="S82" s="322" t="str">
        <f t="shared" si="46"/>
        <v/>
      </c>
      <c r="T82" s="325" t="str">
        <f t="shared" si="34"/>
        <v/>
      </c>
      <c r="U82" s="325" t="str">
        <f t="shared" si="35"/>
        <v/>
      </c>
      <c r="V82" s="325" t="str">
        <f t="shared" si="36"/>
        <v/>
      </c>
      <c r="W82" s="37" t="str">
        <f t="shared" si="37"/>
        <v/>
      </c>
      <c r="X82" s="38" t="str">
        <f t="shared" si="38"/>
        <v/>
      </c>
      <c r="Y82" s="325" t="str">
        <f t="shared" si="39"/>
        <v/>
      </c>
      <c r="Z82" s="38" t="str">
        <f t="shared" si="40"/>
        <v/>
      </c>
      <c r="AA82" s="38" t="str">
        <f t="shared" si="41"/>
        <v/>
      </c>
      <c r="AB82" s="20" t="str">
        <f t="shared" si="42"/>
        <v/>
      </c>
      <c r="AC82" s="325" t="str">
        <f t="shared" si="43"/>
        <v/>
      </c>
      <c r="AD82" s="325" t="str">
        <f t="shared" si="44"/>
        <v/>
      </c>
      <c r="AE82" s="184"/>
      <c r="AF82" s="678" t="str">
        <f t="shared" si="47"/>
        <v/>
      </c>
      <c r="AG82" s="63"/>
      <c r="AH82" s="187" t="str" cm="1">
        <f t="array" ref="AH82">IF(OR(AF82="",P82=""),"",_xlfn.IFS(IFERROR(VALUE(TRIM(SUBSTITUTE(AF82,CHAR(160),""))),0)&gt;IFERROR(VALUE(TRIM(SUBSTITUTE(P82,CHAR(160),""))),0),"KO : Le montant retenu est supérieur au montant présenté. Merci de revoir la ligne de contributions ou plafonner son montant.",IFERROR(VALUE(TRIM(SUBSTITUTE(P82,CHAR(160),""))),0)=0,"",IFERROR(VALUE(TRIM(SUBSTITUTE(AF82,CHAR(160),""))),0)=IFERROR(VALUE(TRIM(SUBSTITUTE(P82,CHAR(160),""))),0),"OK",IFERROR(VALUE(TRIM(SUBSTITUTE(AF82,CHAR(160),""))),0)&lt;IFERROR(VALUE(TRIM(SUBSTITUTE(P82,CHAR(160),""))),0),"Montant instruit inférieur au montant présenté.",TRUE,""))</f>
        <v/>
      </c>
      <c r="AI82" s="180" t="str">
        <f t="shared" si="45"/>
        <v/>
      </c>
    </row>
    <row r="83" spans="1:35" ht="15" customHeight="1">
      <c r="A83" s="70">
        <v>74</v>
      </c>
      <c r="B83" s="784"/>
      <c r="C83" s="7"/>
      <c r="D83" s="11"/>
      <c r="E83" s="7"/>
      <c r="F83" s="314"/>
      <c r="G83" s="7"/>
      <c r="H83" s="323"/>
      <c r="I83" s="316"/>
      <c r="J83" s="317"/>
      <c r="K83" s="316"/>
      <c r="L83" s="316"/>
      <c r="M83" s="319"/>
      <c r="N83" s="7"/>
      <c r="O83" s="7"/>
      <c r="P83" s="320" t="str">
        <f t="shared" si="32"/>
        <v/>
      </c>
      <c r="Q83" s="324"/>
      <c r="R83" s="325" t="str">
        <f t="shared" si="33"/>
        <v/>
      </c>
      <c r="S83" s="322" t="str">
        <f t="shared" si="46"/>
        <v/>
      </c>
      <c r="T83" s="325" t="str">
        <f t="shared" si="34"/>
        <v/>
      </c>
      <c r="U83" s="325" t="str">
        <f t="shared" si="35"/>
        <v/>
      </c>
      <c r="V83" s="325" t="str">
        <f t="shared" si="36"/>
        <v/>
      </c>
      <c r="W83" s="37" t="str">
        <f t="shared" si="37"/>
        <v/>
      </c>
      <c r="X83" s="38" t="str">
        <f t="shared" si="38"/>
        <v/>
      </c>
      <c r="Y83" s="325" t="str">
        <f t="shared" si="39"/>
        <v/>
      </c>
      <c r="Z83" s="38" t="str">
        <f t="shared" si="40"/>
        <v/>
      </c>
      <c r="AA83" s="38" t="str">
        <f t="shared" si="41"/>
        <v/>
      </c>
      <c r="AB83" s="20" t="str">
        <f t="shared" si="42"/>
        <v/>
      </c>
      <c r="AC83" s="325" t="str">
        <f t="shared" si="43"/>
        <v/>
      </c>
      <c r="AD83" s="325" t="str">
        <f t="shared" si="44"/>
        <v/>
      </c>
      <c r="AE83" s="184"/>
      <c r="AF83" s="678" t="str">
        <f t="shared" si="47"/>
        <v/>
      </c>
      <c r="AG83" s="63"/>
      <c r="AH83" s="187" t="str" cm="1">
        <f t="array" ref="AH83">IF(OR(AF83="",P83=""),"",_xlfn.IFS(IFERROR(VALUE(TRIM(SUBSTITUTE(AF83,CHAR(160),""))),0)&gt;IFERROR(VALUE(TRIM(SUBSTITUTE(P83,CHAR(160),""))),0),"KO : Le montant retenu est supérieur au montant présenté. Merci de revoir la ligne de contributions ou plafonner son montant.",IFERROR(VALUE(TRIM(SUBSTITUTE(P83,CHAR(160),""))),0)=0,"",IFERROR(VALUE(TRIM(SUBSTITUTE(AF83,CHAR(160),""))),0)=IFERROR(VALUE(TRIM(SUBSTITUTE(P83,CHAR(160),""))),0),"OK",IFERROR(VALUE(TRIM(SUBSTITUTE(AF83,CHAR(160),""))),0)&lt;IFERROR(VALUE(TRIM(SUBSTITUTE(P83,CHAR(160),""))),0),"Montant instruit inférieur au montant présenté.",TRUE,""))</f>
        <v/>
      </c>
      <c r="AI83" s="180" t="str">
        <f t="shared" si="45"/>
        <v/>
      </c>
    </row>
    <row r="84" spans="1:35" ht="15" customHeight="1">
      <c r="A84" s="70">
        <v>75</v>
      </c>
      <c r="B84" s="784"/>
      <c r="C84" s="7"/>
      <c r="D84" s="11"/>
      <c r="E84" s="7"/>
      <c r="F84" s="314"/>
      <c r="G84" s="7"/>
      <c r="H84" s="323"/>
      <c r="I84" s="316"/>
      <c r="J84" s="317"/>
      <c r="K84" s="316"/>
      <c r="L84" s="316"/>
      <c r="M84" s="319"/>
      <c r="N84" s="7"/>
      <c r="O84" s="7"/>
      <c r="P84" s="320" t="str">
        <f t="shared" si="32"/>
        <v/>
      </c>
      <c r="Q84" s="324"/>
      <c r="R84" s="325" t="str">
        <f t="shared" si="33"/>
        <v/>
      </c>
      <c r="S84" s="322" t="str">
        <f t="shared" si="46"/>
        <v/>
      </c>
      <c r="T84" s="325" t="str">
        <f t="shared" si="34"/>
        <v/>
      </c>
      <c r="U84" s="325" t="str">
        <f t="shared" si="35"/>
        <v/>
      </c>
      <c r="V84" s="325" t="str">
        <f t="shared" si="36"/>
        <v/>
      </c>
      <c r="W84" s="37" t="str">
        <f t="shared" si="37"/>
        <v/>
      </c>
      <c r="X84" s="38" t="str">
        <f t="shared" si="38"/>
        <v/>
      </c>
      <c r="Y84" s="325" t="str">
        <f t="shared" si="39"/>
        <v/>
      </c>
      <c r="Z84" s="38" t="str">
        <f t="shared" si="40"/>
        <v/>
      </c>
      <c r="AA84" s="38" t="str">
        <f t="shared" si="41"/>
        <v/>
      </c>
      <c r="AB84" s="20" t="str">
        <f t="shared" si="42"/>
        <v/>
      </c>
      <c r="AC84" s="325" t="str">
        <f t="shared" si="43"/>
        <v/>
      </c>
      <c r="AD84" s="325" t="str">
        <f t="shared" si="44"/>
        <v/>
      </c>
      <c r="AE84" s="184"/>
      <c r="AF84" s="678" t="str">
        <f t="shared" si="47"/>
        <v/>
      </c>
      <c r="AG84" s="63"/>
      <c r="AH84" s="187" t="str" cm="1">
        <f t="array" ref="AH84">IF(OR(AF84="",P84=""),"",_xlfn.IFS(IFERROR(VALUE(TRIM(SUBSTITUTE(AF84,CHAR(160),""))),0)&gt;IFERROR(VALUE(TRIM(SUBSTITUTE(P84,CHAR(160),""))),0),"KO : Le montant retenu est supérieur au montant présenté. Merci de revoir la ligne de contributions ou plafonner son montant.",IFERROR(VALUE(TRIM(SUBSTITUTE(P84,CHAR(160),""))),0)=0,"",IFERROR(VALUE(TRIM(SUBSTITUTE(AF84,CHAR(160),""))),0)=IFERROR(VALUE(TRIM(SUBSTITUTE(P84,CHAR(160),""))),0),"OK",IFERROR(VALUE(TRIM(SUBSTITUTE(AF84,CHAR(160),""))),0)&lt;IFERROR(VALUE(TRIM(SUBSTITUTE(P84,CHAR(160),""))),0),"Montant instruit inférieur au montant présenté.",TRUE,""))</f>
        <v/>
      </c>
      <c r="AI84" s="180" t="str">
        <f t="shared" si="45"/>
        <v/>
      </c>
    </row>
    <row r="85" spans="1:35" ht="15" customHeight="1">
      <c r="A85" s="70">
        <v>76</v>
      </c>
      <c r="B85" s="784"/>
      <c r="C85" s="7"/>
      <c r="D85" s="11"/>
      <c r="E85" s="7"/>
      <c r="F85" s="314"/>
      <c r="G85" s="7"/>
      <c r="H85" s="323"/>
      <c r="I85" s="316"/>
      <c r="J85" s="317"/>
      <c r="K85" s="316"/>
      <c r="L85" s="316"/>
      <c r="M85" s="319"/>
      <c r="N85" s="7"/>
      <c r="O85" s="7"/>
      <c r="P85" s="320" t="str">
        <f t="shared" si="32"/>
        <v/>
      </c>
      <c r="Q85" s="324"/>
      <c r="R85" s="325" t="str">
        <f t="shared" si="33"/>
        <v/>
      </c>
      <c r="S85" s="322" t="str">
        <f t="shared" si="46"/>
        <v/>
      </c>
      <c r="T85" s="325" t="str">
        <f t="shared" si="34"/>
        <v/>
      </c>
      <c r="U85" s="325" t="str">
        <f t="shared" si="35"/>
        <v/>
      </c>
      <c r="V85" s="325" t="str">
        <f t="shared" si="36"/>
        <v/>
      </c>
      <c r="W85" s="37" t="str">
        <f t="shared" si="37"/>
        <v/>
      </c>
      <c r="X85" s="38" t="str">
        <f t="shared" si="38"/>
        <v/>
      </c>
      <c r="Y85" s="325" t="str">
        <f t="shared" si="39"/>
        <v/>
      </c>
      <c r="Z85" s="38" t="str">
        <f t="shared" si="40"/>
        <v/>
      </c>
      <c r="AA85" s="38" t="str">
        <f t="shared" si="41"/>
        <v/>
      </c>
      <c r="AB85" s="20" t="str">
        <f t="shared" si="42"/>
        <v/>
      </c>
      <c r="AC85" s="325" t="str">
        <f t="shared" si="43"/>
        <v/>
      </c>
      <c r="AD85" s="325" t="str">
        <f t="shared" si="44"/>
        <v/>
      </c>
      <c r="AE85" s="184"/>
      <c r="AF85" s="678" t="str">
        <f t="shared" si="47"/>
        <v/>
      </c>
      <c r="AG85" s="63"/>
      <c r="AH85" s="187" t="str" cm="1">
        <f t="array" ref="AH85">IF(OR(AF85="",P85=""),"",_xlfn.IFS(IFERROR(VALUE(TRIM(SUBSTITUTE(AF85,CHAR(160),""))),0)&gt;IFERROR(VALUE(TRIM(SUBSTITUTE(P85,CHAR(160),""))),0),"KO : Le montant retenu est supérieur au montant présenté. Merci de revoir la ligne de contributions ou plafonner son montant.",IFERROR(VALUE(TRIM(SUBSTITUTE(P85,CHAR(160),""))),0)=0,"",IFERROR(VALUE(TRIM(SUBSTITUTE(AF85,CHAR(160),""))),0)=IFERROR(VALUE(TRIM(SUBSTITUTE(P85,CHAR(160),""))),0),"OK",IFERROR(VALUE(TRIM(SUBSTITUTE(AF85,CHAR(160),""))),0)&lt;IFERROR(VALUE(TRIM(SUBSTITUTE(P85,CHAR(160),""))),0),"Montant instruit inférieur au montant présenté.",TRUE,""))</f>
        <v/>
      </c>
      <c r="AI85" s="180" t="str">
        <f t="shared" si="45"/>
        <v/>
      </c>
    </row>
    <row r="86" spans="1:35" ht="15" customHeight="1">
      <c r="A86" s="70">
        <v>77</v>
      </c>
      <c r="B86" s="784"/>
      <c r="C86" s="7"/>
      <c r="D86" s="11"/>
      <c r="E86" s="7"/>
      <c r="F86" s="314"/>
      <c r="G86" s="7"/>
      <c r="H86" s="323"/>
      <c r="I86" s="316"/>
      <c r="J86" s="317"/>
      <c r="K86" s="316"/>
      <c r="L86" s="316"/>
      <c r="M86" s="319"/>
      <c r="N86" s="7"/>
      <c r="O86" s="7"/>
      <c r="P86" s="320" t="str">
        <f t="shared" si="32"/>
        <v/>
      </c>
      <c r="Q86" s="324"/>
      <c r="R86" s="325" t="str">
        <f t="shared" si="33"/>
        <v/>
      </c>
      <c r="S86" s="322" t="str">
        <f t="shared" si="46"/>
        <v/>
      </c>
      <c r="T86" s="325" t="str">
        <f t="shared" si="34"/>
        <v/>
      </c>
      <c r="U86" s="325" t="str">
        <f t="shared" si="35"/>
        <v/>
      </c>
      <c r="V86" s="325" t="str">
        <f t="shared" si="36"/>
        <v/>
      </c>
      <c r="W86" s="37" t="str">
        <f t="shared" si="37"/>
        <v/>
      </c>
      <c r="X86" s="38" t="str">
        <f t="shared" si="38"/>
        <v/>
      </c>
      <c r="Y86" s="325" t="str">
        <f t="shared" si="39"/>
        <v/>
      </c>
      <c r="Z86" s="38" t="str">
        <f t="shared" si="40"/>
        <v/>
      </c>
      <c r="AA86" s="38" t="str">
        <f t="shared" si="41"/>
        <v/>
      </c>
      <c r="AB86" s="20" t="str">
        <f t="shared" si="42"/>
        <v/>
      </c>
      <c r="AC86" s="325" t="str">
        <f t="shared" si="43"/>
        <v/>
      </c>
      <c r="AD86" s="325" t="str">
        <f t="shared" si="44"/>
        <v/>
      </c>
      <c r="AE86" s="184"/>
      <c r="AF86" s="678" t="str">
        <f t="shared" si="47"/>
        <v/>
      </c>
      <c r="AG86" s="63"/>
      <c r="AH86" s="187" t="str" cm="1">
        <f t="array" ref="AH86">IF(OR(AF86="",P86=""),"",_xlfn.IFS(IFERROR(VALUE(TRIM(SUBSTITUTE(AF86,CHAR(160),""))),0)&gt;IFERROR(VALUE(TRIM(SUBSTITUTE(P86,CHAR(160),""))),0),"KO : Le montant retenu est supérieur au montant présenté. Merci de revoir la ligne de contributions ou plafonner son montant.",IFERROR(VALUE(TRIM(SUBSTITUTE(P86,CHAR(160),""))),0)=0,"",IFERROR(VALUE(TRIM(SUBSTITUTE(AF86,CHAR(160),""))),0)=IFERROR(VALUE(TRIM(SUBSTITUTE(P86,CHAR(160),""))),0),"OK",IFERROR(VALUE(TRIM(SUBSTITUTE(AF86,CHAR(160),""))),0)&lt;IFERROR(VALUE(TRIM(SUBSTITUTE(P86,CHAR(160),""))),0),"Montant instruit inférieur au montant présenté.",TRUE,""))</f>
        <v/>
      </c>
      <c r="AI86" s="180" t="str">
        <f t="shared" si="45"/>
        <v/>
      </c>
    </row>
    <row r="87" spans="1:35" ht="15" customHeight="1">
      <c r="A87" s="70">
        <v>78</v>
      </c>
      <c r="B87" s="784"/>
      <c r="C87" s="7"/>
      <c r="D87" s="11"/>
      <c r="E87" s="7"/>
      <c r="F87" s="314"/>
      <c r="G87" s="7"/>
      <c r="H87" s="323"/>
      <c r="I87" s="316"/>
      <c r="J87" s="317"/>
      <c r="K87" s="316"/>
      <c r="L87" s="316"/>
      <c r="M87" s="319"/>
      <c r="N87" s="7"/>
      <c r="O87" s="7"/>
      <c r="P87" s="320" t="str">
        <f t="shared" si="32"/>
        <v/>
      </c>
      <c r="Q87" s="324"/>
      <c r="R87" s="325" t="str">
        <f t="shared" si="33"/>
        <v/>
      </c>
      <c r="S87" s="322" t="str">
        <f t="shared" si="46"/>
        <v/>
      </c>
      <c r="T87" s="325" t="str">
        <f t="shared" si="34"/>
        <v/>
      </c>
      <c r="U87" s="325" t="str">
        <f t="shared" si="35"/>
        <v/>
      </c>
      <c r="V87" s="325" t="str">
        <f t="shared" si="36"/>
        <v/>
      </c>
      <c r="W87" s="37" t="str">
        <f t="shared" si="37"/>
        <v/>
      </c>
      <c r="X87" s="38" t="str">
        <f t="shared" si="38"/>
        <v/>
      </c>
      <c r="Y87" s="325" t="str">
        <f t="shared" si="39"/>
        <v/>
      </c>
      <c r="Z87" s="38" t="str">
        <f t="shared" si="40"/>
        <v/>
      </c>
      <c r="AA87" s="38" t="str">
        <f t="shared" si="41"/>
        <v/>
      </c>
      <c r="AB87" s="20" t="str">
        <f t="shared" si="42"/>
        <v/>
      </c>
      <c r="AC87" s="325" t="str">
        <f t="shared" si="43"/>
        <v/>
      </c>
      <c r="AD87" s="325" t="str">
        <f t="shared" si="44"/>
        <v/>
      </c>
      <c r="AE87" s="184"/>
      <c r="AF87" s="678" t="str">
        <f t="shared" si="47"/>
        <v/>
      </c>
      <c r="AG87" s="63"/>
      <c r="AH87" s="187" t="str" cm="1">
        <f t="array" ref="AH87">IF(OR(AF87="",P87=""),"",_xlfn.IFS(IFERROR(VALUE(TRIM(SUBSTITUTE(AF87,CHAR(160),""))),0)&gt;IFERROR(VALUE(TRIM(SUBSTITUTE(P87,CHAR(160),""))),0),"KO : Le montant retenu est supérieur au montant présenté. Merci de revoir la ligne de contributions ou plafonner son montant.",IFERROR(VALUE(TRIM(SUBSTITUTE(P87,CHAR(160),""))),0)=0,"",IFERROR(VALUE(TRIM(SUBSTITUTE(AF87,CHAR(160),""))),0)=IFERROR(VALUE(TRIM(SUBSTITUTE(P87,CHAR(160),""))),0),"OK",IFERROR(VALUE(TRIM(SUBSTITUTE(AF87,CHAR(160),""))),0)&lt;IFERROR(VALUE(TRIM(SUBSTITUTE(P87,CHAR(160),""))),0),"Montant instruit inférieur au montant présenté.",TRUE,""))</f>
        <v/>
      </c>
      <c r="AI87" s="180" t="str">
        <f t="shared" si="45"/>
        <v/>
      </c>
    </row>
    <row r="88" spans="1:35" ht="15" customHeight="1">
      <c r="A88" s="70">
        <v>79</v>
      </c>
      <c r="B88" s="784"/>
      <c r="C88" s="7"/>
      <c r="D88" s="11"/>
      <c r="E88" s="7"/>
      <c r="F88" s="314"/>
      <c r="G88" s="7"/>
      <c r="H88" s="323"/>
      <c r="I88" s="316"/>
      <c r="J88" s="317"/>
      <c r="K88" s="316"/>
      <c r="L88" s="316"/>
      <c r="M88" s="319"/>
      <c r="N88" s="7"/>
      <c r="O88" s="7"/>
      <c r="P88" s="320" t="str">
        <f t="shared" si="32"/>
        <v/>
      </c>
      <c r="Q88" s="324"/>
      <c r="R88" s="325" t="str">
        <f t="shared" si="33"/>
        <v/>
      </c>
      <c r="S88" s="322" t="str">
        <f t="shared" si="46"/>
        <v/>
      </c>
      <c r="T88" s="325" t="str">
        <f t="shared" si="34"/>
        <v/>
      </c>
      <c r="U88" s="325" t="str">
        <f t="shared" si="35"/>
        <v/>
      </c>
      <c r="V88" s="325" t="str">
        <f t="shared" si="36"/>
        <v/>
      </c>
      <c r="W88" s="37" t="str">
        <f t="shared" si="37"/>
        <v/>
      </c>
      <c r="X88" s="38" t="str">
        <f t="shared" si="38"/>
        <v/>
      </c>
      <c r="Y88" s="325" t="str">
        <f t="shared" si="39"/>
        <v/>
      </c>
      <c r="Z88" s="38" t="str">
        <f t="shared" si="40"/>
        <v/>
      </c>
      <c r="AA88" s="38" t="str">
        <f t="shared" si="41"/>
        <v/>
      </c>
      <c r="AB88" s="20" t="str">
        <f t="shared" si="42"/>
        <v/>
      </c>
      <c r="AC88" s="325" t="str">
        <f t="shared" si="43"/>
        <v/>
      </c>
      <c r="AD88" s="325" t="str">
        <f t="shared" si="44"/>
        <v/>
      </c>
      <c r="AE88" s="184"/>
      <c r="AF88" s="678" t="str">
        <f t="shared" si="47"/>
        <v/>
      </c>
      <c r="AG88" s="63"/>
      <c r="AH88" s="187" t="str" cm="1">
        <f t="array" ref="AH88">IF(OR(AF88="",P88=""),"",_xlfn.IFS(IFERROR(VALUE(TRIM(SUBSTITUTE(AF88,CHAR(160),""))),0)&gt;IFERROR(VALUE(TRIM(SUBSTITUTE(P88,CHAR(160),""))),0),"KO : Le montant retenu est supérieur au montant présenté. Merci de revoir la ligne de contributions ou plafonner son montant.",IFERROR(VALUE(TRIM(SUBSTITUTE(P88,CHAR(160),""))),0)=0,"",IFERROR(VALUE(TRIM(SUBSTITUTE(AF88,CHAR(160),""))),0)=IFERROR(VALUE(TRIM(SUBSTITUTE(P88,CHAR(160),""))),0),"OK",IFERROR(VALUE(TRIM(SUBSTITUTE(AF88,CHAR(160),""))),0)&lt;IFERROR(VALUE(TRIM(SUBSTITUTE(P88,CHAR(160),""))),0),"Montant instruit inférieur au montant présenté.",TRUE,""))</f>
        <v/>
      </c>
      <c r="AI88" s="180" t="str">
        <f t="shared" si="45"/>
        <v/>
      </c>
    </row>
    <row r="89" spans="1:35" ht="15" customHeight="1">
      <c r="A89" s="70">
        <v>80</v>
      </c>
      <c r="B89" s="784"/>
      <c r="C89" s="7"/>
      <c r="D89" s="11"/>
      <c r="E89" s="7"/>
      <c r="F89" s="314"/>
      <c r="G89" s="7"/>
      <c r="H89" s="323"/>
      <c r="I89" s="316"/>
      <c r="J89" s="317"/>
      <c r="K89" s="316"/>
      <c r="L89" s="316"/>
      <c r="M89" s="319"/>
      <c r="N89" s="7"/>
      <c r="O89" s="7"/>
      <c r="P89" s="320" t="str">
        <f t="shared" si="32"/>
        <v/>
      </c>
      <c r="Q89" s="324"/>
      <c r="R89" s="325" t="str">
        <f t="shared" si="33"/>
        <v/>
      </c>
      <c r="S89" s="322" t="str">
        <f t="shared" si="46"/>
        <v/>
      </c>
      <c r="T89" s="325" t="str">
        <f t="shared" si="34"/>
        <v/>
      </c>
      <c r="U89" s="325" t="str">
        <f t="shared" si="35"/>
        <v/>
      </c>
      <c r="V89" s="325" t="str">
        <f t="shared" si="36"/>
        <v/>
      </c>
      <c r="W89" s="37" t="str">
        <f t="shared" si="37"/>
        <v/>
      </c>
      <c r="X89" s="38" t="str">
        <f t="shared" si="38"/>
        <v/>
      </c>
      <c r="Y89" s="325" t="str">
        <f t="shared" si="39"/>
        <v/>
      </c>
      <c r="Z89" s="38" t="str">
        <f t="shared" si="40"/>
        <v/>
      </c>
      <c r="AA89" s="38" t="str">
        <f t="shared" si="41"/>
        <v/>
      </c>
      <c r="AB89" s="20" t="str">
        <f t="shared" si="42"/>
        <v/>
      </c>
      <c r="AC89" s="325" t="str">
        <f t="shared" si="43"/>
        <v/>
      </c>
      <c r="AD89" s="325" t="str">
        <f t="shared" si="44"/>
        <v/>
      </c>
      <c r="AE89" s="184"/>
      <c r="AF89" s="678" t="str">
        <f t="shared" si="47"/>
        <v/>
      </c>
      <c r="AG89" s="63"/>
      <c r="AH89" s="187" t="str" cm="1">
        <f t="array" ref="AH89">IF(OR(AF89="",P89=""),"",_xlfn.IFS(IFERROR(VALUE(TRIM(SUBSTITUTE(AF89,CHAR(160),""))),0)&gt;IFERROR(VALUE(TRIM(SUBSTITUTE(P89,CHAR(160),""))),0),"KO : Le montant retenu est supérieur au montant présenté. Merci de revoir la ligne de contributions ou plafonner son montant.",IFERROR(VALUE(TRIM(SUBSTITUTE(P89,CHAR(160),""))),0)=0,"",IFERROR(VALUE(TRIM(SUBSTITUTE(AF89,CHAR(160),""))),0)=IFERROR(VALUE(TRIM(SUBSTITUTE(P89,CHAR(160),""))),0),"OK",IFERROR(VALUE(TRIM(SUBSTITUTE(AF89,CHAR(160),""))),0)&lt;IFERROR(VALUE(TRIM(SUBSTITUTE(P89,CHAR(160),""))),0),"Montant instruit inférieur au montant présenté.",TRUE,""))</f>
        <v/>
      </c>
      <c r="AI89" s="180" t="str">
        <f t="shared" si="45"/>
        <v/>
      </c>
    </row>
    <row r="90" spans="1:35" ht="15" customHeight="1">
      <c r="A90" s="70">
        <v>81</v>
      </c>
      <c r="B90" s="784"/>
      <c r="C90" s="7"/>
      <c r="D90" s="11"/>
      <c r="E90" s="7"/>
      <c r="F90" s="314"/>
      <c r="G90" s="7"/>
      <c r="H90" s="323"/>
      <c r="I90" s="316"/>
      <c r="J90" s="317"/>
      <c r="K90" s="316"/>
      <c r="L90" s="316"/>
      <c r="M90" s="319"/>
      <c r="N90" s="7"/>
      <c r="O90" s="7"/>
      <c r="P90" s="320" t="str">
        <f t="shared" si="32"/>
        <v/>
      </c>
      <c r="Q90" s="324"/>
      <c r="R90" s="325" t="str">
        <f t="shared" si="33"/>
        <v/>
      </c>
      <c r="S90" s="322" t="str">
        <f t="shared" si="46"/>
        <v/>
      </c>
      <c r="T90" s="325" t="str">
        <f t="shared" si="34"/>
        <v/>
      </c>
      <c r="U90" s="325" t="str">
        <f t="shared" si="35"/>
        <v/>
      </c>
      <c r="V90" s="325" t="str">
        <f t="shared" si="36"/>
        <v/>
      </c>
      <c r="W90" s="37" t="str">
        <f t="shared" si="37"/>
        <v/>
      </c>
      <c r="X90" s="38" t="str">
        <f t="shared" si="38"/>
        <v/>
      </c>
      <c r="Y90" s="325" t="str">
        <f t="shared" si="39"/>
        <v/>
      </c>
      <c r="Z90" s="38" t="str">
        <f t="shared" si="40"/>
        <v/>
      </c>
      <c r="AA90" s="38" t="str">
        <f t="shared" si="41"/>
        <v/>
      </c>
      <c r="AB90" s="20" t="str">
        <f t="shared" si="42"/>
        <v/>
      </c>
      <c r="AC90" s="325" t="str">
        <f t="shared" si="43"/>
        <v/>
      </c>
      <c r="AD90" s="325" t="str">
        <f t="shared" si="44"/>
        <v/>
      </c>
      <c r="AE90" s="184"/>
      <c r="AF90" s="678" t="str">
        <f t="shared" si="47"/>
        <v/>
      </c>
      <c r="AG90" s="63"/>
      <c r="AH90" s="187" t="str" cm="1">
        <f t="array" ref="AH90">IF(OR(AF90="",P90=""),"",_xlfn.IFS(IFERROR(VALUE(TRIM(SUBSTITUTE(AF90,CHAR(160),""))),0)&gt;IFERROR(VALUE(TRIM(SUBSTITUTE(P90,CHAR(160),""))),0),"KO : Le montant retenu est supérieur au montant présenté. Merci de revoir la ligne de contributions ou plafonner son montant.",IFERROR(VALUE(TRIM(SUBSTITUTE(P90,CHAR(160),""))),0)=0,"",IFERROR(VALUE(TRIM(SUBSTITUTE(AF90,CHAR(160),""))),0)=IFERROR(VALUE(TRIM(SUBSTITUTE(P90,CHAR(160),""))),0),"OK",IFERROR(VALUE(TRIM(SUBSTITUTE(AF90,CHAR(160),""))),0)&lt;IFERROR(VALUE(TRIM(SUBSTITUTE(P90,CHAR(160),""))),0),"Montant instruit inférieur au montant présenté.",TRUE,""))</f>
        <v/>
      </c>
      <c r="AI90" s="180" t="str">
        <f t="shared" si="45"/>
        <v/>
      </c>
    </row>
    <row r="91" spans="1:35" ht="15" customHeight="1">
      <c r="A91" s="70">
        <v>82</v>
      </c>
      <c r="B91" s="784"/>
      <c r="C91" s="7"/>
      <c r="D91" s="11"/>
      <c r="E91" s="7"/>
      <c r="F91" s="314"/>
      <c r="G91" s="7"/>
      <c r="H91" s="323"/>
      <c r="I91" s="316"/>
      <c r="J91" s="317"/>
      <c r="K91" s="316"/>
      <c r="L91" s="316"/>
      <c r="M91" s="319"/>
      <c r="N91" s="7"/>
      <c r="O91" s="7"/>
      <c r="P91" s="320" t="str">
        <f t="shared" si="32"/>
        <v/>
      </c>
      <c r="Q91" s="324"/>
      <c r="R91" s="325" t="str">
        <f t="shared" si="33"/>
        <v/>
      </c>
      <c r="S91" s="322" t="str">
        <f t="shared" si="46"/>
        <v/>
      </c>
      <c r="T91" s="325" t="str">
        <f t="shared" si="34"/>
        <v/>
      </c>
      <c r="U91" s="325" t="str">
        <f t="shared" si="35"/>
        <v/>
      </c>
      <c r="V91" s="325" t="str">
        <f t="shared" si="36"/>
        <v/>
      </c>
      <c r="W91" s="37" t="str">
        <f t="shared" si="37"/>
        <v/>
      </c>
      <c r="X91" s="38" t="str">
        <f t="shared" si="38"/>
        <v/>
      </c>
      <c r="Y91" s="325" t="str">
        <f t="shared" si="39"/>
        <v/>
      </c>
      <c r="Z91" s="38" t="str">
        <f t="shared" si="40"/>
        <v/>
      </c>
      <c r="AA91" s="38" t="str">
        <f t="shared" si="41"/>
        <v/>
      </c>
      <c r="AB91" s="20" t="str">
        <f t="shared" si="42"/>
        <v/>
      </c>
      <c r="AC91" s="325" t="str">
        <f t="shared" si="43"/>
        <v/>
      </c>
      <c r="AD91" s="325" t="str">
        <f t="shared" si="44"/>
        <v/>
      </c>
      <c r="AE91" s="184"/>
      <c r="AF91" s="678" t="str">
        <f t="shared" si="47"/>
        <v/>
      </c>
      <c r="AG91" s="63"/>
      <c r="AH91" s="187" t="str" cm="1">
        <f t="array" ref="AH91">IF(OR(AF91="",P91=""),"",_xlfn.IFS(IFERROR(VALUE(TRIM(SUBSTITUTE(AF91,CHAR(160),""))),0)&gt;IFERROR(VALUE(TRIM(SUBSTITUTE(P91,CHAR(160),""))),0),"KO : Le montant retenu est supérieur au montant présenté. Merci de revoir la ligne de contributions ou plafonner son montant.",IFERROR(VALUE(TRIM(SUBSTITUTE(P91,CHAR(160),""))),0)=0,"",IFERROR(VALUE(TRIM(SUBSTITUTE(AF91,CHAR(160),""))),0)=IFERROR(VALUE(TRIM(SUBSTITUTE(P91,CHAR(160),""))),0),"OK",IFERROR(VALUE(TRIM(SUBSTITUTE(AF91,CHAR(160),""))),0)&lt;IFERROR(VALUE(TRIM(SUBSTITUTE(P91,CHAR(160),""))),0),"Montant instruit inférieur au montant présenté.",TRUE,""))</f>
        <v/>
      </c>
      <c r="AI91" s="180" t="str">
        <f t="shared" si="45"/>
        <v/>
      </c>
    </row>
    <row r="92" spans="1:35" ht="15" customHeight="1">
      <c r="A92" s="70">
        <v>83</v>
      </c>
      <c r="B92" s="784"/>
      <c r="C92" s="7"/>
      <c r="D92" s="11"/>
      <c r="E92" s="7"/>
      <c r="F92" s="314"/>
      <c r="G92" s="7"/>
      <c r="H92" s="323"/>
      <c r="I92" s="316"/>
      <c r="J92" s="317"/>
      <c r="K92" s="316"/>
      <c r="L92" s="316"/>
      <c r="M92" s="319"/>
      <c r="N92" s="7"/>
      <c r="O92" s="7"/>
      <c r="P92" s="320" t="str">
        <f t="shared" si="32"/>
        <v/>
      </c>
      <c r="Q92" s="324"/>
      <c r="R92" s="325" t="str">
        <f t="shared" si="33"/>
        <v/>
      </c>
      <c r="S92" s="322" t="str">
        <f t="shared" si="46"/>
        <v/>
      </c>
      <c r="T92" s="325" t="str">
        <f t="shared" si="34"/>
        <v/>
      </c>
      <c r="U92" s="325" t="str">
        <f t="shared" si="35"/>
        <v/>
      </c>
      <c r="V92" s="325" t="str">
        <f t="shared" si="36"/>
        <v/>
      </c>
      <c r="W92" s="37" t="str">
        <f t="shared" si="37"/>
        <v/>
      </c>
      <c r="X92" s="38" t="str">
        <f t="shared" si="38"/>
        <v/>
      </c>
      <c r="Y92" s="325" t="str">
        <f t="shared" si="39"/>
        <v/>
      </c>
      <c r="Z92" s="38" t="str">
        <f t="shared" si="40"/>
        <v/>
      </c>
      <c r="AA92" s="38" t="str">
        <f t="shared" si="41"/>
        <v/>
      </c>
      <c r="AB92" s="20" t="str">
        <f t="shared" si="42"/>
        <v/>
      </c>
      <c r="AC92" s="325" t="str">
        <f t="shared" si="43"/>
        <v/>
      </c>
      <c r="AD92" s="325" t="str">
        <f t="shared" si="44"/>
        <v/>
      </c>
      <c r="AE92" s="184"/>
      <c r="AF92" s="678" t="str">
        <f t="shared" si="47"/>
        <v/>
      </c>
      <c r="AG92" s="63"/>
      <c r="AH92" s="187" t="str" cm="1">
        <f t="array" ref="AH92">IF(OR(AF92="",P92=""),"",_xlfn.IFS(IFERROR(VALUE(TRIM(SUBSTITUTE(AF92,CHAR(160),""))),0)&gt;IFERROR(VALUE(TRIM(SUBSTITUTE(P92,CHAR(160),""))),0),"KO : Le montant retenu est supérieur au montant présenté. Merci de revoir la ligne de contributions ou plafonner son montant.",IFERROR(VALUE(TRIM(SUBSTITUTE(P92,CHAR(160),""))),0)=0,"",IFERROR(VALUE(TRIM(SUBSTITUTE(AF92,CHAR(160),""))),0)=IFERROR(VALUE(TRIM(SUBSTITUTE(P92,CHAR(160),""))),0),"OK",IFERROR(VALUE(TRIM(SUBSTITUTE(AF92,CHAR(160),""))),0)&lt;IFERROR(VALUE(TRIM(SUBSTITUTE(P92,CHAR(160),""))),0),"Montant instruit inférieur au montant présenté.",TRUE,""))</f>
        <v/>
      </c>
      <c r="AI92" s="180" t="str">
        <f t="shared" si="45"/>
        <v/>
      </c>
    </row>
    <row r="93" spans="1:35" ht="15" customHeight="1">
      <c r="A93" s="70">
        <v>84</v>
      </c>
      <c r="B93" s="784"/>
      <c r="C93" s="7"/>
      <c r="D93" s="11"/>
      <c r="E93" s="7"/>
      <c r="F93" s="314"/>
      <c r="G93" s="7"/>
      <c r="H93" s="323"/>
      <c r="I93" s="316"/>
      <c r="J93" s="317"/>
      <c r="K93" s="316"/>
      <c r="L93" s="316"/>
      <c r="M93" s="319"/>
      <c r="N93" s="7"/>
      <c r="O93" s="7"/>
      <c r="P93" s="320" t="str">
        <f t="shared" si="32"/>
        <v/>
      </c>
      <c r="Q93" s="324"/>
      <c r="R93" s="325" t="str">
        <f t="shared" si="33"/>
        <v/>
      </c>
      <c r="S93" s="322" t="str">
        <f t="shared" si="46"/>
        <v/>
      </c>
      <c r="T93" s="325" t="str">
        <f t="shared" si="34"/>
        <v/>
      </c>
      <c r="U93" s="325" t="str">
        <f t="shared" si="35"/>
        <v/>
      </c>
      <c r="V93" s="325" t="str">
        <f t="shared" si="36"/>
        <v/>
      </c>
      <c r="W93" s="37" t="str">
        <f t="shared" si="37"/>
        <v/>
      </c>
      <c r="X93" s="38" t="str">
        <f t="shared" si="38"/>
        <v/>
      </c>
      <c r="Y93" s="325" t="str">
        <f t="shared" si="39"/>
        <v/>
      </c>
      <c r="Z93" s="38" t="str">
        <f t="shared" si="40"/>
        <v/>
      </c>
      <c r="AA93" s="38" t="str">
        <f t="shared" si="41"/>
        <v/>
      </c>
      <c r="AB93" s="20" t="str">
        <f t="shared" si="42"/>
        <v/>
      </c>
      <c r="AC93" s="325" t="str">
        <f t="shared" si="43"/>
        <v/>
      </c>
      <c r="AD93" s="325" t="str">
        <f t="shared" si="44"/>
        <v/>
      </c>
      <c r="AE93" s="184"/>
      <c r="AF93" s="678" t="str">
        <f t="shared" si="47"/>
        <v/>
      </c>
      <c r="AG93" s="63"/>
      <c r="AH93" s="187" t="str" cm="1">
        <f t="array" ref="AH93">IF(OR(AF93="",P93=""),"",_xlfn.IFS(IFERROR(VALUE(TRIM(SUBSTITUTE(AF93,CHAR(160),""))),0)&gt;IFERROR(VALUE(TRIM(SUBSTITUTE(P93,CHAR(160),""))),0),"KO : Le montant retenu est supérieur au montant présenté. Merci de revoir la ligne de contributions ou plafonner son montant.",IFERROR(VALUE(TRIM(SUBSTITUTE(P93,CHAR(160),""))),0)=0,"",IFERROR(VALUE(TRIM(SUBSTITUTE(AF93,CHAR(160),""))),0)=IFERROR(VALUE(TRIM(SUBSTITUTE(P93,CHAR(160),""))),0),"OK",IFERROR(VALUE(TRIM(SUBSTITUTE(AF93,CHAR(160),""))),0)&lt;IFERROR(VALUE(TRIM(SUBSTITUTE(P93,CHAR(160),""))),0),"Montant instruit inférieur au montant présenté.",TRUE,""))</f>
        <v/>
      </c>
      <c r="AI93" s="180" t="str">
        <f t="shared" si="45"/>
        <v/>
      </c>
    </row>
    <row r="94" spans="1:35" ht="15" customHeight="1">
      <c r="A94" s="70">
        <v>85</v>
      </c>
      <c r="B94" s="784"/>
      <c r="C94" s="7"/>
      <c r="D94" s="11"/>
      <c r="E94" s="7"/>
      <c r="F94" s="314"/>
      <c r="G94" s="7"/>
      <c r="H94" s="323"/>
      <c r="I94" s="316"/>
      <c r="J94" s="317"/>
      <c r="K94" s="316"/>
      <c r="L94" s="316"/>
      <c r="M94" s="319"/>
      <c r="N94" s="7"/>
      <c r="O94" s="7"/>
      <c r="P94" s="320" t="str">
        <f t="shared" si="32"/>
        <v/>
      </c>
      <c r="Q94" s="324"/>
      <c r="R94" s="325" t="str">
        <f t="shared" si="33"/>
        <v/>
      </c>
      <c r="S94" s="322" t="str">
        <f t="shared" si="46"/>
        <v/>
      </c>
      <c r="T94" s="325" t="str">
        <f t="shared" si="34"/>
        <v/>
      </c>
      <c r="U94" s="325" t="str">
        <f t="shared" si="35"/>
        <v/>
      </c>
      <c r="V94" s="325" t="str">
        <f t="shared" si="36"/>
        <v/>
      </c>
      <c r="W94" s="37" t="str">
        <f t="shared" si="37"/>
        <v/>
      </c>
      <c r="X94" s="38" t="str">
        <f t="shared" si="38"/>
        <v/>
      </c>
      <c r="Y94" s="325" t="str">
        <f t="shared" si="39"/>
        <v/>
      </c>
      <c r="Z94" s="38" t="str">
        <f t="shared" si="40"/>
        <v/>
      </c>
      <c r="AA94" s="38" t="str">
        <f t="shared" si="41"/>
        <v/>
      </c>
      <c r="AB94" s="20" t="str">
        <f t="shared" si="42"/>
        <v/>
      </c>
      <c r="AC94" s="325" t="str">
        <f t="shared" si="43"/>
        <v/>
      </c>
      <c r="AD94" s="325" t="str">
        <f t="shared" si="44"/>
        <v/>
      </c>
      <c r="AE94" s="184"/>
      <c r="AF94" s="678" t="str">
        <f t="shared" si="47"/>
        <v/>
      </c>
      <c r="AG94" s="63"/>
      <c r="AH94" s="187" t="str" cm="1">
        <f t="array" ref="AH94">IF(OR(AF94="",P94=""),"",_xlfn.IFS(IFERROR(VALUE(TRIM(SUBSTITUTE(AF94,CHAR(160),""))),0)&gt;IFERROR(VALUE(TRIM(SUBSTITUTE(P94,CHAR(160),""))),0),"KO : Le montant retenu est supérieur au montant présenté. Merci de revoir la ligne de contributions ou plafonner son montant.",IFERROR(VALUE(TRIM(SUBSTITUTE(P94,CHAR(160),""))),0)=0,"",IFERROR(VALUE(TRIM(SUBSTITUTE(AF94,CHAR(160),""))),0)=IFERROR(VALUE(TRIM(SUBSTITUTE(P94,CHAR(160),""))),0),"OK",IFERROR(VALUE(TRIM(SUBSTITUTE(AF94,CHAR(160),""))),0)&lt;IFERROR(VALUE(TRIM(SUBSTITUTE(P94,CHAR(160),""))),0),"Montant instruit inférieur au montant présenté.",TRUE,""))</f>
        <v/>
      </c>
      <c r="AI94" s="180" t="str">
        <f t="shared" si="45"/>
        <v/>
      </c>
    </row>
    <row r="95" spans="1:35" ht="15" customHeight="1">
      <c r="A95" s="70">
        <v>86</v>
      </c>
      <c r="B95" s="784"/>
      <c r="C95" s="7"/>
      <c r="D95" s="11"/>
      <c r="E95" s="7"/>
      <c r="F95" s="314"/>
      <c r="G95" s="7"/>
      <c r="H95" s="323"/>
      <c r="I95" s="316"/>
      <c r="J95" s="317"/>
      <c r="K95" s="316"/>
      <c r="L95" s="316"/>
      <c r="M95" s="319"/>
      <c r="N95" s="7"/>
      <c r="O95" s="7"/>
      <c r="P95" s="320" t="str">
        <f t="shared" si="32"/>
        <v/>
      </c>
      <c r="Q95" s="324"/>
      <c r="R95" s="325" t="str">
        <f t="shared" si="33"/>
        <v/>
      </c>
      <c r="S95" s="322" t="str">
        <f t="shared" si="46"/>
        <v/>
      </c>
      <c r="T95" s="325" t="str">
        <f t="shared" si="34"/>
        <v/>
      </c>
      <c r="U95" s="325" t="str">
        <f t="shared" si="35"/>
        <v/>
      </c>
      <c r="V95" s="325" t="str">
        <f t="shared" si="36"/>
        <v/>
      </c>
      <c r="W95" s="37" t="str">
        <f t="shared" si="37"/>
        <v/>
      </c>
      <c r="X95" s="38" t="str">
        <f t="shared" si="38"/>
        <v/>
      </c>
      <c r="Y95" s="325" t="str">
        <f t="shared" si="39"/>
        <v/>
      </c>
      <c r="Z95" s="38" t="str">
        <f t="shared" si="40"/>
        <v/>
      </c>
      <c r="AA95" s="38" t="str">
        <f t="shared" si="41"/>
        <v/>
      </c>
      <c r="AB95" s="20" t="str">
        <f t="shared" si="42"/>
        <v/>
      </c>
      <c r="AC95" s="325" t="str">
        <f t="shared" si="43"/>
        <v/>
      </c>
      <c r="AD95" s="325" t="str">
        <f t="shared" si="44"/>
        <v/>
      </c>
      <c r="AE95" s="184"/>
      <c r="AF95" s="678" t="str">
        <f t="shared" si="47"/>
        <v/>
      </c>
      <c r="AG95" s="63"/>
      <c r="AH95" s="187" t="str" cm="1">
        <f t="array" ref="AH95">IF(OR(AF95="",P95=""),"",_xlfn.IFS(IFERROR(VALUE(TRIM(SUBSTITUTE(AF95,CHAR(160),""))),0)&gt;IFERROR(VALUE(TRIM(SUBSTITUTE(P95,CHAR(160),""))),0),"KO : Le montant retenu est supérieur au montant présenté. Merci de revoir la ligne de contributions ou plafonner son montant.",IFERROR(VALUE(TRIM(SUBSTITUTE(P95,CHAR(160),""))),0)=0,"",IFERROR(VALUE(TRIM(SUBSTITUTE(AF95,CHAR(160),""))),0)=IFERROR(VALUE(TRIM(SUBSTITUTE(P95,CHAR(160),""))),0),"OK",IFERROR(VALUE(TRIM(SUBSTITUTE(AF95,CHAR(160),""))),0)&lt;IFERROR(VALUE(TRIM(SUBSTITUTE(P95,CHAR(160),""))),0),"Montant instruit inférieur au montant présenté.",TRUE,""))</f>
        <v/>
      </c>
      <c r="AI95" s="180" t="str">
        <f t="shared" si="45"/>
        <v/>
      </c>
    </row>
    <row r="96" spans="1:35" ht="15" customHeight="1">
      <c r="A96" s="70">
        <v>87</v>
      </c>
      <c r="B96" s="784"/>
      <c r="C96" s="7"/>
      <c r="D96" s="11"/>
      <c r="E96" s="7"/>
      <c r="F96" s="314"/>
      <c r="G96" s="7"/>
      <c r="H96" s="323"/>
      <c r="I96" s="316"/>
      <c r="J96" s="317"/>
      <c r="K96" s="316"/>
      <c r="L96" s="316"/>
      <c r="M96" s="319"/>
      <c r="N96" s="7"/>
      <c r="O96" s="7"/>
      <c r="P96" s="320" t="str">
        <f t="shared" si="32"/>
        <v/>
      </c>
      <c r="Q96" s="324"/>
      <c r="R96" s="325" t="str">
        <f t="shared" si="33"/>
        <v/>
      </c>
      <c r="S96" s="322" t="str">
        <f t="shared" si="46"/>
        <v/>
      </c>
      <c r="T96" s="325" t="str">
        <f t="shared" si="34"/>
        <v/>
      </c>
      <c r="U96" s="325" t="str">
        <f t="shared" si="35"/>
        <v/>
      </c>
      <c r="V96" s="325" t="str">
        <f t="shared" si="36"/>
        <v/>
      </c>
      <c r="W96" s="37" t="str">
        <f t="shared" si="37"/>
        <v/>
      </c>
      <c r="X96" s="38" t="str">
        <f t="shared" si="38"/>
        <v/>
      </c>
      <c r="Y96" s="325" t="str">
        <f t="shared" si="39"/>
        <v/>
      </c>
      <c r="Z96" s="38" t="str">
        <f t="shared" si="40"/>
        <v/>
      </c>
      <c r="AA96" s="38" t="str">
        <f t="shared" si="41"/>
        <v/>
      </c>
      <c r="AB96" s="20" t="str">
        <f t="shared" si="42"/>
        <v/>
      </c>
      <c r="AC96" s="325" t="str">
        <f t="shared" si="43"/>
        <v/>
      </c>
      <c r="AD96" s="325" t="str">
        <f t="shared" si="44"/>
        <v/>
      </c>
      <c r="AE96" s="184"/>
      <c r="AF96" s="678" t="str">
        <f t="shared" si="47"/>
        <v/>
      </c>
      <c r="AG96" s="63"/>
      <c r="AH96" s="187" t="str" cm="1">
        <f t="array" ref="AH96">IF(OR(AF96="",P96=""),"",_xlfn.IFS(IFERROR(VALUE(TRIM(SUBSTITUTE(AF96,CHAR(160),""))),0)&gt;IFERROR(VALUE(TRIM(SUBSTITUTE(P96,CHAR(160),""))),0),"KO : Le montant retenu est supérieur au montant présenté. Merci de revoir la ligne de contributions ou plafonner son montant.",IFERROR(VALUE(TRIM(SUBSTITUTE(P96,CHAR(160),""))),0)=0,"",IFERROR(VALUE(TRIM(SUBSTITUTE(AF96,CHAR(160),""))),0)=IFERROR(VALUE(TRIM(SUBSTITUTE(P96,CHAR(160),""))),0),"OK",IFERROR(VALUE(TRIM(SUBSTITUTE(AF96,CHAR(160),""))),0)&lt;IFERROR(VALUE(TRIM(SUBSTITUTE(P96,CHAR(160),""))),0),"Montant instruit inférieur au montant présenté.",TRUE,""))</f>
        <v/>
      </c>
      <c r="AI96" s="180" t="str">
        <f t="shared" si="45"/>
        <v/>
      </c>
    </row>
    <row r="97" spans="1:35" ht="15" customHeight="1">
      <c r="A97" s="70">
        <v>88</v>
      </c>
      <c r="B97" s="784"/>
      <c r="C97" s="7"/>
      <c r="D97" s="11"/>
      <c r="E97" s="7"/>
      <c r="F97" s="314"/>
      <c r="G97" s="7"/>
      <c r="H97" s="323"/>
      <c r="I97" s="316"/>
      <c r="J97" s="317"/>
      <c r="K97" s="316"/>
      <c r="L97" s="316"/>
      <c r="M97" s="319"/>
      <c r="N97" s="7"/>
      <c r="O97" s="7"/>
      <c r="P97" s="320" t="str">
        <f t="shared" si="32"/>
        <v/>
      </c>
      <c r="Q97" s="324"/>
      <c r="R97" s="325" t="str">
        <f t="shared" si="33"/>
        <v/>
      </c>
      <c r="S97" s="322" t="str">
        <f t="shared" si="46"/>
        <v/>
      </c>
      <c r="T97" s="325" t="str">
        <f t="shared" si="34"/>
        <v/>
      </c>
      <c r="U97" s="325" t="str">
        <f t="shared" si="35"/>
        <v/>
      </c>
      <c r="V97" s="325" t="str">
        <f t="shared" si="36"/>
        <v/>
      </c>
      <c r="W97" s="37" t="str">
        <f t="shared" si="37"/>
        <v/>
      </c>
      <c r="X97" s="38" t="str">
        <f t="shared" si="38"/>
        <v/>
      </c>
      <c r="Y97" s="325" t="str">
        <f t="shared" si="39"/>
        <v/>
      </c>
      <c r="Z97" s="38" t="str">
        <f t="shared" si="40"/>
        <v/>
      </c>
      <c r="AA97" s="38" t="str">
        <f t="shared" si="41"/>
        <v/>
      </c>
      <c r="AB97" s="20" t="str">
        <f t="shared" si="42"/>
        <v/>
      </c>
      <c r="AC97" s="325" t="str">
        <f t="shared" si="43"/>
        <v/>
      </c>
      <c r="AD97" s="325" t="str">
        <f t="shared" si="44"/>
        <v/>
      </c>
      <c r="AE97" s="184"/>
      <c r="AF97" s="678" t="str">
        <f t="shared" si="47"/>
        <v/>
      </c>
      <c r="AG97" s="63"/>
      <c r="AH97" s="187" t="str" cm="1">
        <f t="array" ref="AH97">IF(OR(AF97="",P97=""),"",_xlfn.IFS(IFERROR(VALUE(TRIM(SUBSTITUTE(AF97,CHAR(160),""))),0)&gt;IFERROR(VALUE(TRIM(SUBSTITUTE(P97,CHAR(160),""))),0),"KO : Le montant retenu est supérieur au montant présenté. Merci de revoir la ligne de contributions ou plafonner son montant.",IFERROR(VALUE(TRIM(SUBSTITUTE(P97,CHAR(160),""))),0)=0,"",IFERROR(VALUE(TRIM(SUBSTITUTE(AF97,CHAR(160),""))),0)=IFERROR(VALUE(TRIM(SUBSTITUTE(P97,CHAR(160),""))),0),"OK",IFERROR(VALUE(TRIM(SUBSTITUTE(AF97,CHAR(160),""))),0)&lt;IFERROR(VALUE(TRIM(SUBSTITUTE(P97,CHAR(160),""))),0),"Montant instruit inférieur au montant présenté.",TRUE,""))</f>
        <v/>
      </c>
      <c r="AI97" s="180" t="str">
        <f t="shared" si="45"/>
        <v/>
      </c>
    </row>
    <row r="98" spans="1:35" ht="15" customHeight="1">
      <c r="A98" s="70">
        <v>89</v>
      </c>
      <c r="B98" s="784"/>
      <c r="C98" s="7"/>
      <c r="D98" s="11"/>
      <c r="E98" s="7"/>
      <c r="F98" s="314"/>
      <c r="G98" s="7"/>
      <c r="H98" s="323"/>
      <c r="I98" s="316"/>
      <c r="J98" s="317"/>
      <c r="K98" s="316"/>
      <c r="L98" s="316"/>
      <c r="M98" s="319"/>
      <c r="N98" s="7"/>
      <c r="O98" s="7"/>
      <c r="P98" s="320" t="str">
        <f t="shared" si="32"/>
        <v/>
      </c>
      <c r="Q98" s="324"/>
      <c r="R98" s="325" t="str">
        <f t="shared" si="33"/>
        <v/>
      </c>
      <c r="S98" s="322" t="str">
        <f t="shared" si="46"/>
        <v/>
      </c>
      <c r="T98" s="325" t="str">
        <f t="shared" si="34"/>
        <v/>
      </c>
      <c r="U98" s="325" t="str">
        <f t="shared" si="35"/>
        <v/>
      </c>
      <c r="V98" s="325" t="str">
        <f t="shared" si="36"/>
        <v/>
      </c>
      <c r="W98" s="37" t="str">
        <f t="shared" si="37"/>
        <v/>
      </c>
      <c r="X98" s="38" t="str">
        <f t="shared" si="38"/>
        <v/>
      </c>
      <c r="Y98" s="325" t="str">
        <f t="shared" si="39"/>
        <v/>
      </c>
      <c r="Z98" s="38" t="str">
        <f t="shared" si="40"/>
        <v/>
      </c>
      <c r="AA98" s="38" t="str">
        <f t="shared" si="41"/>
        <v/>
      </c>
      <c r="AB98" s="20" t="str">
        <f t="shared" si="42"/>
        <v/>
      </c>
      <c r="AC98" s="325" t="str">
        <f t="shared" si="43"/>
        <v/>
      </c>
      <c r="AD98" s="325" t="str">
        <f t="shared" si="44"/>
        <v/>
      </c>
      <c r="AE98" s="184"/>
      <c r="AF98" s="678" t="str">
        <f t="shared" si="47"/>
        <v/>
      </c>
      <c r="AG98" s="63"/>
      <c r="AH98" s="187" t="str" cm="1">
        <f t="array" ref="AH98">IF(OR(AF98="",P98=""),"",_xlfn.IFS(IFERROR(VALUE(TRIM(SUBSTITUTE(AF98,CHAR(160),""))),0)&gt;IFERROR(VALUE(TRIM(SUBSTITUTE(P98,CHAR(160),""))),0),"KO : Le montant retenu est supérieur au montant présenté. Merci de revoir la ligne de contributions ou plafonner son montant.",IFERROR(VALUE(TRIM(SUBSTITUTE(P98,CHAR(160),""))),0)=0,"",IFERROR(VALUE(TRIM(SUBSTITUTE(AF98,CHAR(160),""))),0)=IFERROR(VALUE(TRIM(SUBSTITUTE(P98,CHAR(160),""))),0),"OK",IFERROR(VALUE(TRIM(SUBSTITUTE(AF98,CHAR(160),""))),0)&lt;IFERROR(VALUE(TRIM(SUBSTITUTE(P98,CHAR(160),""))),0),"Montant instruit inférieur au montant présenté.",TRUE,""))</f>
        <v/>
      </c>
      <c r="AI98" s="180" t="str">
        <f t="shared" si="45"/>
        <v/>
      </c>
    </row>
    <row r="99" spans="1:35" ht="15" customHeight="1">
      <c r="A99" s="70">
        <v>90</v>
      </c>
      <c r="B99" s="784"/>
      <c r="C99" s="7"/>
      <c r="D99" s="11"/>
      <c r="E99" s="7"/>
      <c r="F99" s="314"/>
      <c r="G99" s="7"/>
      <c r="H99" s="323"/>
      <c r="I99" s="316"/>
      <c r="J99" s="317"/>
      <c r="K99" s="316"/>
      <c r="L99" s="316"/>
      <c r="M99" s="319"/>
      <c r="N99" s="7"/>
      <c r="O99" s="7"/>
      <c r="P99" s="320" t="str">
        <f t="shared" si="32"/>
        <v/>
      </c>
      <c r="Q99" s="324"/>
      <c r="R99" s="325" t="str">
        <f t="shared" si="33"/>
        <v/>
      </c>
      <c r="S99" s="322" t="str">
        <f t="shared" si="46"/>
        <v/>
      </c>
      <c r="T99" s="325" t="str">
        <f t="shared" si="34"/>
        <v/>
      </c>
      <c r="U99" s="325" t="str">
        <f t="shared" si="35"/>
        <v/>
      </c>
      <c r="V99" s="325" t="str">
        <f t="shared" si="36"/>
        <v/>
      </c>
      <c r="W99" s="37" t="str">
        <f t="shared" si="37"/>
        <v/>
      </c>
      <c r="X99" s="38" t="str">
        <f t="shared" si="38"/>
        <v/>
      </c>
      <c r="Y99" s="325" t="str">
        <f t="shared" si="39"/>
        <v/>
      </c>
      <c r="Z99" s="38" t="str">
        <f t="shared" si="40"/>
        <v/>
      </c>
      <c r="AA99" s="38" t="str">
        <f t="shared" si="41"/>
        <v/>
      </c>
      <c r="AB99" s="20" t="str">
        <f t="shared" si="42"/>
        <v/>
      </c>
      <c r="AC99" s="325" t="str">
        <f t="shared" si="43"/>
        <v/>
      </c>
      <c r="AD99" s="325" t="str">
        <f t="shared" si="44"/>
        <v/>
      </c>
      <c r="AE99" s="184"/>
      <c r="AF99" s="678" t="str">
        <f t="shared" si="47"/>
        <v/>
      </c>
      <c r="AG99" s="63"/>
      <c r="AH99" s="187" t="str" cm="1">
        <f t="array" ref="AH99">IF(OR(AF99="",P99=""),"",_xlfn.IFS(IFERROR(VALUE(TRIM(SUBSTITUTE(AF99,CHAR(160),""))),0)&gt;IFERROR(VALUE(TRIM(SUBSTITUTE(P99,CHAR(160),""))),0),"KO : Le montant retenu est supérieur au montant présenté. Merci de revoir la ligne de contributions ou plafonner son montant.",IFERROR(VALUE(TRIM(SUBSTITUTE(P99,CHAR(160),""))),0)=0,"",IFERROR(VALUE(TRIM(SUBSTITUTE(AF99,CHAR(160),""))),0)=IFERROR(VALUE(TRIM(SUBSTITUTE(P99,CHAR(160),""))),0),"OK",IFERROR(VALUE(TRIM(SUBSTITUTE(AF99,CHAR(160),""))),0)&lt;IFERROR(VALUE(TRIM(SUBSTITUTE(P99,CHAR(160),""))),0),"Montant instruit inférieur au montant présenté.",TRUE,""))</f>
        <v/>
      </c>
      <c r="AI99" s="180" t="str">
        <f t="shared" si="45"/>
        <v/>
      </c>
    </row>
    <row r="100" spans="1:35" ht="15" customHeight="1">
      <c r="A100" s="70">
        <v>91</v>
      </c>
      <c r="B100" s="784"/>
      <c r="C100" s="7"/>
      <c r="D100" s="11"/>
      <c r="E100" s="7"/>
      <c r="F100" s="314"/>
      <c r="G100" s="7"/>
      <c r="H100" s="323"/>
      <c r="I100" s="316"/>
      <c r="J100" s="317"/>
      <c r="K100" s="316"/>
      <c r="L100" s="316"/>
      <c r="M100" s="319"/>
      <c r="N100" s="7"/>
      <c r="O100" s="7"/>
      <c r="P100" s="320" t="str">
        <f t="shared" si="32"/>
        <v/>
      </c>
      <c r="Q100" s="324"/>
      <c r="R100" s="325" t="str">
        <f t="shared" si="33"/>
        <v/>
      </c>
      <c r="S100" s="322" t="str">
        <f t="shared" si="46"/>
        <v/>
      </c>
      <c r="T100" s="325" t="str">
        <f t="shared" si="34"/>
        <v/>
      </c>
      <c r="U100" s="325" t="str">
        <f t="shared" si="35"/>
        <v/>
      </c>
      <c r="V100" s="325" t="str">
        <f t="shared" si="36"/>
        <v/>
      </c>
      <c r="W100" s="37" t="str">
        <f t="shared" si="37"/>
        <v/>
      </c>
      <c r="X100" s="38" t="str">
        <f t="shared" si="38"/>
        <v/>
      </c>
      <c r="Y100" s="325" t="str">
        <f t="shared" si="39"/>
        <v/>
      </c>
      <c r="Z100" s="38" t="str">
        <f t="shared" si="40"/>
        <v/>
      </c>
      <c r="AA100" s="38" t="str">
        <f t="shared" si="41"/>
        <v/>
      </c>
      <c r="AB100" s="20" t="str">
        <f t="shared" si="42"/>
        <v/>
      </c>
      <c r="AC100" s="325" t="str">
        <f t="shared" si="43"/>
        <v/>
      </c>
      <c r="AD100" s="325" t="str">
        <f t="shared" si="44"/>
        <v/>
      </c>
      <c r="AE100" s="184"/>
      <c r="AF100" s="678" t="str">
        <f t="shared" si="47"/>
        <v/>
      </c>
      <c r="AG100" s="63"/>
      <c r="AH100" s="187" t="str" cm="1">
        <f t="array" ref="AH100">IF(OR(AF100="",P100=""),"",_xlfn.IFS(IFERROR(VALUE(TRIM(SUBSTITUTE(AF100,CHAR(160),""))),0)&gt;IFERROR(VALUE(TRIM(SUBSTITUTE(P100,CHAR(160),""))),0),"KO : Le montant retenu est supérieur au montant présenté. Merci de revoir la ligne de contributions ou plafonner son montant.",IFERROR(VALUE(TRIM(SUBSTITUTE(P100,CHAR(160),""))),0)=0,"",IFERROR(VALUE(TRIM(SUBSTITUTE(AF100,CHAR(160),""))),0)=IFERROR(VALUE(TRIM(SUBSTITUTE(P100,CHAR(160),""))),0),"OK",IFERROR(VALUE(TRIM(SUBSTITUTE(AF100,CHAR(160),""))),0)&lt;IFERROR(VALUE(TRIM(SUBSTITUTE(P100,CHAR(160),""))),0),"Montant instruit inférieur au montant présenté.",TRUE,""))</f>
        <v/>
      </c>
      <c r="AI100" s="180" t="str">
        <f t="shared" si="45"/>
        <v/>
      </c>
    </row>
    <row r="101" spans="1:35" ht="15" customHeight="1">
      <c r="A101" s="70">
        <v>92</v>
      </c>
      <c r="B101" s="784"/>
      <c r="C101" s="7"/>
      <c r="D101" s="11"/>
      <c r="E101" s="7"/>
      <c r="F101" s="314"/>
      <c r="G101" s="7"/>
      <c r="H101" s="323"/>
      <c r="I101" s="316"/>
      <c r="J101" s="317"/>
      <c r="K101" s="316"/>
      <c r="L101" s="316"/>
      <c r="M101" s="319"/>
      <c r="N101" s="7"/>
      <c r="O101" s="7"/>
      <c r="P101" s="320" t="str">
        <f t="shared" si="32"/>
        <v/>
      </c>
      <c r="Q101" s="324"/>
      <c r="R101" s="325" t="str">
        <f t="shared" si="33"/>
        <v/>
      </c>
      <c r="S101" s="322" t="str">
        <f t="shared" si="46"/>
        <v/>
      </c>
      <c r="T101" s="325" t="str">
        <f t="shared" si="34"/>
        <v/>
      </c>
      <c r="U101" s="325" t="str">
        <f t="shared" si="35"/>
        <v/>
      </c>
      <c r="V101" s="325" t="str">
        <f t="shared" si="36"/>
        <v/>
      </c>
      <c r="W101" s="37" t="str">
        <f t="shared" si="37"/>
        <v/>
      </c>
      <c r="X101" s="38" t="str">
        <f t="shared" si="38"/>
        <v/>
      </c>
      <c r="Y101" s="325" t="str">
        <f t="shared" si="39"/>
        <v/>
      </c>
      <c r="Z101" s="38" t="str">
        <f t="shared" si="40"/>
        <v/>
      </c>
      <c r="AA101" s="38" t="str">
        <f t="shared" si="41"/>
        <v/>
      </c>
      <c r="AB101" s="20" t="str">
        <f t="shared" si="42"/>
        <v/>
      </c>
      <c r="AC101" s="325" t="str">
        <f t="shared" si="43"/>
        <v/>
      </c>
      <c r="AD101" s="325" t="str">
        <f t="shared" si="44"/>
        <v/>
      </c>
      <c r="AE101" s="184"/>
      <c r="AF101" s="678" t="str">
        <f t="shared" si="47"/>
        <v/>
      </c>
      <c r="AG101" s="63"/>
      <c r="AH101" s="187" t="str" cm="1">
        <f t="array" ref="AH101">IF(OR(AF101="",P101=""),"",_xlfn.IFS(IFERROR(VALUE(TRIM(SUBSTITUTE(AF101,CHAR(160),""))),0)&gt;IFERROR(VALUE(TRIM(SUBSTITUTE(P101,CHAR(160),""))),0),"KO : Le montant retenu est supérieur au montant présenté. Merci de revoir la ligne de contributions ou plafonner son montant.",IFERROR(VALUE(TRIM(SUBSTITUTE(P101,CHAR(160),""))),0)=0,"",IFERROR(VALUE(TRIM(SUBSTITUTE(AF101,CHAR(160),""))),0)=IFERROR(VALUE(TRIM(SUBSTITUTE(P101,CHAR(160),""))),0),"OK",IFERROR(VALUE(TRIM(SUBSTITUTE(AF101,CHAR(160),""))),0)&lt;IFERROR(VALUE(TRIM(SUBSTITUTE(P101,CHAR(160),""))),0),"Montant instruit inférieur au montant présenté.",TRUE,""))</f>
        <v/>
      </c>
      <c r="AI101" s="180" t="str">
        <f t="shared" si="45"/>
        <v/>
      </c>
    </row>
    <row r="102" spans="1:35" ht="15" customHeight="1">
      <c r="A102" s="70">
        <v>93</v>
      </c>
      <c r="B102" s="784"/>
      <c r="C102" s="7"/>
      <c r="D102" s="11"/>
      <c r="E102" s="7"/>
      <c r="F102" s="314"/>
      <c r="G102" s="7"/>
      <c r="H102" s="323"/>
      <c r="I102" s="316"/>
      <c r="J102" s="317"/>
      <c r="K102" s="316"/>
      <c r="L102" s="316"/>
      <c r="M102" s="319"/>
      <c r="N102" s="7"/>
      <c r="O102" s="7"/>
      <c r="P102" s="320" t="str">
        <f t="shared" si="32"/>
        <v/>
      </c>
      <c r="Q102" s="324"/>
      <c r="R102" s="325" t="str">
        <f t="shared" si="33"/>
        <v/>
      </c>
      <c r="S102" s="322" t="str">
        <f t="shared" si="46"/>
        <v/>
      </c>
      <c r="T102" s="325" t="str">
        <f t="shared" si="34"/>
        <v/>
      </c>
      <c r="U102" s="325" t="str">
        <f t="shared" si="35"/>
        <v/>
      </c>
      <c r="V102" s="325" t="str">
        <f t="shared" si="36"/>
        <v/>
      </c>
      <c r="W102" s="37" t="str">
        <f t="shared" si="37"/>
        <v/>
      </c>
      <c r="X102" s="38" t="str">
        <f t="shared" si="38"/>
        <v/>
      </c>
      <c r="Y102" s="325" t="str">
        <f t="shared" si="39"/>
        <v/>
      </c>
      <c r="Z102" s="38" t="str">
        <f t="shared" si="40"/>
        <v/>
      </c>
      <c r="AA102" s="38" t="str">
        <f t="shared" si="41"/>
        <v/>
      </c>
      <c r="AB102" s="20" t="str">
        <f t="shared" si="42"/>
        <v/>
      </c>
      <c r="AC102" s="325" t="str">
        <f t="shared" si="43"/>
        <v/>
      </c>
      <c r="AD102" s="325" t="str">
        <f t="shared" si="44"/>
        <v/>
      </c>
      <c r="AE102" s="184"/>
      <c r="AF102" s="678" t="str">
        <f t="shared" si="47"/>
        <v/>
      </c>
      <c r="AG102" s="63"/>
      <c r="AH102" s="187" t="str" cm="1">
        <f t="array" ref="AH102">IF(OR(AF102="",P102=""),"",_xlfn.IFS(IFERROR(VALUE(TRIM(SUBSTITUTE(AF102,CHAR(160),""))),0)&gt;IFERROR(VALUE(TRIM(SUBSTITUTE(P102,CHAR(160),""))),0),"KO : Le montant retenu est supérieur au montant présenté. Merci de revoir la ligne de contributions ou plafonner son montant.",IFERROR(VALUE(TRIM(SUBSTITUTE(P102,CHAR(160),""))),0)=0,"",IFERROR(VALUE(TRIM(SUBSTITUTE(AF102,CHAR(160),""))),0)=IFERROR(VALUE(TRIM(SUBSTITUTE(P102,CHAR(160),""))),0),"OK",IFERROR(VALUE(TRIM(SUBSTITUTE(AF102,CHAR(160),""))),0)&lt;IFERROR(VALUE(TRIM(SUBSTITUTE(P102,CHAR(160),""))),0),"Montant instruit inférieur au montant présenté.",TRUE,""))</f>
        <v/>
      </c>
      <c r="AI102" s="180" t="str">
        <f t="shared" si="45"/>
        <v/>
      </c>
    </row>
    <row r="103" spans="1:35" ht="15" customHeight="1">
      <c r="A103" s="70">
        <v>94</v>
      </c>
      <c r="B103" s="784"/>
      <c r="C103" s="7"/>
      <c r="D103" s="11"/>
      <c r="E103" s="7"/>
      <c r="F103" s="314"/>
      <c r="G103" s="7"/>
      <c r="H103" s="323"/>
      <c r="I103" s="316"/>
      <c r="J103" s="317"/>
      <c r="K103" s="316"/>
      <c r="L103" s="316"/>
      <c r="M103" s="319"/>
      <c r="N103" s="7"/>
      <c r="O103" s="7"/>
      <c r="P103" s="320" t="str">
        <f t="shared" si="32"/>
        <v/>
      </c>
      <c r="Q103" s="324"/>
      <c r="R103" s="325" t="str">
        <f t="shared" si="33"/>
        <v/>
      </c>
      <c r="S103" s="322" t="str">
        <f t="shared" si="46"/>
        <v/>
      </c>
      <c r="T103" s="325" t="str">
        <f t="shared" si="34"/>
        <v/>
      </c>
      <c r="U103" s="325" t="str">
        <f t="shared" si="35"/>
        <v/>
      </c>
      <c r="V103" s="325" t="str">
        <f t="shared" si="36"/>
        <v/>
      </c>
      <c r="W103" s="37" t="str">
        <f t="shared" si="37"/>
        <v/>
      </c>
      <c r="X103" s="38" t="str">
        <f t="shared" si="38"/>
        <v/>
      </c>
      <c r="Y103" s="325" t="str">
        <f t="shared" si="39"/>
        <v/>
      </c>
      <c r="Z103" s="38" t="str">
        <f t="shared" si="40"/>
        <v/>
      </c>
      <c r="AA103" s="38" t="str">
        <f t="shared" si="41"/>
        <v/>
      </c>
      <c r="AB103" s="20" t="str">
        <f t="shared" si="42"/>
        <v/>
      </c>
      <c r="AC103" s="325" t="str">
        <f t="shared" si="43"/>
        <v/>
      </c>
      <c r="AD103" s="325" t="str">
        <f t="shared" si="44"/>
        <v/>
      </c>
      <c r="AE103" s="184"/>
      <c r="AF103" s="678" t="str">
        <f t="shared" si="47"/>
        <v/>
      </c>
      <c r="AG103" s="63"/>
      <c r="AH103" s="187" t="str" cm="1">
        <f t="array" ref="AH103">IF(OR(AF103="",P103=""),"",_xlfn.IFS(IFERROR(VALUE(TRIM(SUBSTITUTE(AF103,CHAR(160),""))),0)&gt;IFERROR(VALUE(TRIM(SUBSTITUTE(P103,CHAR(160),""))),0),"KO : Le montant retenu est supérieur au montant présenté. Merci de revoir la ligne de contributions ou plafonner son montant.",IFERROR(VALUE(TRIM(SUBSTITUTE(P103,CHAR(160),""))),0)=0,"",IFERROR(VALUE(TRIM(SUBSTITUTE(AF103,CHAR(160),""))),0)=IFERROR(VALUE(TRIM(SUBSTITUTE(P103,CHAR(160),""))),0),"OK",IFERROR(VALUE(TRIM(SUBSTITUTE(AF103,CHAR(160),""))),0)&lt;IFERROR(VALUE(TRIM(SUBSTITUTE(P103,CHAR(160),""))),0),"Montant instruit inférieur au montant présenté.",TRUE,""))</f>
        <v/>
      </c>
      <c r="AI103" s="180" t="str">
        <f t="shared" si="45"/>
        <v/>
      </c>
    </row>
    <row r="104" spans="1:35" ht="15" customHeight="1">
      <c r="A104" s="70">
        <v>95</v>
      </c>
      <c r="B104" s="784"/>
      <c r="C104" s="7"/>
      <c r="D104" s="11"/>
      <c r="E104" s="7"/>
      <c r="F104" s="314"/>
      <c r="G104" s="7"/>
      <c r="H104" s="323"/>
      <c r="I104" s="316"/>
      <c r="J104" s="317"/>
      <c r="K104" s="316"/>
      <c r="L104" s="316"/>
      <c r="M104" s="319"/>
      <c r="N104" s="7"/>
      <c r="O104" s="7"/>
      <c r="P104" s="320" t="str">
        <f t="shared" si="32"/>
        <v/>
      </c>
      <c r="Q104" s="324"/>
      <c r="R104" s="325" t="str">
        <f t="shared" si="33"/>
        <v/>
      </c>
      <c r="S104" s="322" t="str">
        <f t="shared" si="46"/>
        <v/>
      </c>
      <c r="T104" s="325" t="str">
        <f t="shared" si="34"/>
        <v/>
      </c>
      <c r="U104" s="325" t="str">
        <f t="shared" si="35"/>
        <v/>
      </c>
      <c r="V104" s="325" t="str">
        <f t="shared" si="36"/>
        <v/>
      </c>
      <c r="W104" s="37" t="str">
        <f t="shared" si="37"/>
        <v/>
      </c>
      <c r="X104" s="38" t="str">
        <f t="shared" si="38"/>
        <v/>
      </c>
      <c r="Y104" s="325" t="str">
        <f t="shared" si="39"/>
        <v/>
      </c>
      <c r="Z104" s="38" t="str">
        <f t="shared" si="40"/>
        <v/>
      </c>
      <c r="AA104" s="38" t="str">
        <f t="shared" si="41"/>
        <v/>
      </c>
      <c r="AB104" s="20" t="str">
        <f t="shared" si="42"/>
        <v/>
      </c>
      <c r="AC104" s="325" t="str">
        <f t="shared" si="43"/>
        <v/>
      </c>
      <c r="AD104" s="325" t="str">
        <f t="shared" si="44"/>
        <v/>
      </c>
      <c r="AE104" s="184"/>
      <c r="AF104" s="678" t="str">
        <f t="shared" si="47"/>
        <v/>
      </c>
      <c r="AG104" s="63"/>
      <c r="AH104" s="187" t="str" cm="1">
        <f t="array" ref="AH104">IF(OR(AF104="",P104=""),"",_xlfn.IFS(IFERROR(VALUE(TRIM(SUBSTITUTE(AF104,CHAR(160),""))),0)&gt;IFERROR(VALUE(TRIM(SUBSTITUTE(P104,CHAR(160),""))),0),"KO : Le montant retenu est supérieur au montant présenté. Merci de revoir la ligne de contributions ou plafonner son montant.",IFERROR(VALUE(TRIM(SUBSTITUTE(P104,CHAR(160),""))),0)=0,"",IFERROR(VALUE(TRIM(SUBSTITUTE(AF104,CHAR(160),""))),0)=IFERROR(VALUE(TRIM(SUBSTITUTE(P104,CHAR(160),""))),0),"OK",IFERROR(VALUE(TRIM(SUBSTITUTE(AF104,CHAR(160),""))),0)&lt;IFERROR(VALUE(TRIM(SUBSTITUTE(P104,CHAR(160),""))),0),"Montant instruit inférieur au montant présenté.",TRUE,""))</f>
        <v/>
      </c>
      <c r="AI104" s="180" t="str">
        <f t="shared" si="45"/>
        <v/>
      </c>
    </row>
    <row r="105" spans="1:35" ht="15" customHeight="1">
      <c r="A105" s="70">
        <v>96</v>
      </c>
      <c r="B105" s="784"/>
      <c r="C105" s="7"/>
      <c r="D105" s="11"/>
      <c r="E105" s="7"/>
      <c r="F105" s="314"/>
      <c r="G105" s="7"/>
      <c r="H105" s="323"/>
      <c r="I105" s="316"/>
      <c r="J105" s="317"/>
      <c r="K105" s="316"/>
      <c r="L105" s="316"/>
      <c r="M105" s="319"/>
      <c r="N105" s="7"/>
      <c r="O105" s="7"/>
      <c r="P105" s="320" t="str">
        <f t="shared" si="32"/>
        <v/>
      </c>
      <c r="Q105" s="324"/>
      <c r="R105" s="325" t="str">
        <f t="shared" si="33"/>
        <v/>
      </c>
      <c r="S105" s="322" t="str">
        <f t="shared" si="46"/>
        <v/>
      </c>
      <c r="T105" s="325" t="str">
        <f t="shared" si="34"/>
        <v/>
      </c>
      <c r="U105" s="325" t="str">
        <f t="shared" si="35"/>
        <v/>
      </c>
      <c r="V105" s="325" t="str">
        <f t="shared" si="36"/>
        <v/>
      </c>
      <c r="W105" s="37" t="str">
        <f t="shared" si="37"/>
        <v/>
      </c>
      <c r="X105" s="38" t="str">
        <f t="shared" si="38"/>
        <v/>
      </c>
      <c r="Y105" s="325" t="str">
        <f t="shared" si="39"/>
        <v/>
      </c>
      <c r="Z105" s="38" t="str">
        <f t="shared" si="40"/>
        <v/>
      </c>
      <c r="AA105" s="38" t="str">
        <f t="shared" si="41"/>
        <v/>
      </c>
      <c r="AB105" s="20" t="str">
        <f t="shared" si="42"/>
        <v/>
      </c>
      <c r="AC105" s="325" t="str">
        <f t="shared" si="43"/>
        <v/>
      </c>
      <c r="AD105" s="325" t="str">
        <f t="shared" si="44"/>
        <v/>
      </c>
      <c r="AE105" s="184"/>
      <c r="AF105" s="678" t="str">
        <f t="shared" si="47"/>
        <v/>
      </c>
      <c r="AG105" s="63"/>
      <c r="AH105" s="187" t="str" cm="1">
        <f t="array" ref="AH105">IF(OR(AF105="",P105=""),"",_xlfn.IFS(IFERROR(VALUE(TRIM(SUBSTITUTE(AF105,CHAR(160),""))),0)&gt;IFERROR(VALUE(TRIM(SUBSTITUTE(P105,CHAR(160),""))),0),"KO : Le montant retenu est supérieur au montant présenté. Merci de revoir la ligne de contributions ou plafonner son montant.",IFERROR(VALUE(TRIM(SUBSTITUTE(P105,CHAR(160),""))),0)=0,"",IFERROR(VALUE(TRIM(SUBSTITUTE(AF105,CHAR(160),""))),0)=IFERROR(VALUE(TRIM(SUBSTITUTE(P105,CHAR(160),""))),0),"OK",IFERROR(VALUE(TRIM(SUBSTITUTE(AF105,CHAR(160),""))),0)&lt;IFERROR(VALUE(TRIM(SUBSTITUTE(P105,CHAR(160),""))),0),"Montant instruit inférieur au montant présenté.",TRUE,""))</f>
        <v/>
      </c>
      <c r="AI105" s="180" t="str">
        <f t="shared" si="45"/>
        <v/>
      </c>
    </row>
    <row r="106" spans="1:35" ht="15" customHeight="1">
      <c r="A106" s="70">
        <v>97</v>
      </c>
      <c r="B106" s="784"/>
      <c r="C106" s="7"/>
      <c r="D106" s="11"/>
      <c r="E106" s="7"/>
      <c r="F106" s="314"/>
      <c r="G106" s="7"/>
      <c r="H106" s="323"/>
      <c r="I106" s="316"/>
      <c r="J106" s="317"/>
      <c r="K106" s="316"/>
      <c r="L106" s="316"/>
      <c r="M106" s="319"/>
      <c r="N106" s="7"/>
      <c r="O106" s="7"/>
      <c r="P106" s="320" t="str">
        <f t="shared" si="32"/>
        <v/>
      </c>
      <c r="Q106" s="324"/>
      <c r="R106" s="325" t="str">
        <f t="shared" si="33"/>
        <v/>
      </c>
      <c r="S106" s="322" t="str">
        <f t="shared" si="46"/>
        <v/>
      </c>
      <c r="T106" s="325" t="str">
        <f t="shared" si="34"/>
        <v/>
      </c>
      <c r="U106" s="325" t="str">
        <f t="shared" si="35"/>
        <v/>
      </c>
      <c r="V106" s="325" t="str">
        <f t="shared" si="36"/>
        <v/>
      </c>
      <c r="W106" s="37" t="str">
        <f t="shared" si="37"/>
        <v/>
      </c>
      <c r="X106" s="38" t="str">
        <f t="shared" si="38"/>
        <v/>
      </c>
      <c r="Y106" s="325" t="str">
        <f t="shared" si="39"/>
        <v/>
      </c>
      <c r="Z106" s="38" t="str">
        <f t="shared" si="40"/>
        <v/>
      </c>
      <c r="AA106" s="38" t="str">
        <f t="shared" si="41"/>
        <v/>
      </c>
      <c r="AB106" s="20" t="str">
        <f t="shared" si="42"/>
        <v/>
      </c>
      <c r="AC106" s="325" t="str">
        <f t="shared" si="43"/>
        <v/>
      </c>
      <c r="AD106" s="325" t="str">
        <f t="shared" si="44"/>
        <v/>
      </c>
      <c r="AE106" s="184"/>
      <c r="AF106" s="678" t="str">
        <f t="shared" si="47"/>
        <v/>
      </c>
      <c r="AG106" s="63"/>
      <c r="AH106" s="187" t="str" cm="1">
        <f t="array" ref="AH106">IF(OR(AF106="",P106=""),"",_xlfn.IFS(IFERROR(VALUE(TRIM(SUBSTITUTE(AF106,CHAR(160),""))),0)&gt;IFERROR(VALUE(TRIM(SUBSTITUTE(P106,CHAR(160),""))),0),"KO : Le montant retenu est supérieur au montant présenté. Merci de revoir la ligne de contributions ou plafonner son montant.",IFERROR(VALUE(TRIM(SUBSTITUTE(P106,CHAR(160),""))),0)=0,"",IFERROR(VALUE(TRIM(SUBSTITUTE(AF106,CHAR(160),""))),0)=IFERROR(VALUE(TRIM(SUBSTITUTE(P106,CHAR(160),""))),0),"OK",IFERROR(VALUE(TRIM(SUBSTITUTE(AF106,CHAR(160),""))),0)&lt;IFERROR(VALUE(TRIM(SUBSTITUTE(P106,CHAR(160),""))),0),"Montant instruit inférieur au montant présenté.",TRUE,""))</f>
        <v/>
      </c>
      <c r="AI106" s="180" t="str">
        <f t="shared" si="45"/>
        <v/>
      </c>
    </row>
    <row r="107" spans="1:35" ht="15" customHeight="1">
      <c r="A107" s="70">
        <v>98</v>
      </c>
      <c r="B107" s="784"/>
      <c r="C107" s="7"/>
      <c r="D107" s="11"/>
      <c r="E107" s="7"/>
      <c r="F107" s="314"/>
      <c r="G107" s="7"/>
      <c r="H107" s="323"/>
      <c r="I107" s="316"/>
      <c r="J107" s="317"/>
      <c r="K107" s="316"/>
      <c r="L107" s="316"/>
      <c r="M107" s="319"/>
      <c r="N107" s="7"/>
      <c r="O107" s="7"/>
      <c r="P107" s="320" t="str">
        <f t="shared" si="32"/>
        <v/>
      </c>
      <c r="Q107" s="324"/>
      <c r="R107" s="325" t="str">
        <f t="shared" si="33"/>
        <v/>
      </c>
      <c r="S107" s="322" t="str">
        <f t="shared" si="46"/>
        <v/>
      </c>
      <c r="T107" s="325" t="str">
        <f t="shared" si="34"/>
        <v/>
      </c>
      <c r="U107" s="325" t="str">
        <f t="shared" si="35"/>
        <v/>
      </c>
      <c r="V107" s="325" t="str">
        <f t="shared" si="36"/>
        <v/>
      </c>
      <c r="W107" s="37" t="str">
        <f t="shared" si="37"/>
        <v/>
      </c>
      <c r="X107" s="38" t="str">
        <f t="shared" si="38"/>
        <v/>
      </c>
      <c r="Y107" s="325" t="str">
        <f t="shared" si="39"/>
        <v/>
      </c>
      <c r="Z107" s="38" t="str">
        <f t="shared" si="40"/>
        <v/>
      </c>
      <c r="AA107" s="38" t="str">
        <f t="shared" si="41"/>
        <v/>
      </c>
      <c r="AB107" s="20" t="str">
        <f t="shared" si="42"/>
        <v/>
      </c>
      <c r="AC107" s="325" t="str">
        <f t="shared" si="43"/>
        <v/>
      </c>
      <c r="AD107" s="325" t="str">
        <f t="shared" si="44"/>
        <v/>
      </c>
      <c r="AE107" s="184"/>
      <c r="AF107" s="678" t="str">
        <f t="shared" si="47"/>
        <v/>
      </c>
      <c r="AG107" s="63"/>
      <c r="AH107" s="187" t="str" cm="1">
        <f t="array" ref="AH107">IF(OR(AF107="",P107=""),"",_xlfn.IFS(IFERROR(VALUE(TRIM(SUBSTITUTE(AF107,CHAR(160),""))),0)&gt;IFERROR(VALUE(TRIM(SUBSTITUTE(P107,CHAR(160),""))),0),"KO : Le montant retenu est supérieur au montant présenté. Merci de revoir la ligne de contributions ou plafonner son montant.",IFERROR(VALUE(TRIM(SUBSTITUTE(P107,CHAR(160),""))),0)=0,"",IFERROR(VALUE(TRIM(SUBSTITUTE(AF107,CHAR(160),""))),0)=IFERROR(VALUE(TRIM(SUBSTITUTE(P107,CHAR(160),""))),0),"OK",IFERROR(VALUE(TRIM(SUBSTITUTE(AF107,CHAR(160),""))),0)&lt;IFERROR(VALUE(TRIM(SUBSTITUTE(P107,CHAR(160),""))),0),"Montant instruit inférieur au montant présenté.",TRUE,""))</f>
        <v/>
      </c>
      <c r="AI107" s="180" t="str">
        <f t="shared" si="45"/>
        <v/>
      </c>
    </row>
    <row r="108" spans="1:35" ht="15" customHeight="1">
      <c r="A108" s="70">
        <v>99</v>
      </c>
      <c r="B108" s="784"/>
      <c r="C108" s="7"/>
      <c r="D108" s="11"/>
      <c r="E108" s="7"/>
      <c r="F108" s="314"/>
      <c r="G108" s="7"/>
      <c r="H108" s="323"/>
      <c r="I108" s="316"/>
      <c r="J108" s="317"/>
      <c r="K108" s="316"/>
      <c r="L108" s="316"/>
      <c r="M108" s="319"/>
      <c r="N108" s="7"/>
      <c r="O108" s="7"/>
      <c r="P108" s="320" t="str">
        <f t="shared" si="32"/>
        <v/>
      </c>
      <c r="Q108" s="324"/>
      <c r="R108" s="325" t="str">
        <f t="shared" si="33"/>
        <v/>
      </c>
      <c r="S108" s="322" t="str">
        <f t="shared" si="46"/>
        <v/>
      </c>
      <c r="T108" s="325" t="str">
        <f t="shared" si="34"/>
        <v/>
      </c>
      <c r="U108" s="325" t="str">
        <f t="shared" si="35"/>
        <v/>
      </c>
      <c r="V108" s="325" t="str">
        <f t="shared" si="36"/>
        <v/>
      </c>
      <c r="W108" s="37" t="str">
        <f t="shared" si="37"/>
        <v/>
      </c>
      <c r="X108" s="38" t="str">
        <f t="shared" si="38"/>
        <v/>
      </c>
      <c r="Y108" s="325" t="str">
        <f t="shared" si="39"/>
        <v/>
      </c>
      <c r="Z108" s="38" t="str">
        <f t="shared" si="40"/>
        <v/>
      </c>
      <c r="AA108" s="38" t="str">
        <f t="shared" si="41"/>
        <v/>
      </c>
      <c r="AB108" s="20" t="str">
        <f t="shared" si="42"/>
        <v/>
      </c>
      <c r="AC108" s="325" t="str">
        <f t="shared" si="43"/>
        <v/>
      </c>
      <c r="AD108" s="325" t="str">
        <f t="shared" si="44"/>
        <v/>
      </c>
      <c r="AE108" s="184"/>
      <c r="AF108" s="678" t="str">
        <f t="shared" si="47"/>
        <v/>
      </c>
      <c r="AG108" s="63"/>
      <c r="AH108" s="187" t="str" cm="1">
        <f t="array" ref="AH108">IF(OR(AF108="",P108=""),"",_xlfn.IFS(IFERROR(VALUE(TRIM(SUBSTITUTE(AF108,CHAR(160),""))),0)&gt;IFERROR(VALUE(TRIM(SUBSTITUTE(P108,CHAR(160),""))),0),"KO : Le montant retenu est supérieur au montant présenté. Merci de revoir la ligne de contributions ou plafonner son montant.",IFERROR(VALUE(TRIM(SUBSTITUTE(P108,CHAR(160),""))),0)=0,"",IFERROR(VALUE(TRIM(SUBSTITUTE(AF108,CHAR(160),""))),0)=IFERROR(VALUE(TRIM(SUBSTITUTE(P108,CHAR(160),""))),0),"OK",IFERROR(VALUE(TRIM(SUBSTITUTE(AF108,CHAR(160),""))),0)&lt;IFERROR(VALUE(TRIM(SUBSTITUTE(P108,CHAR(160),""))),0),"Montant instruit inférieur au montant présenté.",TRUE,""))</f>
        <v/>
      </c>
      <c r="AI108" s="180" t="str">
        <f t="shared" si="45"/>
        <v/>
      </c>
    </row>
    <row r="109" spans="1:35" ht="15" customHeight="1" thickBot="1">
      <c r="A109" s="70">
        <v>100</v>
      </c>
      <c r="B109" s="785"/>
      <c r="C109" s="7"/>
      <c r="D109" s="135"/>
      <c r="E109" s="7"/>
      <c r="F109" s="314"/>
      <c r="G109" s="7"/>
      <c r="H109" s="323"/>
      <c r="I109" s="316"/>
      <c r="J109" s="317"/>
      <c r="K109" s="316"/>
      <c r="L109" s="316"/>
      <c r="M109" s="319"/>
      <c r="N109" s="7"/>
      <c r="O109" s="7"/>
      <c r="P109" s="320" t="str">
        <f t="shared" si="32"/>
        <v/>
      </c>
      <c r="Q109" s="324"/>
      <c r="R109" s="325" t="str">
        <f t="shared" si="33"/>
        <v/>
      </c>
      <c r="S109" s="322" t="str">
        <f t="shared" si="46"/>
        <v/>
      </c>
      <c r="T109" s="325" t="str">
        <f t="shared" si="34"/>
        <v/>
      </c>
      <c r="U109" s="325" t="str">
        <f t="shared" si="35"/>
        <v/>
      </c>
      <c r="V109" s="325" t="str">
        <f t="shared" si="36"/>
        <v/>
      </c>
      <c r="W109" s="37" t="str">
        <f t="shared" si="37"/>
        <v/>
      </c>
      <c r="X109" s="38" t="str">
        <f t="shared" si="38"/>
        <v/>
      </c>
      <c r="Y109" s="325" t="str">
        <f t="shared" si="39"/>
        <v/>
      </c>
      <c r="Z109" s="38" t="str">
        <f t="shared" si="40"/>
        <v/>
      </c>
      <c r="AA109" s="38" t="str">
        <f t="shared" si="41"/>
        <v/>
      </c>
      <c r="AB109" s="20" t="str">
        <f t="shared" si="42"/>
        <v/>
      </c>
      <c r="AC109" s="325" t="str">
        <f t="shared" si="43"/>
        <v/>
      </c>
      <c r="AD109" s="325" t="str">
        <f t="shared" si="44"/>
        <v/>
      </c>
      <c r="AE109" s="184"/>
      <c r="AF109" s="678" t="str">
        <f t="shared" si="47"/>
        <v/>
      </c>
      <c r="AG109" s="63"/>
      <c r="AH109" s="187" t="str" cm="1">
        <f t="array" ref="AH109">IF(OR(AF109="",P109=""),"",_xlfn.IFS(IFERROR(VALUE(TRIM(SUBSTITUTE(AF109,CHAR(160),""))),0)&gt;IFERROR(VALUE(TRIM(SUBSTITUTE(P109,CHAR(160),""))),0),"KO : Le montant retenu est supérieur au montant présenté. Merci de revoir la ligne de contributions ou plafonner son montant.",IFERROR(VALUE(TRIM(SUBSTITUTE(P109,CHAR(160),""))),0)=0,"",IFERROR(VALUE(TRIM(SUBSTITUTE(AF109,CHAR(160),""))),0)=IFERROR(VALUE(TRIM(SUBSTITUTE(P109,CHAR(160),""))),0),"OK",IFERROR(VALUE(TRIM(SUBSTITUTE(AF109,CHAR(160),""))),0)&lt;IFERROR(VALUE(TRIM(SUBSTITUTE(P109,CHAR(160),""))),0),"Montant instruit inférieur au montant présenté.",TRUE,""))</f>
        <v/>
      </c>
      <c r="AI109" s="180" t="str">
        <f t="shared" si="45"/>
        <v/>
      </c>
    </row>
    <row r="110" spans="1:35" ht="15.95" thickBot="1">
      <c r="A110" s="819" t="s">
        <v>165</v>
      </c>
      <c r="B110" s="339"/>
      <c r="C110" s="339"/>
      <c r="D110" s="339"/>
      <c r="E110" s="339"/>
      <c r="F110" s="339"/>
      <c r="G110" s="339"/>
      <c r="H110" s="339"/>
      <c r="I110" s="339"/>
      <c r="J110" s="339"/>
      <c r="K110" s="339"/>
      <c r="L110" s="339"/>
      <c r="M110" s="339"/>
      <c r="N110" s="298"/>
      <c r="O110" s="298"/>
      <c r="P110" s="326">
        <f>SUM(P10:P109)</f>
        <v>3000</v>
      </c>
      <c r="Q110" s="328"/>
      <c r="R110" s="329"/>
      <c r="S110" s="329"/>
      <c r="T110" s="329"/>
      <c r="U110" s="329"/>
      <c r="V110" s="329"/>
      <c r="W110" s="329"/>
      <c r="X110" s="329"/>
      <c r="Y110" s="329"/>
      <c r="Z110" s="329"/>
      <c r="AA110" s="329"/>
      <c r="AB110" s="329"/>
      <c r="AC110" s="329"/>
      <c r="AD110" s="329"/>
      <c r="AE110" s="297" t="s">
        <v>166</v>
      </c>
      <c r="AF110" s="330">
        <f>SUM(AF10:AF109)</f>
        <v>3000</v>
      </c>
      <c r="AG110" s="329"/>
      <c r="AH110" s="329"/>
      <c r="AI110" s="330">
        <f>SUM(AI10:AI109)</f>
        <v>0</v>
      </c>
    </row>
  </sheetData>
  <sheetProtection formatCells="0" formatColumns="0" formatRows="0" insertColumns="0" insertRows="0" insertHyperlinks="0" deleteColumns="0" deleteRows="0" sort="0" autoFilter="0" pivotTables="0"/>
  <mergeCells count="23">
    <mergeCell ref="AH5:AH6"/>
    <mergeCell ref="AG5:AG6"/>
    <mergeCell ref="AF5:AF6"/>
    <mergeCell ref="R5:AB5"/>
    <mergeCell ref="AC5:AE6"/>
    <mergeCell ref="Y6:AB6"/>
    <mergeCell ref="R6:X6"/>
    <mergeCell ref="A5:I6"/>
    <mergeCell ref="A2:Z2"/>
    <mergeCell ref="Q5:Q6"/>
    <mergeCell ref="A7:A8"/>
    <mergeCell ref="AA2:BF2"/>
    <mergeCell ref="BB5:BD6"/>
    <mergeCell ref="AS5:AX5"/>
    <mergeCell ref="AS6:AU6"/>
    <mergeCell ref="AV6:AX6"/>
    <mergeCell ref="AZ5:BA6"/>
    <mergeCell ref="AR5:AR6"/>
    <mergeCell ref="AY5:AY6"/>
    <mergeCell ref="N5:O6"/>
    <mergeCell ref="P5:P6"/>
    <mergeCell ref="J5:M6"/>
    <mergeCell ref="AI5:AI6"/>
  </mergeCells>
  <phoneticPr fontId="11" type="noConversion"/>
  <conditionalFormatting sqref="L10:L109">
    <cfRule type="expression" dxfId="47" priority="8">
      <formula>L10&gt;I10</formula>
    </cfRule>
  </conditionalFormatting>
  <conditionalFormatting sqref="R10:AD109">
    <cfRule type="expression" dxfId="46" priority="311" stopIfTrue="1">
      <formula>R10&lt;&gt;#REF!</formula>
    </cfRule>
  </conditionalFormatting>
  <conditionalFormatting sqref="AE9:AE109">
    <cfRule type="containsText" dxfId="45" priority="3" stopIfTrue="1" operator="containsText" text="NON">
      <formula>NOT(ISERROR(SEARCH("NON",AE9)))</formula>
    </cfRule>
  </conditionalFormatting>
  <conditionalFormatting sqref="AH9:AH109">
    <cfRule type="containsText" dxfId="44" priority="5" operator="containsText" text="OK">
      <formula>NOT(ISERROR(SEARCH("OK",AH9)))</formula>
    </cfRule>
    <cfRule type="containsText" dxfId="43" priority="6" operator="containsText" text="KO">
      <formula>NOT(ISERROR(SEARCH("KO",AH9)))</formula>
    </cfRule>
    <cfRule type="containsText" dxfId="42" priority="7" operator="containsText" text="Attention">
      <formula>NOT(ISERROR(SEARCH("Attention",AH9)))</formula>
    </cfRule>
  </conditionalFormatting>
  <dataValidations count="3">
    <dataValidation type="list" allowBlank="1" showInputMessage="1" showErrorMessage="1" sqref="F10:F109" xr:uid="{E47AD514-BDE7-43CE-89F0-A9181455FEF5}">
      <formula1>"Neuf,Occasion"</formula1>
    </dataValidation>
    <dataValidation type="list" allowBlank="1" showInputMessage="1" showErrorMessage="1" sqref="AE9:AE109" xr:uid="{D4C014CF-3602-4BDA-92DE-035AD7F4C5BE}">
      <formula1>"OUI,NON,Non concerné "</formula1>
    </dataValidation>
    <dataValidation type="list" allowBlank="1" showInputMessage="1" showErrorMessage="1" sqref="S9 D9:D49" xr:uid="{FCD8D510-2631-4DC9-9A45-2BC39D9AF496}">
      <formula1>"Oui,Non"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41977DA-D90C-42B6-93CA-9EEC93ED2906}">
          <x14:formula1>
            <xm:f>'0-Présentation typeaction'!$H$7</xm:f>
          </x14:formula1>
          <xm:sqref>C9:C109</xm:sqref>
        </x14:dataValidation>
        <x14:dataValidation type="list" allowBlank="1" showInputMessage="1" showErrorMessage="1" xr:uid="{9EFF69FA-C777-44DD-9632-9BFE6E6EFE0D}">
          <x14:formula1>
            <xm:f>'0-Présentation typeaction'!$H$26:$H$36</xm:f>
          </x14:formula1>
          <xm:sqref>B10:B109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1347B-A0C4-4760-A7AB-110C3299FD44}">
  <sheetPr>
    <tabColor rgb="FF227A56"/>
    <pageSetUpPr fitToPage="1"/>
  </sheetPr>
  <dimension ref="A2:Y110"/>
  <sheetViews>
    <sheetView showGridLines="0" topLeftCell="A3" zoomScale="65" zoomScaleNormal="70" workbookViewId="0">
      <selection activeCell="S10" sqref="S10"/>
    </sheetView>
  </sheetViews>
  <sheetFormatPr defaultColWidth="11.42578125" defaultRowHeight="15" outlineLevelCol="1"/>
  <cols>
    <col min="1" max="1" width="11" bestFit="1" customWidth="1"/>
    <col min="2" max="2" width="11" customWidth="1"/>
    <col min="3" max="3" width="27.42578125" bestFit="1" customWidth="1"/>
    <col min="4" max="4" width="36.42578125" customWidth="1"/>
    <col min="5" max="5" width="27.42578125" style="46" bestFit="1" customWidth="1"/>
    <col min="6" max="6" width="19.42578125" bestFit="1" customWidth="1"/>
    <col min="7" max="7" width="19.42578125" customWidth="1"/>
    <col min="8" max="8" width="19.42578125" bestFit="1" customWidth="1"/>
    <col min="9" max="9" width="20.140625" bestFit="1" customWidth="1"/>
    <col min="10" max="10" width="25.85546875" customWidth="1"/>
    <col min="11" max="11" width="46.140625" customWidth="1"/>
    <col min="12" max="12" width="19.85546875" customWidth="1" outlineLevel="1"/>
    <col min="13" max="13" width="29.42578125" customWidth="1" outlineLevel="1"/>
    <col min="14" max="17" width="20.42578125" customWidth="1" outlineLevel="1"/>
    <col min="18" max="19" width="19.140625" customWidth="1" outlineLevel="1"/>
    <col min="20" max="20" width="19.42578125" customWidth="1" outlineLevel="1"/>
    <col min="21" max="21" width="32.42578125" customWidth="1" outlineLevel="1"/>
    <col min="22" max="22" width="28" customWidth="1" outlineLevel="1"/>
    <col min="23" max="23" width="19.85546875" customWidth="1" outlineLevel="1"/>
  </cols>
  <sheetData>
    <row r="2" spans="1:25" ht="58.5" customHeight="1">
      <c r="A2" s="1436" t="s">
        <v>216</v>
      </c>
      <c r="B2" s="1436"/>
      <c r="C2" s="1436"/>
      <c r="D2" s="1436"/>
      <c r="E2" s="1436"/>
      <c r="F2" s="1436"/>
      <c r="G2" s="1436"/>
      <c r="H2" s="1436"/>
      <c r="I2" s="1436"/>
      <c r="J2" s="1436"/>
      <c r="K2" s="1436"/>
      <c r="L2" s="1389" t="s">
        <v>217</v>
      </c>
      <c r="M2" s="1389"/>
      <c r="N2" s="1389"/>
      <c r="O2" s="1389"/>
      <c r="P2" s="1389"/>
      <c r="Q2" s="1389"/>
      <c r="R2" s="1389"/>
      <c r="S2" s="1389"/>
      <c r="T2" s="1389"/>
      <c r="U2" s="1389"/>
      <c r="V2" s="1389"/>
      <c r="W2" s="1389"/>
      <c r="X2" s="32"/>
    </row>
    <row r="3" spans="1:25" s="96" customFormat="1" ht="88.5" customHeight="1">
      <c r="A3" s="157"/>
      <c r="B3" s="157"/>
      <c r="C3" s="157"/>
      <c r="D3" s="157"/>
      <c r="E3" s="157"/>
      <c r="F3" s="157"/>
      <c r="G3" s="157"/>
      <c r="H3" s="157"/>
      <c r="I3" s="157"/>
      <c r="J3" s="157"/>
      <c r="K3" s="157"/>
      <c r="L3" s="157"/>
      <c r="M3" s="157"/>
      <c r="N3" s="157"/>
      <c r="O3" s="157"/>
      <c r="P3" s="157"/>
      <c r="Q3" s="157"/>
      <c r="R3" s="157"/>
      <c r="S3" s="157"/>
      <c r="T3" s="157"/>
      <c r="U3" s="157"/>
      <c r="V3" s="157"/>
      <c r="W3" s="157"/>
      <c r="X3" s="347"/>
    </row>
    <row r="4" spans="1:25" s="96" customFormat="1" ht="88.5" customHeight="1">
      <c r="A4" s="157"/>
      <c r="B4" s="157"/>
      <c r="C4" s="157"/>
      <c r="D4" s="157"/>
      <c r="E4" s="157"/>
      <c r="F4" s="157"/>
      <c r="G4" s="157"/>
      <c r="H4" s="157"/>
      <c r="I4" s="157"/>
      <c r="J4" s="157"/>
      <c r="K4" s="157"/>
      <c r="L4" s="157"/>
      <c r="M4" s="157"/>
      <c r="N4" s="157"/>
      <c r="O4" s="157"/>
      <c r="P4" s="157"/>
      <c r="Q4" s="157"/>
      <c r="R4" s="157"/>
      <c r="S4" s="157"/>
      <c r="T4" s="157"/>
      <c r="U4" s="157"/>
      <c r="V4" s="157"/>
      <c r="W4" s="157"/>
      <c r="X4" s="347"/>
    </row>
    <row r="5" spans="1:25" s="158" customFormat="1" ht="73.5" customHeight="1">
      <c r="A5" s="1395" t="s">
        <v>69</v>
      </c>
      <c r="B5" s="1396"/>
      <c r="C5" s="1396"/>
      <c r="D5" s="1396"/>
      <c r="E5" s="1396"/>
      <c r="F5" s="1396"/>
      <c r="G5" s="1397"/>
      <c r="H5" s="1443" t="s">
        <v>218</v>
      </c>
      <c r="I5" s="1444"/>
      <c r="J5" s="1417" t="s">
        <v>72</v>
      </c>
      <c r="K5" s="1387" t="s">
        <v>219</v>
      </c>
      <c r="L5" s="1450" t="s">
        <v>220</v>
      </c>
      <c r="M5" s="1451"/>
      <c r="N5" s="1451"/>
      <c r="O5" s="1451"/>
      <c r="P5" s="1451"/>
      <c r="Q5" s="1390" t="s">
        <v>221</v>
      </c>
      <c r="R5" s="1390"/>
      <c r="S5" s="1390"/>
      <c r="T5" s="1390"/>
      <c r="U5" s="1392" t="s">
        <v>78</v>
      </c>
      <c r="V5" s="1392" t="s">
        <v>79</v>
      </c>
      <c r="W5" s="1389" t="s">
        <v>222</v>
      </c>
      <c r="X5" s="514"/>
      <c r="Y5" s="514"/>
    </row>
    <row r="6" spans="1:25" s="158" customFormat="1" ht="73.5" customHeight="1" thickBot="1">
      <c r="A6" s="1447"/>
      <c r="B6" s="1448"/>
      <c r="C6" s="1448"/>
      <c r="D6" s="1448"/>
      <c r="E6" s="1448"/>
      <c r="F6" s="1448"/>
      <c r="G6" s="1449"/>
      <c r="H6" s="1445"/>
      <c r="I6" s="1446"/>
      <c r="J6" s="1439"/>
      <c r="K6" s="1440"/>
      <c r="L6" s="1452"/>
      <c r="M6" s="1453"/>
      <c r="N6" s="1453"/>
      <c r="O6" s="1453"/>
      <c r="P6" s="1453"/>
      <c r="Q6" s="1454"/>
      <c r="R6" s="1454"/>
      <c r="S6" s="1454"/>
      <c r="T6" s="1454"/>
      <c r="U6" s="1441"/>
      <c r="V6" s="1441"/>
      <c r="W6" s="1442"/>
      <c r="X6" s="514"/>
      <c r="Y6" s="514"/>
    </row>
    <row r="7" spans="1:25" s="32" customFormat="1" ht="69.95" customHeight="1">
      <c r="A7" s="1437" t="s">
        <v>86</v>
      </c>
      <c r="B7" s="663" t="s">
        <v>66</v>
      </c>
      <c r="C7" s="583" t="s">
        <v>87</v>
      </c>
      <c r="D7" s="584" t="s">
        <v>92</v>
      </c>
      <c r="E7" s="583" t="s">
        <v>223</v>
      </c>
      <c r="F7" s="583" t="s">
        <v>224</v>
      </c>
      <c r="G7" s="583" t="s">
        <v>225</v>
      </c>
      <c r="H7" s="301" t="s">
        <v>226</v>
      </c>
      <c r="I7" s="301" t="s">
        <v>227</v>
      </c>
      <c r="J7" s="583" t="s">
        <v>228</v>
      </c>
      <c r="K7" s="331" t="s">
        <v>110</v>
      </c>
      <c r="L7" s="31" t="s">
        <v>87</v>
      </c>
      <c r="M7" s="19" t="s">
        <v>92</v>
      </c>
      <c r="N7" s="19" t="s">
        <v>223</v>
      </c>
      <c r="O7" s="19" t="s">
        <v>224</v>
      </c>
      <c r="P7" s="19" t="s">
        <v>225</v>
      </c>
      <c r="Q7" s="19" t="s">
        <v>226</v>
      </c>
      <c r="R7" s="19" t="s">
        <v>227</v>
      </c>
      <c r="S7" s="568" t="s">
        <v>85</v>
      </c>
      <c r="T7" s="19" t="s">
        <v>187</v>
      </c>
      <c r="U7" s="19" t="s">
        <v>120</v>
      </c>
      <c r="V7" s="19" t="s">
        <v>122</v>
      </c>
      <c r="W7" s="568" t="s">
        <v>188</v>
      </c>
      <c r="X7" s="347"/>
      <c r="Y7" s="347"/>
    </row>
    <row r="8" spans="1:25" s="1" customFormat="1" ht="195" customHeight="1">
      <c r="A8" s="1438"/>
      <c r="B8" s="600" t="s">
        <v>126</v>
      </c>
      <c r="C8" s="156" t="s">
        <v>229</v>
      </c>
      <c r="D8" s="585" t="s">
        <v>189</v>
      </c>
      <c r="E8" s="152" t="s">
        <v>230</v>
      </c>
      <c r="F8" s="152" t="s">
        <v>193</v>
      </c>
      <c r="G8" s="152" t="s">
        <v>231</v>
      </c>
      <c r="H8" s="12" t="s">
        <v>232</v>
      </c>
      <c r="I8" s="12" t="s">
        <v>233</v>
      </c>
      <c r="J8" s="152" t="s">
        <v>234</v>
      </c>
      <c r="K8" s="67" t="s">
        <v>144</v>
      </c>
      <c r="L8" s="69" t="s">
        <v>145</v>
      </c>
      <c r="M8" s="4" t="s">
        <v>143</v>
      </c>
      <c r="N8" s="4" t="s">
        <v>146</v>
      </c>
      <c r="O8" s="4" t="s">
        <v>146</v>
      </c>
      <c r="P8" s="4" t="s">
        <v>146</v>
      </c>
      <c r="Q8" s="4" t="s">
        <v>146</v>
      </c>
      <c r="R8" s="4" t="s">
        <v>146</v>
      </c>
      <c r="S8" s="240" t="s">
        <v>146</v>
      </c>
      <c r="T8" s="4" t="s">
        <v>201</v>
      </c>
      <c r="U8" s="4" t="s">
        <v>202</v>
      </c>
      <c r="V8" s="4" t="s">
        <v>235</v>
      </c>
      <c r="W8" s="240" t="s">
        <v>143</v>
      </c>
      <c r="X8" s="566"/>
      <c r="Y8" s="566"/>
    </row>
    <row r="9" spans="1:25" s="1" customFormat="1" ht="48.95" thickBot="1">
      <c r="A9" s="789" t="s">
        <v>48</v>
      </c>
      <c r="B9" s="786" t="s">
        <v>11</v>
      </c>
      <c r="C9" s="62" t="s">
        <v>236</v>
      </c>
      <c r="D9" s="306" t="s">
        <v>43</v>
      </c>
      <c r="E9" s="190" t="s">
        <v>237</v>
      </c>
      <c r="F9" s="191">
        <v>0.05</v>
      </c>
      <c r="G9" s="195">
        <v>1000</v>
      </c>
      <c r="H9" s="190" t="s">
        <v>238</v>
      </c>
      <c r="I9" s="190" t="s">
        <v>239</v>
      </c>
      <c r="J9" s="195">
        <f t="shared" ref="J9:J40" si="0">IF(OR(G9="",F9=""),"",IF((IFERROR(VALUE(TRIM(SUBSTITUTE(G9,CHAR(160),""))),0))*(IFERROR(VALUE(TRIM(SUBSTITUTE(F9,CHAR(160),""))),0))=0,"",(IFERROR(VALUE(TRIM(SUBSTITUTE(G9,CHAR(160),""))),0))*(IFERROR(VALUE(TRIM(SUBSTITUTE(F9,CHAR(160),""))),0))))</f>
        <v>50</v>
      </c>
      <c r="K9" s="578"/>
      <c r="L9" s="498" t="str">
        <f t="shared" ref="L9:L40" si="1">IF(C9="","",C9)</f>
        <v>main-d'œuvre exemple</v>
      </c>
      <c r="M9" s="196" t="str">
        <f t="shared" ref="M9:M40" si="2">IF(D9="","",D9)</f>
        <v>Développement de nouveaux produits, pratiques, procédés et techniques</v>
      </c>
      <c r="N9" s="196" t="str">
        <f t="shared" ref="N9:N40" si="3">IF(E9="","",E9)</f>
        <v>Bénévole projet</v>
      </c>
      <c r="O9" s="201">
        <f t="shared" ref="O9:O40" si="4">IF(F9="","",F9)</f>
        <v>0.05</v>
      </c>
      <c r="P9" s="196">
        <f t="shared" ref="P9:P40" si="5">IF(G9="","",G9)</f>
        <v>1000</v>
      </c>
      <c r="Q9" s="196" t="str">
        <f t="shared" ref="Q9:Q40" si="6">IF(H9="","",H9)</f>
        <v>Lettre de mission</v>
      </c>
      <c r="R9" s="196" t="str">
        <f t="shared" ref="R9:R40" si="7">IF(I9="","",I9)</f>
        <v>Justificatif</v>
      </c>
      <c r="S9" s="196">
        <f t="shared" ref="S9:S40" si="8">IF(OR(O9="",P9=""),"",IF(IFERROR(VALUE(TRIM(SUBSTITUTE(O9,CHAR(160),""))),0)*IFERROR(VALUE(TRIM(SUBSTITUTE(P9,CHAR(160),""))),0)=0,"",IFERROR(VALUE(TRIM(SUBSTITUTE(O9,CHAR(160),""))),0)*IFERROR(VALUE(TRIM(SUBSTITUTE(P9,CHAR(160),""))),0)))</f>
        <v>50</v>
      </c>
      <c r="T9" s="192"/>
      <c r="U9" s="192"/>
      <c r="V9" s="577" t="str" cm="1">
        <f t="array" ref="V9">IF(OR(S9="",J9=""),"",_xlfn.IFS((IFERROR(VALUE(TRIM(SUBSTITUTE(S9,CHAR(160),""))),0))&gt;(IFERROR(VALUE(TRIM(SUBSTITUTE(J9,CHAR(160),""))),0)),"KO : Le montant retenu est supérieur au montant présenté. Merci de revoir la ligne de contribution ou plafonner son montant.",(IFERROR(VALUE(TRIM(SUBSTITUTE(J9,CHAR(160),""))),0))=0,"",(IFERROR(VALUE(TRIM(SUBSTITUTE(S9,CHAR(160),""))),0))=(IFERROR(VALUE(TRIM(SUBSTITUTE(J9,CHAR(160),""))),0)),"OK",(IFERROR(VALUE(TRIM(SUBSTITUTE(S9,CHAR(160),""))),0))&lt;(IFERROR(VALUE(TRIM(SUBSTITUTE(J9,CHAR(160),""))),0)),"Attention : montant présenté partiellement écarté ",TRUE,""))</f>
        <v>OK</v>
      </c>
      <c r="W9" s="673">
        <f>IF(OR(J9="",S9=""),"",(IFERROR(VALUE(TRIM(SUBSTITUTE(J9,CHAR(160),""))),0))-(IFERROR(VALUE(TRIM(SUBSTITUTE(S9,CHAR(160),""))),0)))</f>
        <v>0</v>
      </c>
    </row>
    <row r="10" spans="1:25" s="1" customFormat="1" ht="41.45" customHeight="1">
      <c r="A10" s="790">
        <v>1</v>
      </c>
      <c r="B10" s="780" t="s">
        <v>12</v>
      </c>
      <c r="C10" s="333" t="s">
        <v>240</v>
      </c>
      <c r="D10" s="570" t="s">
        <v>43</v>
      </c>
      <c r="E10" s="211" t="s">
        <v>241</v>
      </c>
      <c r="F10" s="571">
        <v>1</v>
      </c>
      <c r="G10" s="572">
        <v>400</v>
      </c>
      <c r="H10" s="211" t="s">
        <v>242</v>
      </c>
      <c r="I10" s="211" t="s">
        <v>243</v>
      </c>
      <c r="J10" s="573">
        <f t="shared" si="0"/>
        <v>400</v>
      </c>
      <c r="K10" s="574" t="s">
        <v>244</v>
      </c>
      <c r="L10" s="575" t="str">
        <f t="shared" si="1"/>
        <v>main-d'œuvre</v>
      </c>
      <c r="M10" s="180" t="str">
        <f t="shared" si="2"/>
        <v>Développement de nouveaux produits, pratiques, procédés et techniques</v>
      </c>
      <c r="N10" s="180" t="str">
        <f t="shared" si="3"/>
        <v>bénévole</v>
      </c>
      <c r="O10" s="175">
        <f t="shared" si="4"/>
        <v>1</v>
      </c>
      <c r="P10" s="180">
        <f t="shared" si="5"/>
        <v>400</v>
      </c>
      <c r="Q10" s="180" t="str">
        <f t="shared" si="6"/>
        <v>lettre de mission</v>
      </c>
      <c r="R10" s="180" t="str">
        <f t="shared" si="7"/>
        <v>Justificatif test</v>
      </c>
      <c r="S10" s="180">
        <f t="shared" si="8"/>
        <v>400</v>
      </c>
      <c r="T10" s="283" t="s">
        <v>152</v>
      </c>
      <c r="U10" s="576" t="s">
        <v>215</v>
      </c>
      <c r="V10" s="577" t="str" cm="1">
        <f t="array" ref="V10">IF(OR(S10="",J10=""),"",_xlfn.IFS((IFERROR(VALUE(TRIM(SUBSTITUTE(S10,CHAR(160),""))),0))&gt;(IFERROR(VALUE(TRIM(SUBSTITUTE(J10,CHAR(160),""))),0)),"KO : Le montant retenu est supérieur au montant présenté. Merci de revoir la ligne de contribution ou plafonner son montant.",(IFERROR(VALUE(TRIM(SUBSTITUTE(J10,CHAR(160),""))),0))=0,"",(IFERROR(VALUE(TRIM(SUBSTITUTE(S10,CHAR(160),""))),0))=(IFERROR(VALUE(TRIM(SUBSTITUTE(J10,CHAR(160),""))),0)),"OK",(IFERROR(VALUE(TRIM(SUBSTITUTE(S10,CHAR(160),""))),0))&lt;(IFERROR(VALUE(TRIM(SUBSTITUTE(J10,CHAR(160),""))),0)),"Attention : montant présenté partiellement écarté ",TRUE,""))</f>
        <v>OK</v>
      </c>
      <c r="W10" s="20">
        <f t="shared" ref="W10:W73" si="9">IF(OR(J10="",S10=""),"",(IFERROR(VALUE(TRIM(SUBSTITUTE(J10,CHAR(160),""))),0))-(IFERROR(VALUE(TRIM(SUBSTITUTE(S10,CHAR(160),""))),0)))</f>
        <v>0</v>
      </c>
      <c r="X10" s="3"/>
    </row>
    <row r="11" spans="1:25" s="1" customFormat="1" ht="24.95" customHeight="1">
      <c r="A11" s="790">
        <v>2</v>
      </c>
      <c r="B11" s="780" t="s">
        <v>11</v>
      </c>
      <c r="C11" s="333" t="s">
        <v>240</v>
      </c>
      <c r="D11" s="570" t="s">
        <v>43</v>
      </c>
      <c r="E11" s="211" t="s">
        <v>241</v>
      </c>
      <c r="F11" s="571">
        <v>1</v>
      </c>
      <c r="G11" s="572">
        <v>4000</v>
      </c>
      <c r="H11" s="211" t="s">
        <v>242</v>
      </c>
      <c r="I11" s="211" t="s">
        <v>243</v>
      </c>
      <c r="J11" s="573">
        <f t="shared" ref="J11" si="10">IF(OR(G11="",F11=""),"",IF((IFERROR(VALUE(TRIM(SUBSTITUTE(G11,CHAR(160),""))),0))*(IFERROR(VALUE(TRIM(SUBSTITUTE(F11,CHAR(160),""))),0))=0,"",(IFERROR(VALUE(TRIM(SUBSTITUTE(G11,CHAR(160),""))),0))*(IFERROR(VALUE(TRIM(SUBSTITUTE(F11,CHAR(160),""))),0))))</f>
        <v>4000</v>
      </c>
      <c r="K11" s="574" t="s">
        <v>244</v>
      </c>
      <c r="L11" s="338" t="str">
        <f t="shared" si="1"/>
        <v>main-d'œuvre</v>
      </c>
      <c r="M11" s="20" t="str">
        <f t="shared" si="2"/>
        <v>Développement de nouveaux produits, pratiques, procédés et techniques</v>
      </c>
      <c r="N11" s="20" t="str">
        <f t="shared" si="3"/>
        <v>bénévole</v>
      </c>
      <c r="O11" s="37">
        <f t="shared" si="4"/>
        <v>1</v>
      </c>
      <c r="P11" s="20">
        <f t="shared" si="5"/>
        <v>4000</v>
      </c>
      <c r="Q11" s="20" t="str">
        <f t="shared" si="6"/>
        <v>lettre de mission</v>
      </c>
      <c r="R11" s="20" t="str">
        <f t="shared" si="7"/>
        <v>Justificatif test</v>
      </c>
      <c r="S11" s="20">
        <f t="shared" si="8"/>
        <v>4000</v>
      </c>
      <c r="T11" s="283" t="s">
        <v>160</v>
      </c>
      <c r="U11" s="282"/>
      <c r="V11" s="577" t="str" cm="1">
        <f t="array" ref="V11">IF(OR(S11="",J11=""),"",_xlfn.IFS((IFERROR(VALUE(TRIM(SUBSTITUTE(S11,CHAR(160),""))),0))&gt;(IFERROR(VALUE(TRIM(SUBSTITUTE(J11,CHAR(160),""))),0)),"KO : Le montant retenu est supérieur au montant présenté. Merci de revoir la ligne de contribution ou plafonner son montant.",(IFERROR(VALUE(TRIM(SUBSTITUTE(J11,CHAR(160),""))),0))=0,"",(IFERROR(VALUE(TRIM(SUBSTITUTE(S11,CHAR(160),""))),0))=(IFERROR(VALUE(TRIM(SUBSTITUTE(J11,CHAR(160),""))),0)),"OK",(IFERROR(VALUE(TRIM(SUBSTITUTE(S11,CHAR(160),""))),0))&lt;(IFERROR(VALUE(TRIM(SUBSTITUTE(J11,CHAR(160),""))),0)),"Attention : montant présenté partiellement écarté ",TRUE,""))</f>
        <v>OK</v>
      </c>
      <c r="W11" s="20">
        <f t="shared" si="9"/>
        <v>0</v>
      </c>
      <c r="X11" s="3"/>
    </row>
    <row r="12" spans="1:25" ht="15" customHeight="1">
      <c r="A12" s="791">
        <v>3</v>
      </c>
      <c r="B12" s="792"/>
      <c r="C12" s="333"/>
      <c r="D12" s="565"/>
      <c r="E12" s="22"/>
      <c r="F12" s="334"/>
      <c r="G12" s="335"/>
      <c r="H12" s="22"/>
      <c r="I12" s="22"/>
      <c r="J12" s="336" t="str">
        <f t="shared" si="0"/>
        <v/>
      </c>
      <c r="K12" s="337"/>
      <c r="L12" s="338" t="str">
        <f t="shared" si="1"/>
        <v/>
      </c>
      <c r="M12" s="20" t="str">
        <f t="shared" si="2"/>
        <v/>
      </c>
      <c r="N12" s="20" t="str">
        <f t="shared" si="3"/>
        <v/>
      </c>
      <c r="O12" s="37" t="str">
        <f t="shared" si="4"/>
        <v/>
      </c>
      <c r="P12" s="20" t="str">
        <f t="shared" si="5"/>
        <v/>
      </c>
      <c r="Q12" s="20" t="str">
        <f t="shared" si="6"/>
        <v/>
      </c>
      <c r="R12" s="20" t="str">
        <f t="shared" si="7"/>
        <v/>
      </c>
      <c r="S12" s="20" t="str">
        <f t="shared" si="8"/>
        <v/>
      </c>
      <c r="T12" s="283"/>
      <c r="U12" s="282"/>
      <c r="V12" s="577" t="str" cm="1">
        <f t="array" ref="V12">IF(OR(S12="",J12=""),"",_xlfn.IFS((IFERROR(VALUE(TRIM(SUBSTITUTE(S12,CHAR(160),""))),0))&gt;(IFERROR(VALUE(TRIM(SUBSTITUTE(J12,CHAR(160),""))),0)),"KO : Le montant retenu est supérieur au montant présenté. Merci de revoir la ligne de contribution ou plafonner son montant.",(IFERROR(VALUE(TRIM(SUBSTITUTE(J12,CHAR(160),""))),0))=0,"",(IFERROR(VALUE(TRIM(SUBSTITUTE(S12,CHAR(160),""))),0))=(IFERROR(VALUE(TRIM(SUBSTITUTE(J12,CHAR(160),""))),0)),"OK",(IFERROR(VALUE(TRIM(SUBSTITUTE(S12,CHAR(160),""))),0))&lt;(IFERROR(VALUE(TRIM(SUBSTITUTE(J12,CHAR(160),""))),0)),"Attention : montant présenté partiellement écarté ",TRUE,""))</f>
        <v/>
      </c>
      <c r="W12" s="20" t="str">
        <f t="shared" si="9"/>
        <v/>
      </c>
      <c r="X12" s="46"/>
    </row>
    <row r="13" spans="1:25" ht="15" customHeight="1">
      <c r="A13" s="791">
        <v>4</v>
      </c>
      <c r="B13" s="792"/>
      <c r="C13" s="333"/>
      <c r="D13" s="565"/>
      <c r="E13" s="22"/>
      <c r="F13" s="334"/>
      <c r="G13" s="335"/>
      <c r="H13" s="22"/>
      <c r="I13" s="22"/>
      <c r="J13" s="336" t="str">
        <f t="shared" si="0"/>
        <v/>
      </c>
      <c r="K13" s="337"/>
      <c r="L13" s="338" t="str">
        <f t="shared" si="1"/>
        <v/>
      </c>
      <c r="M13" s="20" t="str">
        <f t="shared" si="2"/>
        <v/>
      </c>
      <c r="N13" s="20" t="str">
        <f t="shared" si="3"/>
        <v/>
      </c>
      <c r="O13" s="37" t="str">
        <f t="shared" si="4"/>
        <v/>
      </c>
      <c r="P13" s="20" t="str">
        <f t="shared" si="5"/>
        <v/>
      </c>
      <c r="Q13" s="20" t="str">
        <f t="shared" si="6"/>
        <v/>
      </c>
      <c r="R13" s="20" t="str">
        <f t="shared" si="7"/>
        <v/>
      </c>
      <c r="S13" s="20" t="str">
        <f t="shared" si="8"/>
        <v/>
      </c>
      <c r="T13" s="283"/>
      <c r="U13" s="282"/>
      <c r="V13" s="577" t="str" cm="1">
        <f t="array" ref="V13">IF(OR(S13="",J13=""),"",_xlfn.IFS((IFERROR(VALUE(TRIM(SUBSTITUTE(S13,CHAR(160),""))),0))&gt;(IFERROR(VALUE(TRIM(SUBSTITUTE(J13,CHAR(160),""))),0)),"KO : Le montant retenu est supérieur au montant présenté. Merci de revoir la ligne de contribution ou plafonner son montant.",(IFERROR(VALUE(TRIM(SUBSTITUTE(J13,CHAR(160),""))),0))=0,"",(IFERROR(VALUE(TRIM(SUBSTITUTE(S13,CHAR(160),""))),0))=(IFERROR(VALUE(TRIM(SUBSTITUTE(J13,CHAR(160),""))),0)),"OK",(IFERROR(VALUE(TRIM(SUBSTITUTE(S13,CHAR(160),""))),0))&lt;(IFERROR(VALUE(TRIM(SUBSTITUTE(J13,CHAR(160),""))),0)),"Attention : montant présenté partiellement écarté ",TRUE,""))</f>
        <v/>
      </c>
      <c r="W13" s="20" t="str">
        <f t="shared" si="9"/>
        <v/>
      </c>
      <c r="X13" s="46"/>
    </row>
    <row r="14" spans="1:25" ht="15" customHeight="1">
      <c r="A14" s="791">
        <v>5</v>
      </c>
      <c r="B14" s="792"/>
      <c r="C14" s="333"/>
      <c r="D14" s="565"/>
      <c r="E14" s="22"/>
      <c r="F14" s="334"/>
      <c r="G14" s="335"/>
      <c r="H14" s="22"/>
      <c r="I14" s="22"/>
      <c r="J14" s="336" t="str">
        <f t="shared" si="0"/>
        <v/>
      </c>
      <c r="K14" s="337"/>
      <c r="L14" s="338" t="str">
        <f t="shared" si="1"/>
        <v/>
      </c>
      <c r="M14" s="20" t="str">
        <f t="shared" si="2"/>
        <v/>
      </c>
      <c r="N14" s="20" t="str">
        <f t="shared" si="3"/>
        <v/>
      </c>
      <c r="O14" s="37" t="str">
        <f t="shared" si="4"/>
        <v/>
      </c>
      <c r="P14" s="20" t="str">
        <f t="shared" si="5"/>
        <v/>
      </c>
      <c r="Q14" s="20" t="str">
        <f t="shared" si="6"/>
        <v/>
      </c>
      <c r="R14" s="20" t="str">
        <f t="shared" si="7"/>
        <v/>
      </c>
      <c r="S14" s="20" t="str">
        <f t="shared" si="8"/>
        <v/>
      </c>
      <c r="T14" s="283"/>
      <c r="U14" s="282"/>
      <c r="V14" s="577" t="str" cm="1">
        <f t="array" ref="V14">IF(OR(S14="",J14=""),"",_xlfn.IFS((IFERROR(VALUE(TRIM(SUBSTITUTE(S14,CHAR(160),""))),0))&gt;(IFERROR(VALUE(TRIM(SUBSTITUTE(J14,CHAR(160),""))),0)),"KO : Le montant retenu est supérieur au montant présenté. Merci de revoir la ligne de contribution ou plafonner son montant.",(IFERROR(VALUE(TRIM(SUBSTITUTE(J14,CHAR(160),""))),0))=0,"",(IFERROR(VALUE(TRIM(SUBSTITUTE(S14,CHAR(160),""))),0))=(IFERROR(VALUE(TRIM(SUBSTITUTE(J14,CHAR(160),""))),0)),"OK",(IFERROR(VALUE(TRIM(SUBSTITUTE(S14,CHAR(160),""))),0))&lt;(IFERROR(VALUE(TRIM(SUBSTITUTE(J14,CHAR(160),""))),0)),"Attention : montant présenté partiellement écarté ",TRUE,""))</f>
        <v/>
      </c>
      <c r="W14" s="20" t="str">
        <f t="shared" si="9"/>
        <v/>
      </c>
      <c r="X14" s="46"/>
    </row>
    <row r="15" spans="1:25" ht="15" customHeight="1">
      <c r="A15" s="791">
        <v>6</v>
      </c>
      <c r="B15" s="792"/>
      <c r="C15" s="333"/>
      <c r="D15" s="565"/>
      <c r="E15" s="22"/>
      <c r="F15" s="334"/>
      <c r="G15" s="335"/>
      <c r="H15" s="22"/>
      <c r="I15" s="22"/>
      <c r="J15" s="336" t="str">
        <f t="shared" si="0"/>
        <v/>
      </c>
      <c r="K15" s="337"/>
      <c r="L15" s="338" t="str">
        <f t="shared" si="1"/>
        <v/>
      </c>
      <c r="M15" s="20" t="str">
        <f t="shared" si="2"/>
        <v/>
      </c>
      <c r="N15" s="20" t="str">
        <f t="shared" si="3"/>
        <v/>
      </c>
      <c r="O15" s="37" t="str">
        <f t="shared" si="4"/>
        <v/>
      </c>
      <c r="P15" s="20" t="str">
        <f t="shared" si="5"/>
        <v/>
      </c>
      <c r="Q15" s="20" t="str">
        <f t="shared" si="6"/>
        <v/>
      </c>
      <c r="R15" s="20" t="str">
        <f t="shared" si="7"/>
        <v/>
      </c>
      <c r="S15" s="20" t="str">
        <f t="shared" si="8"/>
        <v/>
      </c>
      <c r="U15" s="283"/>
      <c r="V15" s="577" t="str" cm="1">
        <f t="array" ref="V15">IF(OR(S15="",J15=""),"",_xlfn.IFS((IFERROR(VALUE(TRIM(SUBSTITUTE(S15,CHAR(160),""))),0))&gt;(IFERROR(VALUE(TRIM(SUBSTITUTE(J15,CHAR(160),""))),0)),"KO : Le montant retenu est supérieur au montant présenté. Merci de revoir la ligne de contribution ou plafonner son montant.",(IFERROR(VALUE(TRIM(SUBSTITUTE(J15,CHAR(160),""))),0))=0,"",(IFERROR(VALUE(TRIM(SUBSTITUTE(S15,CHAR(160),""))),0))=(IFERROR(VALUE(TRIM(SUBSTITUTE(J15,CHAR(160),""))),0)),"OK",(IFERROR(VALUE(TRIM(SUBSTITUTE(S15,CHAR(160),""))),0))&lt;(IFERROR(VALUE(TRIM(SUBSTITUTE(J15,CHAR(160),""))),0)),"Attention : montant présenté partiellement écarté ",TRUE,""))</f>
        <v/>
      </c>
      <c r="W15" s="20" t="str">
        <f t="shared" si="9"/>
        <v/>
      </c>
      <c r="X15" s="46"/>
    </row>
    <row r="16" spans="1:25" ht="15" customHeight="1">
      <c r="A16" s="791">
        <v>7</v>
      </c>
      <c r="B16" s="792"/>
      <c r="C16" s="333"/>
      <c r="D16" s="565"/>
      <c r="E16" s="22"/>
      <c r="F16" s="334"/>
      <c r="G16" s="335"/>
      <c r="H16" s="22"/>
      <c r="I16" s="22"/>
      <c r="J16" s="336" t="str">
        <f t="shared" si="0"/>
        <v/>
      </c>
      <c r="K16" s="337"/>
      <c r="L16" s="338" t="str">
        <f t="shared" si="1"/>
        <v/>
      </c>
      <c r="M16" s="20" t="str">
        <f t="shared" si="2"/>
        <v/>
      </c>
      <c r="N16" s="20" t="str">
        <f t="shared" si="3"/>
        <v/>
      </c>
      <c r="O16" s="37" t="str">
        <f t="shared" si="4"/>
        <v/>
      </c>
      <c r="P16" s="20" t="str">
        <f t="shared" si="5"/>
        <v/>
      </c>
      <c r="Q16" s="20" t="str">
        <f t="shared" si="6"/>
        <v/>
      </c>
      <c r="R16" s="20" t="str">
        <f t="shared" si="7"/>
        <v/>
      </c>
      <c r="S16" s="20" t="str">
        <f t="shared" si="8"/>
        <v/>
      </c>
      <c r="T16" s="283"/>
      <c r="U16" s="282"/>
      <c r="V16" s="577" t="str" cm="1">
        <f t="array" ref="V16">IF(OR(S16="",J16=""),"",_xlfn.IFS((IFERROR(VALUE(TRIM(SUBSTITUTE(S16,CHAR(160),""))),0))&gt;(IFERROR(VALUE(TRIM(SUBSTITUTE(J16,CHAR(160),""))),0)),"KO : Le montant retenu est supérieur au montant présenté. Merci de revoir la ligne de contribution ou plafonner son montant.",(IFERROR(VALUE(TRIM(SUBSTITUTE(J16,CHAR(160),""))),0))=0,"",(IFERROR(VALUE(TRIM(SUBSTITUTE(S16,CHAR(160),""))),0))=(IFERROR(VALUE(TRIM(SUBSTITUTE(J16,CHAR(160),""))),0)),"OK",(IFERROR(VALUE(TRIM(SUBSTITUTE(S16,CHAR(160),""))),0))&lt;(IFERROR(VALUE(TRIM(SUBSTITUTE(J16,CHAR(160),""))),0)),"Attention : montant présenté partiellement écarté ",TRUE,""))</f>
        <v/>
      </c>
      <c r="W16" s="20" t="str">
        <f t="shared" si="9"/>
        <v/>
      </c>
      <c r="X16" s="46"/>
    </row>
    <row r="17" spans="1:24" ht="15" customHeight="1">
      <c r="A17" s="791">
        <v>8</v>
      </c>
      <c r="B17" s="792"/>
      <c r="C17" s="333"/>
      <c r="D17" s="565"/>
      <c r="E17" s="22"/>
      <c r="F17" s="334"/>
      <c r="G17" s="335"/>
      <c r="H17" s="22"/>
      <c r="I17" s="22"/>
      <c r="J17" s="336" t="str">
        <f t="shared" si="0"/>
        <v/>
      </c>
      <c r="K17" s="337"/>
      <c r="L17" s="338" t="str">
        <f t="shared" si="1"/>
        <v/>
      </c>
      <c r="M17" s="20" t="str">
        <f t="shared" si="2"/>
        <v/>
      </c>
      <c r="N17" s="20" t="str">
        <f t="shared" si="3"/>
        <v/>
      </c>
      <c r="O17" s="37" t="str">
        <f t="shared" si="4"/>
        <v/>
      </c>
      <c r="P17" s="20" t="str">
        <f t="shared" si="5"/>
        <v/>
      </c>
      <c r="Q17" s="20" t="str">
        <f t="shared" si="6"/>
        <v/>
      </c>
      <c r="R17" s="20" t="str">
        <f t="shared" si="7"/>
        <v/>
      </c>
      <c r="S17" s="20" t="str">
        <f t="shared" si="8"/>
        <v/>
      </c>
      <c r="T17" s="283"/>
      <c r="U17" s="282"/>
      <c r="V17" s="577" t="str" cm="1">
        <f t="array" ref="V17">IF(OR(S17="",J17=""),"",_xlfn.IFS((IFERROR(VALUE(TRIM(SUBSTITUTE(S17,CHAR(160),""))),0))&gt;(IFERROR(VALUE(TRIM(SUBSTITUTE(J17,CHAR(160),""))),0)),"KO : Le montant retenu est supérieur au montant présenté. Merci de revoir la ligne de contribution ou plafonner son montant.",(IFERROR(VALUE(TRIM(SUBSTITUTE(J17,CHAR(160),""))),0))=0,"",(IFERROR(VALUE(TRIM(SUBSTITUTE(S17,CHAR(160),""))),0))=(IFERROR(VALUE(TRIM(SUBSTITUTE(J17,CHAR(160),""))),0)),"OK",(IFERROR(VALUE(TRIM(SUBSTITUTE(S17,CHAR(160),""))),0))&lt;(IFERROR(VALUE(TRIM(SUBSTITUTE(J17,CHAR(160),""))),0)),"Attention : montant présenté partiellement écarté ",TRUE,""))</f>
        <v/>
      </c>
      <c r="W17" s="20" t="str">
        <f t="shared" si="9"/>
        <v/>
      </c>
      <c r="X17" s="46"/>
    </row>
    <row r="18" spans="1:24" ht="15" customHeight="1">
      <c r="A18" s="791">
        <v>9</v>
      </c>
      <c r="B18" s="792"/>
      <c r="C18" s="333"/>
      <c r="D18" s="565"/>
      <c r="E18" s="22"/>
      <c r="F18" s="334"/>
      <c r="G18" s="335"/>
      <c r="H18" s="22"/>
      <c r="I18" s="22"/>
      <c r="J18" s="336" t="str">
        <f t="shared" si="0"/>
        <v/>
      </c>
      <c r="K18" s="337"/>
      <c r="L18" s="338" t="str">
        <f t="shared" si="1"/>
        <v/>
      </c>
      <c r="M18" s="20" t="str">
        <f t="shared" si="2"/>
        <v/>
      </c>
      <c r="N18" s="20" t="str">
        <f t="shared" si="3"/>
        <v/>
      </c>
      <c r="O18" s="37" t="str">
        <f t="shared" si="4"/>
        <v/>
      </c>
      <c r="P18" s="20" t="str">
        <f t="shared" si="5"/>
        <v/>
      </c>
      <c r="Q18" s="20" t="str">
        <f t="shared" si="6"/>
        <v/>
      </c>
      <c r="R18" s="20" t="str">
        <f t="shared" si="7"/>
        <v/>
      </c>
      <c r="S18" s="20" t="str">
        <f t="shared" si="8"/>
        <v/>
      </c>
      <c r="T18" s="283"/>
      <c r="U18" s="282"/>
      <c r="V18" s="577" t="str" cm="1">
        <f t="array" ref="V18">IF(OR(S18="",J18=""),"",_xlfn.IFS((IFERROR(VALUE(TRIM(SUBSTITUTE(S18,CHAR(160),""))),0))&gt;(IFERROR(VALUE(TRIM(SUBSTITUTE(J18,CHAR(160),""))),0)),"KO : Le montant retenu est supérieur au montant présenté. Merci de revoir la ligne de contribution ou plafonner son montant.",(IFERROR(VALUE(TRIM(SUBSTITUTE(J18,CHAR(160),""))),0))=0,"",(IFERROR(VALUE(TRIM(SUBSTITUTE(S18,CHAR(160),""))),0))=(IFERROR(VALUE(TRIM(SUBSTITUTE(J18,CHAR(160),""))),0)),"OK",(IFERROR(VALUE(TRIM(SUBSTITUTE(S18,CHAR(160),""))),0))&lt;(IFERROR(VALUE(TRIM(SUBSTITUTE(J18,CHAR(160),""))),0)),"Attention : montant présenté partiellement écarté ",TRUE,""))</f>
        <v/>
      </c>
      <c r="W18" s="20" t="str">
        <f t="shared" si="9"/>
        <v/>
      </c>
      <c r="X18" s="46"/>
    </row>
    <row r="19" spans="1:24" ht="15" customHeight="1">
      <c r="A19" s="791">
        <v>10</v>
      </c>
      <c r="B19" s="792"/>
      <c r="C19" s="333"/>
      <c r="D19" s="565"/>
      <c r="E19" s="22"/>
      <c r="F19" s="334"/>
      <c r="G19" s="335"/>
      <c r="H19" s="22"/>
      <c r="I19" s="22"/>
      <c r="J19" s="336" t="str">
        <f t="shared" si="0"/>
        <v/>
      </c>
      <c r="K19" s="337"/>
      <c r="L19" s="338" t="str">
        <f t="shared" si="1"/>
        <v/>
      </c>
      <c r="M19" s="20" t="str">
        <f t="shared" si="2"/>
        <v/>
      </c>
      <c r="N19" s="20" t="str">
        <f t="shared" si="3"/>
        <v/>
      </c>
      <c r="O19" s="37" t="str">
        <f t="shared" si="4"/>
        <v/>
      </c>
      <c r="P19" s="20" t="str">
        <f t="shared" si="5"/>
        <v/>
      </c>
      <c r="Q19" s="20" t="str">
        <f t="shared" si="6"/>
        <v/>
      </c>
      <c r="R19" s="20" t="str">
        <f t="shared" si="7"/>
        <v/>
      </c>
      <c r="S19" s="20" t="str">
        <f t="shared" si="8"/>
        <v/>
      </c>
      <c r="T19" s="283"/>
      <c r="U19" s="282"/>
      <c r="V19" s="577" t="str" cm="1">
        <f t="array" ref="V19">IF(OR(S19="",J19=""),"",_xlfn.IFS((IFERROR(VALUE(TRIM(SUBSTITUTE(S19,CHAR(160),""))),0))&gt;(IFERROR(VALUE(TRIM(SUBSTITUTE(J19,CHAR(160),""))),0)),"KO : Le montant retenu est supérieur au montant présenté. Merci de revoir la ligne de contribution ou plafonner son montant.",(IFERROR(VALUE(TRIM(SUBSTITUTE(J19,CHAR(160),""))),0))=0,"",(IFERROR(VALUE(TRIM(SUBSTITUTE(S19,CHAR(160),""))),0))=(IFERROR(VALUE(TRIM(SUBSTITUTE(J19,CHAR(160),""))),0)),"OK",(IFERROR(VALUE(TRIM(SUBSTITUTE(S19,CHAR(160),""))),0))&lt;(IFERROR(VALUE(TRIM(SUBSTITUTE(J19,CHAR(160),""))),0)),"Attention : montant présenté partiellement écarté ",TRUE,""))</f>
        <v/>
      </c>
      <c r="W19" s="20" t="str">
        <f t="shared" si="9"/>
        <v/>
      </c>
      <c r="X19" s="46"/>
    </row>
    <row r="20" spans="1:24" ht="15" customHeight="1">
      <c r="A20" s="791">
        <v>11</v>
      </c>
      <c r="B20" s="792"/>
      <c r="C20" s="333"/>
      <c r="D20" s="565"/>
      <c r="E20" s="22"/>
      <c r="F20" s="334"/>
      <c r="G20" s="335"/>
      <c r="H20" s="22"/>
      <c r="I20" s="22"/>
      <c r="J20" s="336" t="str">
        <f t="shared" si="0"/>
        <v/>
      </c>
      <c r="K20" s="337"/>
      <c r="L20" s="338" t="str">
        <f t="shared" si="1"/>
        <v/>
      </c>
      <c r="M20" s="20" t="str">
        <f t="shared" si="2"/>
        <v/>
      </c>
      <c r="N20" s="20" t="str">
        <f t="shared" si="3"/>
        <v/>
      </c>
      <c r="O20" s="37" t="str">
        <f t="shared" si="4"/>
        <v/>
      </c>
      <c r="P20" s="20" t="str">
        <f t="shared" si="5"/>
        <v/>
      </c>
      <c r="Q20" s="20" t="str">
        <f t="shared" si="6"/>
        <v/>
      </c>
      <c r="R20" s="20" t="str">
        <f t="shared" si="7"/>
        <v/>
      </c>
      <c r="S20" s="20" t="str">
        <f t="shared" si="8"/>
        <v/>
      </c>
      <c r="T20" s="283"/>
      <c r="U20" s="282"/>
      <c r="V20" s="577" t="str" cm="1">
        <f t="array" ref="V20">IF(OR(S20="",J20=""),"",_xlfn.IFS((IFERROR(VALUE(TRIM(SUBSTITUTE(S20,CHAR(160),""))),0))&gt;(IFERROR(VALUE(TRIM(SUBSTITUTE(J20,CHAR(160),""))),0)),"KO : Le montant retenu est supérieur au montant présenté. Merci de revoir la ligne de contribution ou plafonner son montant.",(IFERROR(VALUE(TRIM(SUBSTITUTE(J20,CHAR(160),""))),0))=0,"",(IFERROR(VALUE(TRIM(SUBSTITUTE(S20,CHAR(160),""))),0))=(IFERROR(VALUE(TRIM(SUBSTITUTE(J20,CHAR(160),""))),0)),"OK",(IFERROR(VALUE(TRIM(SUBSTITUTE(S20,CHAR(160),""))),0))&lt;(IFERROR(VALUE(TRIM(SUBSTITUTE(J20,CHAR(160),""))),0)),"Attention : montant présenté partiellement écarté ",TRUE,""))</f>
        <v/>
      </c>
      <c r="W20" s="20" t="str">
        <f t="shared" si="9"/>
        <v/>
      </c>
      <c r="X20" s="46"/>
    </row>
    <row r="21" spans="1:24" ht="15" customHeight="1">
      <c r="A21" s="791">
        <v>12</v>
      </c>
      <c r="B21" s="792"/>
      <c r="C21" s="333"/>
      <c r="D21" s="565"/>
      <c r="E21" s="22"/>
      <c r="F21" s="334"/>
      <c r="G21" s="335"/>
      <c r="H21" s="22"/>
      <c r="I21" s="22"/>
      <c r="J21" s="336" t="str">
        <f t="shared" si="0"/>
        <v/>
      </c>
      <c r="K21" s="337"/>
      <c r="L21" s="338" t="str">
        <f t="shared" si="1"/>
        <v/>
      </c>
      <c r="M21" s="20" t="str">
        <f t="shared" si="2"/>
        <v/>
      </c>
      <c r="N21" s="20" t="str">
        <f t="shared" si="3"/>
        <v/>
      </c>
      <c r="O21" s="37" t="str">
        <f t="shared" si="4"/>
        <v/>
      </c>
      <c r="P21" s="20" t="str">
        <f t="shared" si="5"/>
        <v/>
      </c>
      <c r="Q21" s="20" t="str">
        <f t="shared" si="6"/>
        <v/>
      </c>
      <c r="R21" s="20" t="str">
        <f t="shared" si="7"/>
        <v/>
      </c>
      <c r="S21" s="20" t="str">
        <f t="shared" si="8"/>
        <v/>
      </c>
      <c r="T21" s="283"/>
      <c r="U21" s="282"/>
      <c r="V21" s="577" t="str" cm="1">
        <f t="array" ref="V21">IF(OR(S21="",J21=""),"",_xlfn.IFS((IFERROR(VALUE(TRIM(SUBSTITUTE(S21,CHAR(160),""))),0))&gt;(IFERROR(VALUE(TRIM(SUBSTITUTE(J21,CHAR(160),""))),0)),"KO : Le montant retenu est supérieur au montant présenté. Merci de revoir la ligne de contribution ou plafonner son montant.",(IFERROR(VALUE(TRIM(SUBSTITUTE(J21,CHAR(160),""))),0))=0,"",(IFERROR(VALUE(TRIM(SUBSTITUTE(S21,CHAR(160),""))),0))=(IFERROR(VALUE(TRIM(SUBSTITUTE(J21,CHAR(160),""))),0)),"OK",(IFERROR(VALUE(TRIM(SUBSTITUTE(S21,CHAR(160),""))),0))&lt;(IFERROR(VALUE(TRIM(SUBSTITUTE(J21,CHAR(160),""))),0)),"Attention : montant présenté partiellement écarté ",TRUE,""))</f>
        <v/>
      </c>
      <c r="W21" s="20" t="str">
        <f t="shared" si="9"/>
        <v/>
      </c>
      <c r="X21" s="46"/>
    </row>
    <row r="22" spans="1:24" ht="15" customHeight="1">
      <c r="A22" s="791">
        <v>13</v>
      </c>
      <c r="B22" s="792"/>
      <c r="C22" s="333"/>
      <c r="D22" s="565"/>
      <c r="E22" s="22"/>
      <c r="F22" s="334"/>
      <c r="G22" s="335"/>
      <c r="H22" s="22"/>
      <c r="I22" s="22"/>
      <c r="J22" s="336" t="str">
        <f t="shared" si="0"/>
        <v/>
      </c>
      <c r="K22" s="337"/>
      <c r="L22" s="338" t="str">
        <f t="shared" si="1"/>
        <v/>
      </c>
      <c r="M22" s="20" t="str">
        <f t="shared" si="2"/>
        <v/>
      </c>
      <c r="N22" s="20" t="str">
        <f t="shared" si="3"/>
        <v/>
      </c>
      <c r="O22" s="37" t="str">
        <f t="shared" si="4"/>
        <v/>
      </c>
      <c r="P22" s="20" t="str">
        <f t="shared" si="5"/>
        <v/>
      </c>
      <c r="Q22" s="20" t="str">
        <f t="shared" si="6"/>
        <v/>
      </c>
      <c r="R22" s="20" t="str">
        <f t="shared" si="7"/>
        <v/>
      </c>
      <c r="S22" s="20" t="str">
        <f t="shared" si="8"/>
        <v/>
      </c>
      <c r="T22" s="283"/>
      <c r="U22" s="282"/>
      <c r="V22" s="577" t="str" cm="1">
        <f t="array" ref="V22">IF(OR(S22="",J22=""),"",_xlfn.IFS((IFERROR(VALUE(TRIM(SUBSTITUTE(S22,CHAR(160),""))),0))&gt;(IFERROR(VALUE(TRIM(SUBSTITUTE(J22,CHAR(160),""))),0)),"KO : Le montant retenu est supérieur au montant présenté. Merci de revoir la ligne de contribution ou plafonner son montant.",(IFERROR(VALUE(TRIM(SUBSTITUTE(J22,CHAR(160),""))),0))=0,"",(IFERROR(VALUE(TRIM(SUBSTITUTE(S22,CHAR(160),""))),0))=(IFERROR(VALUE(TRIM(SUBSTITUTE(J22,CHAR(160),""))),0)),"OK",(IFERROR(VALUE(TRIM(SUBSTITUTE(S22,CHAR(160),""))),0))&lt;(IFERROR(VALUE(TRIM(SUBSTITUTE(J22,CHAR(160),""))),0)),"Attention : montant présenté partiellement écarté ",TRUE,""))</f>
        <v/>
      </c>
      <c r="W22" s="20" t="str">
        <f t="shared" si="9"/>
        <v/>
      </c>
      <c r="X22" s="46"/>
    </row>
    <row r="23" spans="1:24" ht="15" customHeight="1">
      <c r="A23" s="791">
        <v>14</v>
      </c>
      <c r="B23" s="792"/>
      <c r="C23" s="333"/>
      <c r="D23" s="565"/>
      <c r="E23" s="22"/>
      <c r="F23" s="334"/>
      <c r="G23" s="335"/>
      <c r="H23" s="22"/>
      <c r="I23" s="22"/>
      <c r="J23" s="336" t="str">
        <f t="shared" si="0"/>
        <v/>
      </c>
      <c r="K23" s="337"/>
      <c r="L23" s="338" t="str">
        <f t="shared" si="1"/>
        <v/>
      </c>
      <c r="M23" s="20" t="str">
        <f t="shared" si="2"/>
        <v/>
      </c>
      <c r="N23" s="20" t="str">
        <f t="shared" si="3"/>
        <v/>
      </c>
      <c r="O23" s="37" t="str">
        <f t="shared" si="4"/>
        <v/>
      </c>
      <c r="P23" s="20" t="str">
        <f t="shared" si="5"/>
        <v/>
      </c>
      <c r="Q23" s="20" t="str">
        <f t="shared" si="6"/>
        <v/>
      </c>
      <c r="R23" s="20" t="str">
        <f t="shared" si="7"/>
        <v/>
      </c>
      <c r="S23" s="20" t="str">
        <f t="shared" si="8"/>
        <v/>
      </c>
      <c r="T23" s="283"/>
      <c r="U23" s="282"/>
      <c r="V23" s="577" t="str" cm="1">
        <f t="array" ref="V23">IF(OR(S23="",J23=""),"",_xlfn.IFS((IFERROR(VALUE(TRIM(SUBSTITUTE(S23,CHAR(160),""))),0))&gt;(IFERROR(VALUE(TRIM(SUBSTITUTE(J23,CHAR(160),""))),0)),"KO : Le montant retenu est supérieur au montant présenté. Merci de revoir la ligne de contribution ou plafonner son montant.",(IFERROR(VALUE(TRIM(SUBSTITUTE(J23,CHAR(160),""))),0))=0,"",(IFERROR(VALUE(TRIM(SUBSTITUTE(S23,CHAR(160),""))),0))=(IFERROR(VALUE(TRIM(SUBSTITUTE(J23,CHAR(160),""))),0)),"OK",(IFERROR(VALUE(TRIM(SUBSTITUTE(S23,CHAR(160),""))),0))&lt;(IFERROR(VALUE(TRIM(SUBSTITUTE(J23,CHAR(160),""))),0)),"Attention : montant présenté partiellement écarté ",TRUE,""))</f>
        <v/>
      </c>
      <c r="W23" s="20" t="str">
        <f t="shared" si="9"/>
        <v/>
      </c>
      <c r="X23" s="46"/>
    </row>
    <row r="24" spans="1:24" ht="15" customHeight="1">
      <c r="A24" s="791">
        <v>15</v>
      </c>
      <c r="B24" s="792"/>
      <c r="C24" s="333"/>
      <c r="D24" s="565"/>
      <c r="E24" s="22"/>
      <c r="F24" s="334"/>
      <c r="G24" s="335"/>
      <c r="H24" s="22"/>
      <c r="I24" s="22"/>
      <c r="J24" s="336" t="str">
        <f t="shared" si="0"/>
        <v/>
      </c>
      <c r="K24" s="337"/>
      <c r="L24" s="338" t="str">
        <f t="shared" si="1"/>
        <v/>
      </c>
      <c r="M24" s="20" t="str">
        <f t="shared" si="2"/>
        <v/>
      </c>
      <c r="N24" s="20" t="str">
        <f t="shared" si="3"/>
        <v/>
      </c>
      <c r="O24" s="37" t="str">
        <f t="shared" si="4"/>
        <v/>
      </c>
      <c r="P24" s="20" t="str">
        <f t="shared" si="5"/>
        <v/>
      </c>
      <c r="Q24" s="20" t="str">
        <f t="shared" si="6"/>
        <v/>
      </c>
      <c r="R24" s="20" t="str">
        <f t="shared" si="7"/>
        <v/>
      </c>
      <c r="S24" s="20" t="str">
        <f t="shared" si="8"/>
        <v/>
      </c>
      <c r="T24" s="283"/>
      <c r="U24" s="282"/>
      <c r="V24" s="577" t="str" cm="1">
        <f t="array" ref="V24">IF(OR(S24="",J24=""),"",_xlfn.IFS((IFERROR(VALUE(TRIM(SUBSTITUTE(S24,CHAR(160),""))),0))&gt;(IFERROR(VALUE(TRIM(SUBSTITUTE(J24,CHAR(160),""))),0)),"KO : Le montant retenu est supérieur au montant présenté. Merci de revoir la ligne de contribution ou plafonner son montant.",(IFERROR(VALUE(TRIM(SUBSTITUTE(J24,CHAR(160),""))),0))=0,"",(IFERROR(VALUE(TRIM(SUBSTITUTE(S24,CHAR(160),""))),0))=(IFERROR(VALUE(TRIM(SUBSTITUTE(J24,CHAR(160),""))),0)),"OK",(IFERROR(VALUE(TRIM(SUBSTITUTE(S24,CHAR(160),""))),0))&lt;(IFERROR(VALUE(TRIM(SUBSTITUTE(J24,CHAR(160),""))),0)),"Attention : montant présenté partiellement écarté ",TRUE,""))</f>
        <v/>
      </c>
      <c r="W24" s="20" t="str">
        <f t="shared" si="9"/>
        <v/>
      </c>
      <c r="X24" s="47"/>
    </row>
    <row r="25" spans="1:24" ht="15" customHeight="1">
      <c r="A25" s="791">
        <v>16</v>
      </c>
      <c r="B25" s="792"/>
      <c r="C25" s="333"/>
      <c r="D25" s="565"/>
      <c r="E25" s="22"/>
      <c r="F25" s="334"/>
      <c r="G25" s="335"/>
      <c r="H25" s="22"/>
      <c r="I25" s="22"/>
      <c r="J25" s="336" t="str">
        <f t="shared" si="0"/>
        <v/>
      </c>
      <c r="K25" s="337"/>
      <c r="L25" s="338" t="str">
        <f t="shared" si="1"/>
        <v/>
      </c>
      <c r="M25" s="20" t="str">
        <f t="shared" si="2"/>
        <v/>
      </c>
      <c r="N25" s="20" t="str">
        <f t="shared" si="3"/>
        <v/>
      </c>
      <c r="O25" s="37" t="str">
        <f t="shared" si="4"/>
        <v/>
      </c>
      <c r="P25" s="20" t="str">
        <f t="shared" si="5"/>
        <v/>
      </c>
      <c r="Q25" s="20" t="str">
        <f t="shared" si="6"/>
        <v/>
      </c>
      <c r="R25" s="20" t="str">
        <f t="shared" si="7"/>
        <v/>
      </c>
      <c r="S25" s="20" t="str">
        <f t="shared" si="8"/>
        <v/>
      </c>
      <c r="T25" s="283"/>
      <c r="U25" s="282"/>
      <c r="V25" s="577" t="str" cm="1">
        <f t="array" ref="V25">IF(OR(S25="",J25=""),"",_xlfn.IFS((IFERROR(VALUE(TRIM(SUBSTITUTE(S25,CHAR(160),""))),0))&gt;(IFERROR(VALUE(TRIM(SUBSTITUTE(J25,CHAR(160),""))),0)),"KO : Le montant retenu est supérieur au montant présenté. Merci de revoir la ligne de contribution ou plafonner son montant.",(IFERROR(VALUE(TRIM(SUBSTITUTE(J25,CHAR(160),""))),0))=0,"",(IFERROR(VALUE(TRIM(SUBSTITUTE(S25,CHAR(160),""))),0))=(IFERROR(VALUE(TRIM(SUBSTITUTE(J25,CHAR(160),""))),0)),"OK",(IFERROR(VALUE(TRIM(SUBSTITUTE(S25,CHAR(160),""))),0))&lt;(IFERROR(VALUE(TRIM(SUBSTITUTE(J25,CHAR(160),""))),0)),"Attention : montant présenté partiellement écarté ",TRUE,""))</f>
        <v/>
      </c>
      <c r="W25" s="20" t="str">
        <f t="shared" si="9"/>
        <v/>
      </c>
      <c r="X25" s="47"/>
    </row>
    <row r="26" spans="1:24" ht="15" customHeight="1">
      <c r="A26" s="791">
        <v>17</v>
      </c>
      <c r="B26" s="792"/>
      <c r="C26" s="333"/>
      <c r="D26" s="565"/>
      <c r="E26" s="22"/>
      <c r="F26" s="334"/>
      <c r="G26" s="335"/>
      <c r="H26" s="22"/>
      <c r="I26" s="22"/>
      <c r="J26" s="336" t="str">
        <f t="shared" si="0"/>
        <v/>
      </c>
      <c r="K26" s="337"/>
      <c r="L26" s="338" t="str">
        <f t="shared" si="1"/>
        <v/>
      </c>
      <c r="M26" s="20" t="str">
        <f t="shared" si="2"/>
        <v/>
      </c>
      <c r="N26" s="20" t="str">
        <f t="shared" si="3"/>
        <v/>
      </c>
      <c r="O26" s="37" t="str">
        <f t="shared" si="4"/>
        <v/>
      </c>
      <c r="P26" s="20" t="str">
        <f t="shared" si="5"/>
        <v/>
      </c>
      <c r="Q26" s="20" t="str">
        <f t="shared" si="6"/>
        <v/>
      </c>
      <c r="R26" s="20" t="str">
        <f t="shared" si="7"/>
        <v/>
      </c>
      <c r="S26" s="20" t="str">
        <f t="shared" si="8"/>
        <v/>
      </c>
      <c r="T26" s="283"/>
      <c r="U26" s="282"/>
      <c r="V26" s="577" t="str" cm="1">
        <f t="array" ref="V26">IF(OR(S26="",J26=""),"",_xlfn.IFS((IFERROR(VALUE(TRIM(SUBSTITUTE(S26,CHAR(160),""))),0))&gt;(IFERROR(VALUE(TRIM(SUBSTITUTE(J26,CHAR(160),""))),0)),"KO : Le montant retenu est supérieur au montant présenté. Merci de revoir la ligne de contribution ou plafonner son montant.",(IFERROR(VALUE(TRIM(SUBSTITUTE(J26,CHAR(160),""))),0))=0,"",(IFERROR(VALUE(TRIM(SUBSTITUTE(S26,CHAR(160),""))),0))=(IFERROR(VALUE(TRIM(SUBSTITUTE(J26,CHAR(160),""))),0)),"OK",(IFERROR(VALUE(TRIM(SUBSTITUTE(S26,CHAR(160),""))),0))&lt;(IFERROR(VALUE(TRIM(SUBSTITUTE(J26,CHAR(160),""))),0)),"Attention : montant présenté partiellement écarté ",TRUE,""))</f>
        <v/>
      </c>
      <c r="W26" s="20" t="str">
        <f t="shared" si="9"/>
        <v/>
      </c>
    </row>
    <row r="27" spans="1:24" ht="15" customHeight="1">
      <c r="A27" s="791">
        <v>18</v>
      </c>
      <c r="B27" s="792"/>
      <c r="C27" s="333"/>
      <c r="D27" s="565"/>
      <c r="E27" s="22"/>
      <c r="F27" s="334"/>
      <c r="G27" s="335"/>
      <c r="H27" s="22"/>
      <c r="I27" s="22"/>
      <c r="J27" s="336" t="str">
        <f t="shared" si="0"/>
        <v/>
      </c>
      <c r="K27" s="337"/>
      <c r="L27" s="338" t="str">
        <f t="shared" si="1"/>
        <v/>
      </c>
      <c r="M27" s="20" t="str">
        <f t="shared" si="2"/>
        <v/>
      </c>
      <c r="N27" s="20" t="str">
        <f t="shared" si="3"/>
        <v/>
      </c>
      <c r="O27" s="37" t="str">
        <f t="shared" si="4"/>
        <v/>
      </c>
      <c r="P27" s="20" t="str">
        <f t="shared" si="5"/>
        <v/>
      </c>
      <c r="Q27" s="20" t="str">
        <f t="shared" si="6"/>
        <v/>
      </c>
      <c r="R27" s="20" t="str">
        <f t="shared" si="7"/>
        <v/>
      </c>
      <c r="S27" s="20" t="str">
        <f t="shared" si="8"/>
        <v/>
      </c>
      <c r="T27" s="283"/>
      <c r="U27" s="282"/>
      <c r="V27" s="577" t="str" cm="1">
        <f t="array" ref="V27">IF(OR(S27="",J27=""),"",_xlfn.IFS((IFERROR(VALUE(TRIM(SUBSTITUTE(S27,CHAR(160),""))),0))&gt;(IFERROR(VALUE(TRIM(SUBSTITUTE(J27,CHAR(160),""))),0)),"KO : Le montant retenu est supérieur au montant présenté. Merci de revoir la ligne de contribution ou plafonner son montant.",(IFERROR(VALUE(TRIM(SUBSTITUTE(J27,CHAR(160),""))),0))=0,"",(IFERROR(VALUE(TRIM(SUBSTITUTE(S27,CHAR(160),""))),0))=(IFERROR(VALUE(TRIM(SUBSTITUTE(J27,CHAR(160),""))),0)),"OK",(IFERROR(VALUE(TRIM(SUBSTITUTE(S27,CHAR(160),""))),0))&lt;(IFERROR(VALUE(TRIM(SUBSTITUTE(J27,CHAR(160),""))),0)),"Attention : montant présenté partiellement écarté ",TRUE,""))</f>
        <v/>
      </c>
      <c r="W27" s="20" t="str">
        <f t="shared" si="9"/>
        <v/>
      </c>
    </row>
    <row r="28" spans="1:24" ht="15" customHeight="1">
      <c r="A28" s="791">
        <v>19</v>
      </c>
      <c r="B28" s="792"/>
      <c r="C28" s="333"/>
      <c r="D28" s="565"/>
      <c r="E28" s="22"/>
      <c r="F28" s="334"/>
      <c r="G28" s="335"/>
      <c r="H28" s="22"/>
      <c r="I28" s="22"/>
      <c r="J28" s="336" t="str">
        <f t="shared" si="0"/>
        <v/>
      </c>
      <c r="K28" s="337"/>
      <c r="L28" s="338" t="str">
        <f t="shared" si="1"/>
        <v/>
      </c>
      <c r="M28" s="20" t="str">
        <f t="shared" si="2"/>
        <v/>
      </c>
      <c r="N28" s="20" t="str">
        <f t="shared" si="3"/>
        <v/>
      </c>
      <c r="O28" s="37" t="str">
        <f t="shared" si="4"/>
        <v/>
      </c>
      <c r="P28" s="20" t="str">
        <f t="shared" si="5"/>
        <v/>
      </c>
      <c r="Q28" s="20" t="str">
        <f t="shared" si="6"/>
        <v/>
      </c>
      <c r="R28" s="20" t="str">
        <f t="shared" si="7"/>
        <v/>
      </c>
      <c r="S28" s="20" t="str">
        <f t="shared" si="8"/>
        <v/>
      </c>
      <c r="T28" s="283"/>
      <c r="U28" s="282"/>
      <c r="V28" s="577" t="str" cm="1">
        <f t="array" ref="V28">IF(OR(S28="",J28=""),"",_xlfn.IFS((IFERROR(VALUE(TRIM(SUBSTITUTE(S28,CHAR(160),""))),0))&gt;(IFERROR(VALUE(TRIM(SUBSTITUTE(J28,CHAR(160),""))),0)),"KO : Le montant retenu est supérieur au montant présenté. Merci de revoir la ligne de contribution ou plafonner son montant.",(IFERROR(VALUE(TRIM(SUBSTITUTE(J28,CHAR(160),""))),0))=0,"",(IFERROR(VALUE(TRIM(SUBSTITUTE(S28,CHAR(160),""))),0))=(IFERROR(VALUE(TRIM(SUBSTITUTE(J28,CHAR(160),""))),0)),"OK",(IFERROR(VALUE(TRIM(SUBSTITUTE(S28,CHAR(160),""))),0))&lt;(IFERROR(VALUE(TRIM(SUBSTITUTE(J28,CHAR(160),""))),0)),"Attention : montant présenté partiellement écarté ",TRUE,""))</f>
        <v/>
      </c>
      <c r="W28" s="20" t="str">
        <f t="shared" si="9"/>
        <v/>
      </c>
    </row>
    <row r="29" spans="1:24" ht="15" customHeight="1">
      <c r="A29" s="791">
        <v>20</v>
      </c>
      <c r="B29" s="792"/>
      <c r="C29" s="333"/>
      <c r="D29" s="565"/>
      <c r="E29" s="22"/>
      <c r="F29" s="334"/>
      <c r="G29" s="335"/>
      <c r="H29" s="22"/>
      <c r="I29" s="22"/>
      <c r="J29" s="336" t="str">
        <f t="shared" si="0"/>
        <v/>
      </c>
      <c r="K29" s="337"/>
      <c r="L29" s="338" t="str">
        <f t="shared" si="1"/>
        <v/>
      </c>
      <c r="M29" s="20" t="str">
        <f t="shared" si="2"/>
        <v/>
      </c>
      <c r="N29" s="20" t="str">
        <f t="shared" si="3"/>
        <v/>
      </c>
      <c r="O29" s="37" t="str">
        <f t="shared" si="4"/>
        <v/>
      </c>
      <c r="P29" s="20" t="str">
        <f t="shared" si="5"/>
        <v/>
      </c>
      <c r="Q29" s="20" t="str">
        <f t="shared" si="6"/>
        <v/>
      </c>
      <c r="R29" s="20" t="str">
        <f t="shared" si="7"/>
        <v/>
      </c>
      <c r="S29" s="20" t="str">
        <f t="shared" si="8"/>
        <v/>
      </c>
      <c r="T29" s="283"/>
      <c r="U29" s="282"/>
      <c r="V29" s="577" t="str" cm="1">
        <f t="array" ref="V29">IF(OR(S29="",J29=""),"",_xlfn.IFS((IFERROR(VALUE(TRIM(SUBSTITUTE(S29,CHAR(160),""))),0))&gt;(IFERROR(VALUE(TRIM(SUBSTITUTE(J29,CHAR(160),""))),0)),"KO : Le montant retenu est supérieur au montant présenté. Merci de revoir la ligne de contribution ou plafonner son montant.",(IFERROR(VALUE(TRIM(SUBSTITUTE(J29,CHAR(160),""))),0))=0,"",(IFERROR(VALUE(TRIM(SUBSTITUTE(S29,CHAR(160),""))),0))=(IFERROR(VALUE(TRIM(SUBSTITUTE(J29,CHAR(160),""))),0)),"OK",(IFERROR(VALUE(TRIM(SUBSTITUTE(S29,CHAR(160),""))),0))&lt;(IFERROR(VALUE(TRIM(SUBSTITUTE(J29,CHAR(160),""))),0)),"Attention : montant présenté partiellement écarté ",TRUE,""))</f>
        <v/>
      </c>
      <c r="W29" s="20" t="str">
        <f t="shared" si="9"/>
        <v/>
      </c>
    </row>
    <row r="30" spans="1:24" ht="15" customHeight="1">
      <c r="A30" s="791">
        <v>21</v>
      </c>
      <c r="B30" s="792"/>
      <c r="C30" s="333"/>
      <c r="D30" s="565"/>
      <c r="E30" s="22"/>
      <c r="F30" s="334"/>
      <c r="G30" s="335"/>
      <c r="H30" s="22"/>
      <c r="I30" s="22"/>
      <c r="J30" s="336" t="str">
        <f t="shared" si="0"/>
        <v/>
      </c>
      <c r="K30" s="337"/>
      <c r="L30" s="338" t="str">
        <f t="shared" si="1"/>
        <v/>
      </c>
      <c r="M30" s="20" t="str">
        <f t="shared" si="2"/>
        <v/>
      </c>
      <c r="N30" s="20" t="str">
        <f t="shared" si="3"/>
        <v/>
      </c>
      <c r="O30" s="37" t="str">
        <f t="shared" si="4"/>
        <v/>
      </c>
      <c r="P30" s="20" t="str">
        <f t="shared" si="5"/>
        <v/>
      </c>
      <c r="Q30" s="20" t="str">
        <f t="shared" si="6"/>
        <v/>
      </c>
      <c r="R30" s="20" t="str">
        <f t="shared" si="7"/>
        <v/>
      </c>
      <c r="S30" s="20" t="str">
        <f t="shared" si="8"/>
        <v/>
      </c>
      <c r="T30" s="283"/>
      <c r="U30" s="282"/>
      <c r="V30" s="577" t="str" cm="1">
        <f t="array" ref="V30">IF(OR(S30="",J30=""),"",_xlfn.IFS((IFERROR(VALUE(TRIM(SUBSTITUTE(S30,CHAR(160),""))),0))&gt;(IFERROR(VALUE(TRIM(SUBSTITUTE(J30,CHAR(160),""))),0)),"KO : Le montant retenu est supérieur au montant présenté. Merci de revoir la ligne de contribution ou plafonner son montant.",(IFERROR(VALUE(TRIM(SUBSTITUTE(J30,CHAR(160),""))),0))=0,"",(IFERROR(VALUE(TRIM(SUBSTITUTE(S30,CHAR(160),""))),0))=(IFERROR(VALUE(TRIM(SUBSTITUTE(J30,CHAR(160),""))),0)),"OK",(IFERROR(VALUE(TRIM(SUBSTITUTE(S30,CHAR(160),""))),0))&lt;(IFERROR(VALUE(TRIM(SUBSTITUTE(J30,CHAR(160),""))),0)),"Attention : montant présenté partiellement écarté ",TRUE,""))</f>
        <v/>
      </c>
      <c r="W30" s="20" t="str">
        <f t="shared" si="9"/>
        <v/>
      </c>
    </row>
    <row r="31" spans="1:24" ht="15" customHeight="1">
      <c r="A31" s="791">
        <v>22</v>
      </c>
      <c r="B31" s="792"/>
      <c r="C31" s="333"/>
      <c r="D31" s="565"/>
      <c r="E31" s="22"/>
      <c r="F31" s="334"/>
      <c r="G31" s="335"/>
      <c r="H31" s="22"/>
      <c r="I31" s="22"/>
      <c r="J31" s="336" t="str">
        <f t="shared" si="0"/>
        <v/>
      </c>
      <c r="K31" s="337"/>
      <c r="L31" s="338" t="str">
        <f t="shared" si="1"/>
        <v/>
      </c>
      <c r="M31" s="20" t="str">
        <f t="shared" si="2"/>
        <v/>
      </c>
      <c r="N31" s="20" t="str">
        <f t="shared" si="3"/>
        <v/>
      </c>
      <c r="O31" s="37" t="str">
        <f t="shared" si="4"/>
        <v/>
      </c>
      <c r="P31" s="20" t="str">
        <f t="shared" si="5"/>
        <v/>
      </c>
      <c r="Q31" s="20" t="str">
        <f t="shared" si="6"/>
        <v/>
      </c>
      <c r="R31" s="20" t="str">
        <f t="shared" si="7"/>
        <v/>
      </c>
      <c r="S31" s="20" t="str">
        <f t="shared" si="8"/>
        <v/>
      </c>
      <c r="T31" s="283"/>
      <c r="U31" s="282"/>
      <c r="V31" s="577" t="str" cm="1">
        <f t="array" ref="V31">IF(OR(S31="",J31=""),"",_xlfn.IFS((IFERROR(VALUE(TRIM(SUBSTITUTE(S31,CHAR(160),""))),0))&gt;(IFERROR(VALUE(TRIM(SUBSTITUTE(J31,CHAR(160),""))),0)),"KO : Le montant retenu est supérieur au montant présenté. Merci de revoir la ligne de contribution ou plafonner son montant.",(IFERROR(VALUE(TRIM(SUBSTITUTE(J31,CHAR(160),""))),0))=0,"",(IFERROR(VALUE(TRIM(SUBSTITUTE(S31,CHAR(160),""))),0))=(IFERROR(VALUE(TRIM(SUBSTITUTE(J31,CHAR(160),""))),0)),"OK",(IFERROR(VALUE(TRIM(SUBSTITUTE(S31,CHAR(160),""))),0))&lt;(IFERROR(VALUE(TRIM(SUBSTITUTE(J31,CHAR(160),""))),0)),"Attention : montant présenté partiellement écarté ",TRUE,""))</f>
        <v/>
      </c>
      <c r="W31" s="20" t="str">
        <f t="shared" si="9"/>
        <v/>
      </c>
    </row>
    <row r="32" spans="1:24" ht="15" customHeight="1">
      <c r="A32" s="791">
        <v>23</v>
      </c>
      <c r="B32" s="792"/>
      <c r="C32" s="333"/>
      <c r="D32" s="565"/>
      <c r="E32" s="22"/>
      <c r="F32" s="334"/>
      <c r="G32" s="335"/>
      <c r="H32" s="22"/>
      <c r="I32" s="22"/>
      <c r="J32" s="336" t="str">
        <f t="shared" si="0"/>
        <v/>
      </c>
      <c r="K32" s="337"/>
      <c r="L32" s="338" t="str">
        <f t="shared" si="1"/>
        <v/>
      </c>
      <c r="M32" s="20" t="str">
        <f t="shared" si="2"/>
        <v/>
      </c>
      <c r="N32" s="20" t="str">
        <f t="shared" si="3"/>
        <v/>
      </c>
      <c r="O32" s="37" t="str">
        <f t="shared" si="4"/>
        <v/>
      </c>
      <c r="P32" s="20" t="str">
        <f t="shared" si="5"/>
        <v/>
      </c>
      <c r="Q32" s="20" t="str">
        <f t="shared" si="6"/>
        <v/>
      </c>
      <c r="R32" s="20" t="str">
        <f t="shared" si="7"/>
        <v/>
      </c>
      <c r="S32" s="20" t="str">
        <f t="shared" si="8"/>
        <v/>
      </c>
      <c r="T32" s="283"/>
      <c r="U32" s="282"/>
      <c r="V32" s="577" t="str" cm="1">
        <f t="array" ref="V32">IF(OR(S32="",J32=""),"",_xlfn.IFS((IFERROR(VALUE(TRIM(SUBSTITUTE(S32,CHAR(160),""))),0))&gt;(IFERROR(VALUE(TRIM(SUBSTITUTE(J32,CHAR(160),""))),0)),"KO : Le montant retenu est supérieur au montant présenté. Merci de revoir la ligne de contribution ou plafonner son montant.",(IFERROR(VALUE(TRIM(SUBSTITUTE(J32,CHAR(160),""))),0))=0,"",(IFERROR(VALUE(TRIM(SUBSTITUTE(S32,CHAR(160),""))),0))=(IFERROR(VALUE(TRIM(SUBSTITUTE(J32,CHAR(160),""))),0)),"OK",(IFERROR(VALUE(TRIM(SUBSTITUTE(S32,CHAR(160),""))),0))&lt;(IFERROR(VALUE(TRIM(SUBSTITUTE(J32,CHAR(160),""))),0)),"Attention : montant présenté partiellement écarté ",TRUE,""))</f>
        <v/>
      </c>
      <c r="W32" s="20" t="str">
        <f t="shared" si="9"/>
        <v/>
      </c>
    </row>
    <row r="33" spans="1:23" ht="15" customHeight="1">
      <c r="A33" s="791">
        <v>24</v>
      </c>
      <c r="B33" s="792"/>
      <c r="C33" s="333"/>
      <c r="D33" s="565"/>
      <c r="E33" s="22"/>
      <c r="F33" s="334"/>
      <c r="G33" s="335"/>
      <c r="H33" s="22"/>
      <c r="I33" s="22"/>
      <c r="J33" s="336" t="str">
        <f t="shared" si="0"/>
        <v/>
      </c>
      <c r="K33" s="337"/>
      <c r="L33" s="338" t="str">
        <f t="shared" si="1"/>
        <v/>
      </c>
      <c r="M33" s="20" t="str">
        <f t="shared" si="2"/>
        <v/>
      </c>
      <c r="N33" s="20" t="str">
        <f t="shared" si="3"/>
        <v/>
      </c>
      <c r="O33" s="37" t="str">
        <f t="shared" si="4"/>
        <v/>
      </c>
      <c r="P33" s="20" t="str">
        <f t="shared" si="5"/>
        <v/>
      </c>
      <c r="Q33" s="20" t="str">
        <f t="shared" si="6"/>
        <v/>
      </c>
      <c r="R33" s="20" t="str">
        <f t="shared" si="7"/>
        <v/>
      </c>
      <c r="S33" s="20" t="str">
        <f t="shared" si="8"/>
        <v/>
      </c>
      <c r="T33" s="283"/>
      <c r="U33" s="282"/>
      <c r="V33" s="577" t="str" cm="1">
        <f t="array" ref="V33">IF(OR(S33="",J33=""),"",_xlfn.IFS((IFERROR(VALUE(TRIM(SUBSTITUTE(S33,CHAR(160),""))),0))&gt;(IFERROR(VALUE(TRIM(SUBSTITUTE(J33,CHAR(160),""))),0)),"KO : Le montant retenu est supérieur au montant présenté. Merci de revoir la ligne de contribution ou plafonner son montant.",(IFERROR(VALUE(TRIM(SUBSTITUTE(J33,CHAR(160),""))),0))=0,"",(IFERROR(VALUE(TRIM(SUBSTITUTE(S33,CHAR(160),""))),0))=(IFERROR(VALUE(TRIM(SUBSTITUTE(J33,CHAR(160),""))),0)),"OK",(IFERROR(VALUE(TRIM(SUBSTITUTE(S33,CHAR(160),""))),0))&lt;(IFERROR(VALUE(TRIM(SUBSTITUTE(J33,CHAR(160),""))),0)),"Attention : montant présenté partiellement écarté ",TRUE,""))</f>
        <v/>
      </c>
      <c r="W33" s="20" t="str">
        <f t="shared" si="9"/>
        <v/>
      </c>
    </row>
    <row r="34" spans="1:23" ht="15" customHeight="1">
      <c r="A34" s="791">
        <v>25</v>
      </c>
      <c r="B34" s="792"/>
      <c r="C34" s="333"/>
      <c r="D34" s="565"/>
      <c r="E34" s="22"/>
      <c r="F34" s="334"/>
      <c r="G34" s="335"/>
      <c r="H34" s="22"/>
      <c r="I34" s="22"/>
      <c r="J34" s="336" t="str">
        <f t="shared" si="0"/>
        <v/>
      </c>
      <c r="K34" s="337"/>
      <c r="L34" s="338" t="str">
        <f t="shared" si="1"/>
        <v/>
      </c>
      <c r="M34" s="20" t="str">
        <f t="shared" si="2"/>
        <v/>
      </c>
      <c r="N34" s="20" t="str">
        <f t="shared" si="3"/>
        <v/>
      </c>
      <c r="O34" s="37" t="str">
        <f t="shared" si="4"/>
        <v/>
      </c>
      <c r="P34" s="20" t="str">
        <f t="shared" si="5"/>
        <v/>
      </c>
      <c r="Q34" s="20" t="str">
        <f t="shared" si="6"/>
        <v/>
      </c>
      <c r="R34" s="20" t="str">
        <f t="shared" si="7"/>
        <v/>
      </c>
      <c r="S34" s="20" t="str">
        <f t="shared" si="8"/>
        <v/>
      </c>
      <c r="T34" s="283"/>
      <c r="U34" s="282"/>
      <c r="V34" s="577" t="str" cm="1">
        <f t="array" ref="V34">IF(OR(S34="",J34=""),"",_xlfn.IFS((IFERROR(VALUE(TRIM(SUBSTITUTE(S34,CHAR(160),""))),0))&gt;(IFERROR(VALUE(TRIM(SUBSTITUTE(J34,CHAR(160),""))),0)),"KO : Le montant retenu est supérieur au montant présenté. Merci de revoir la ligne de contribution ou plafonner son montant.",(IFERROR(VALUE(TRIM(SUBSTITUTE(J34,CHAR(160),""))),0))=0,"",(IFERROR(VALUE(TRIM(SUBSTITUTE(S34,CHAR(160),""))),0))=(IFERROR(VALUE(TRIM(SUBSTITUTE(J34,CHAR(160),""))),0)),"OK",(IFERROR(VALUE(TRIM(SUBSTITUTE(S34,CHAR(160),""))),0))&lt;(IFERROR(VALUE(TRIM(SUBSTITUTE(J34,CHAR(160),""))),0)),"Attention : montant présenté partiellement écarté ",TRUE,""))</f>
        <v/>
      </c>
      <c r="W34" s="20" t="str">
        <f t="shared" si="9"/>
        <v/>
      </c>
    </row>
    <row r="35" spans="1:23" ht="15" customHeight="1">
      <c r="A35" s="791">
        <v>26</v>
      </c>
      <c r="B35" s="792"/>
      <c r="C35" s="333"/>
      <c r="D35" s="565"/>
      <c r="E35" s="22"/>
      <c r="F35" s="334"/>
      <c r="G35" s="335"/>
      <c r="H35" s="22"/>
      <c r="I35" s="22"/>
      <c r="J35" s="336" t="str">
        <f t="shared" si="0"/>
        <v/>
      </c>
      <c r="K35" s="337"/>
      <c r="L35" s="338" t="str">
        <f t="shared" si="1"/>
        <v/>
      </c>
      <c r="M35" s="20" t="str">
        <f t="shared" si="2"/>
        <v/>
      </c>
      <c r="N35" s="20" t="str">
        <f t="shared" si="3"/>
        <v/>
      </c>
      <c r="O35" s="37" t="str">
        <f t="shared" si="4"/>
        <v/>
      </c>
      <c r="P35" s="20" t="str">
        <f t="shared" si="5"/>
        <v/>
      </c>
      <c r="Q35" s="20" t="str">
        <f t="shared" si="6"/>
        <v/>
      </c>
      <c r="R35" s="20" t="str">
        <f t="shared" si="7"/>
        <v/>
      </c>
      <c r="S35" s="20" t="str">
        <f t="shared" si="8"/>
        <v/>
      </c>
      <c r="T35" s="283"/>
      <c r="U35" s="282"/>
      <c r="V35" s="577" t="str" cm="1">
        <f t="array" ref="V35">IF(OR(S35="",J35=""),"",_xlfn.IFS((IFERROR(VALUE(TRIM(SUBSTITUTE(S35,CHAR(160),""))),0))&gt;(IFERROR(VALUE(TRIM(SUBSTITUTE(J35,CHAR(160),""))),0)),"KO : Le montant retenu est supérieur au montant présenté. Merci de revoir la ligne de contribution ou plafonner son montant.",(IFERROR(VALUE(TRIM(SUBSTITUTE(J35,CHAR(160),""))),0))=0,"",(IFERROR(VALUE(TRIM(SUBSTITUTE(S35,CHAR(160),""))),0))=(IFERROR(VALUE(TRIM(SUBSTITUTE(J35,CHAR(160),""))),0)),"OK",(IFERROR(VALUE(TRIM(SUBSTITUTE(S35,CHAR(160),""))),0))&lt;(IFERROR(VALUE(TRIM(SUBSTITUTE(J35,CHAR(160),""))),0)),"Attention : montant présenté partiellement écarté ",TRUE,""))</f>
        <v/>
      </c>
      <c r="W35" s="20" t="str">
        <f t="shared" si="9"/>
        <v/>
      </c>
    </row>
    <row r="36" spans="1:23" ht="15" customHeight="1">
      <c r="A36" s="791">
        <v>27</v>
      </c>
      <c r="B36" s="792"/>
      <c r="C36" s="333"/>
      <c r="D36" s="565"/>
      <c r="E36" s="22"/>
      <c r="F36" s="334"/>
      <c r="G36" s="335"/>
      <c r="H36" s="22"/>
      <c r="I36" s="22"/>
      <c r="J36" s="336" t="str">
        <f t="shared" si="0"/>
        <v/>
      </c>
      <c r="K36" s="337"/>
      <c r="L36" s="338" t="str">
        <f t="shared" si="1"/>
        <v/>
      </c>
      <c r="M36" s="20" t="str">
        <f t="shared" si="2"/>
        <v/>
      </c>
      <c r="N36" s="20" t="str">
        <f t="shared" si="3"/>
        <v/>
      </c>
      <c r="O36" s="37" t="str">
        <f t="shared" si="4"/>
        <v/>
      </c>
      <c r="P36" s="20" t="str">
        <f t="shared" si="5"/>
        <v/>
      </c>
      <c r="Q36" s="20" t="str">
        <f t="shared" si="6"/>
        <v/>
      </c>
      <c r="R36" s="20" t="str">
        <f t="shared" si="7"/>
        <v/>
      </c>
      <c r="S36" s="20" t="str">
        <f t="shared" si="8"/>
        <v/>
      </c>
      <c r="T36" s="283"/>
      <c r="U36" s="282"/>
      <c r="V36" s="577" t="str" cm="1">
        <f t="array" ref="V36">IF(OR(S36="",J36=""),"",_xlfn.IFS((IFERROR(VALUE(TRIM(SUBSTITUTE(S36,CHAR(160),""))),0))&gt;(IFERROR(VALUE(TRIM(SUBSTITUTE(J36,CHAR(160),""))),0)),"KO : Le montant retenu est supérieur au montant présenté. Merci de revoir la ligne de contribution ou plafonner son montant.",(IFERROR(VALUE(TRIM(SUBSTITUTE(J36,CHAR(160),""))),0))=0,"",(IFERROR(VALUE(TRIM(SUBSTITUTE(S36,CHAR(160),""))),0))=(IFERROR(VALUE(TRIM(SUBSTITUTE(J36,CHAR(160),""))),0)),"OK",(IFERROR(VALUE(TRIM(SUBSTITUTE(S36,CHAR(160),""))),0))&lt;(IFERROR(VALUE(TRIM(SUBSTITUTE(J36,CHAR(160),""))),0)),"Attention : montant présenté partiellement écarté ",TRUE,""))</f>
        <v/>
      </c>
      <c r="W36" s="20" t="str">
        <f t="shared" si="9"/>
        <v/>
      </c>
    </row>
    <row r="37" spans="1:23" ht="15" customHeight="1">
      <c r="A37" s="791">
        <v>28</v>
      </c>
      <c r="B37" s="792"/>
      <c r="C37" s="333"/>
      <c r="D37" s="565"/>
      <c r="E37" s="22"/>
      <c r="F37" s="334"/>
      <c r="G37" s="335"/>
      <c r="H37" s="22"/>
      <c r="I37" s="22"/>
      <c r="J37" s="336" t="str">
        <f t="shared" si="0"/>
        <v/>
      </c>
      <c r="K37" s="337"/>
      <c r="L37" s="338" t="str">
        <f t="shared" si="1"/>
        <v/>
      </c>
      <c r="M37" s="20" t="str">
        <f t="shared" si="2"/>
        <v/>
      </c>
      <c r="N37" s="20" t="str">
        <f t="shared" si="3"/>
        <v/>
      </c>
      <c r="O37" s="37" t="str">
        <f t="shared" si="4"/>
        <v/>
      </c>
      <c r="P37" s="20" t="str">
        <f t="shared" si="5"/>
        <v/>
      </c>
      <c r="Q37" s="20" t="str">
        <f t="shared" si="6"/>
        <v/>
      </c>
      <c r="R37" s="20" t="str">
        <f t="shared" si="7"/>
        <v/>
      </c>
      <c r="S37" s="20" t="str">
        <f t="shared" si="8"/>
        <v/>
      </c>
      <c r="T37" s="283"/>
      <c r="U37" s="282"/>
      <c r="V37" s="577" t="str" cm="1">
        <f t="array" ref="V37">IF(OR(S37="",J37=""),"",_xlfn.IFS((IFERROR(VALUE(TRIM(SUBSTITUTE(S37,CHAR(160),""))),0))&gt;(IFERROR(VALUE(TRIM(SUBSTITUTE(J37,CHAR(160),""))),0)),"KO : Le montant retenu est supérieur au montant présenté. Merci de revoir la ligne de contribution ou plafonner son montant.",(IFERROR(VALUE(TRIM(SUBSTITUTE(J37,CHAR(160),""))),0))=0,"",(IFERROR(VALUE(TRIM(SUBSTITUTE(S37,CHAR(160),""))),0))=(IFERROR(VALUE(TRIM(SUBSTITUTE(J37,CHAR(160),""))),0)),"OK",(IFERROR(VALUE(TRIM(SUBSTITUTE(S37,CHAR(160),""))),0))&lt;(IFERROR(VALUE(TRIM(SUBSTITUTE(J37,CHAR(160),""))),0)),"Attention : montant présenté partiellement écarté ",TRUE,""))</f>
        <v/>
      </c>
      <c r="W37" s="20" t="str">
        <f t="shared" si="9"/>
        <v/>
      </c>
    </row>
    <row r="38" spans="1:23" ht="15" customHeight="1">
      <c r="A38" s="791">
        <v>29</v>
      </c>
      <c r="B38" s="792"/>
      <c r="C38" s="333"/>
      <c r="D38" s="565"/>
      <c r="E38" s="22"/>
      <c r="F38" s="334"/>
      <c r="G38" s="335"/>
      <c r="H38" s="22"/>
      <c r="I38" s="22"/>
      <c r="J38" s="336" t="str">
        <f t="shared" si="0"/>
        <v/>
      </c>
      <c r="K38" s="337"/>
      <c r="L38" s="338" t="str">
        <f t="shared" si="1"/>
        <v/>
      </c>
      <c r="M38" s="20" t="str">
        <f t="shared" si="2"/>
        <v/>
      </c>
      <c r="N38" s="20" t="str">
        <f t="shared" si="3"/>
        <v/>
      </c>
      <c r="O38" s="37" t="str">
        <f t="shared" si="4"/>
        <v/>
      </c>
      <c r="P38" s="20" t="str">
        <f t="shared" si="5"/>
        <v/>
      </c>
      <c r="Q38" s="20" t="str">
        <f t="shared" si="6"/>
        <v/>
      </c>
      <c r="R38" s="20" t="str">
        <f t="shared" si="7"/>
        <v/>
      </c>
      <c r="S38" s="20" t="str">
        <f t="shared" si="8"/>
        <v/>
      </c>
      <c r="T38" s="283"/>
      <c r="U38" s="282"/>
      <c r="V38" s="577" t="str" cm="1">
        <f t="array" ref="V38">IF(OR(S38="",J38=""),"",_xlfn.IFS((IFERROR(VALUE(TRIM(SUBSTITUTE(S38,CHAR(160),""))),0))&gt;(IFERROR(VALUE(TRIM(SUBSTITUTE(J38,CHAR(160),""))),0)),"KO : Le montant retenu est supérieur au montant présenté. Merci de revoir la ligne de contribution ou plafonner son montant.",(IFERROR(VALUE(TRIM(SUBSTITUTE(J38,CHAR(160),""))),0))=0,"",(IFERROR(VALUE(TRIM(SUBSTITUTE(S38,CHAR(160),""))),0))=(IFERROR(VALUE(TRIM(SUBSTITUTE(J38,CHAR(160),""))),0)),"OK",(IFERROR(VALUE(TRIM(SUBSTITUTE(S38,CHAR(160),""))),0))&lt;(IFERROR(VALUE(TRIM(SUBSTITUTE(J38,CHAR(160),""))),0)),"Attention : montant présenté partiellement écarté ",TRUE,""))</f>
        <v/>
      </c>
      <c r="W38" s="20" t="str">
        <f t="shared" si="9"/>
        <v/>
      </c>
    </row>
    <row r="39" spans="1:23" ht="15" customHeight="1">
      <c r="A39" s="791">
        <v>30</v>
      </c>
      <c r="B39" s="792"/>
      <c r="C39" s="333"/>
      <c r="D39" s="565"/>
      <c r="E39" s="22"/>
      <c r="F39" s="334"/>
      <c r="G39" s="335"/>
      <c r="H39" s="22"/>
      <c r="I39" s="22"/>
      <c r="J39" s="336" t="str">
        <f t="shared" si="0"/>
        <v/>
      </c>
      <c r="K39" s="337"/>
      <c r="L39" s="338" t="str">
        <f t="shared" si="1"/>
        <v/>
      </c>
      <c r="M39" s="20" t="str">
        <f t="shared" si="2"/>
        <v/>
      </c>
      <c r="N39" s="20" t="str">
        <f t="shared" si="3"/>
        <v/>
      </c>
      <c r="O39" s="37" t="str">
        <f t="shared" si="4"/>
        <v/>
      </c>
      <c r="P39" s="20" t="str">
        <f t="shared" si="5"/>
        <v/>
      </c>
      <c r="Q39" s="20" t="str">
        <f t="shared" si="6"/>
        <v/>
      </c>
      <c r="R39" s="20" t="str">
        <f t="shared" si="7"/>
        <v/>
      </c>
      <c r="S39" s="20" t="str">
        <f t="shared" si="8"/>
        <v/>
      </c>
      <c r="T39" s="283"/>
      <c r="U39" s="282"/>
      <c r="V39" s="577" t="str" cm="1">
        <f t="array" ref="V39">IF(OR(S39="",J39=""),"",_xlfn.IFS((IFERROR(VALUE(TRIM(SUBSTITUTE(S39,CHAR(160),""))),0))&gt;(IFERROR(VALUE(TRIM(SUBSTITUTE(J39,CHAR(160),""))),0)),"KO : Le montant retenu est supérieur au montant présenté. Merci de revoir la ligne de contribution ou plafonner son montant.",(IFERROR(VALUE(TRIM(SUBSTITUTE(J39,CHAR(160),""))),0))=0,"",(IFERROR(VALUE(TRIM(SUBSTITUTE(S39,CHAR(160),""))),0))=(IFERROR(VALUE(TRIM(SUBSTITUTE(J39,CHAR(160),""))),0)),"OK",(IFERROR(VALUE(TRIM(SUBSTITUTE(S39,CHAR(160),""))),0))&lt;(IFERROR(VALUE(TRIM(SUBSTITUTE(J39,CHAR(160),""))),0)),"Attention : montant présenté partiellement écarté ",TRUE,""))</f>
        <v/>
      </c>
      <c r="W39" s="20" t="str">
        <f t="shared" si="9"/>
        <v/>
      </c>
    </row>
    <row r="40" spans="1:23" ht="15" customHeight="1">
      <c r="A40" s="791">
        <v>31</v>
      </c>
      <c r="B40" s="792"/>
      <c r="C40" s="333"/>
      <c r="D40" s="565"/>
      <c r="E40" s="22"/>
      <c r="F40" s="334"/>
      <c r="G40" s="335"/>
      <c r="H40" s="22"/>
      <c r="I40" s="22"/>
      <c r="J40" s="336" t="str">
        <f t="shared" si="0"/>
        <v/>
      </c>
      <c r="K40" s="337"/>
      <c r="L40" s="338" t="str">
        <f t="shared" si="1"/>
        <v/>
      </c>
      <c r="M40" s="20" t="str">
        <f t="shared" si="2"/>
        <v/>
      </c>
      <c r="N40" s="20" t="str">
        <f t="shared" si="3"/>
        <v/>
      </c>
      <c r="O40" s="37" t="str">
        <f t="shared" si="4"/>
        <v/>
      </c>
      <c r="P40" s="20" t="str">
        <f t="shared" si="5"/>
        <v/>
      </c>
      <c r="Q40" s="20" t="str">
        <f t="shared" si="6"/>
        <v/>
      </c>
      <c r="R40" s="20" t="str">
        <f t="shared" si="7"/>
        <v/>
      </c>
      <c r="S40" s="20" t="str">
        <f t="shared" si="8"/>
        <v/>
      </c>
      <c r="T40" s="283"/>
      <c r="U40" s="282"/>
      <c r="V40" s="577" t="str" cm="1">
        <f t="array" ref="V40">IF(OR(S40="",J40=""),"",_xlfn.IFS((IFERROR(VALUE(TRIM(SUBSTITUTE(S40,CHAR(160),""))),0))&gt;(IFERROR(VALUE(TRIM(SUBSTITUTE(J40,CHAR(160),""))),0)),"KO : Le montant retenu est supérieur au montant présenté. Merci de revoir la ligne de contribution ou plafonner son montant.",(IFERROR(VALUE(TRIM(SUBSTITUTE(J40,CHAR(160),""))),0))=0,"",(IFERROR(VALUE(TRIM(SUBSTITUTE(S40,CHAR(160),""))),0))=(IFERROR(VALUE(TRIM(SUBSTITUTE(J40,CHAR(160),""))),0)),"OK",(IFERROR(VALUE(TRIM(SUBSTITUTE(S40,CHAR(160),""))),0))&lt;(IFERROR(VALUE(TRIM(SUBSTITUTE(J40,CHAR(160),""))),0)),"Attention : montant présenté partiellement écarté ",TRUE,""))</f>
        <v/>
      </c>
      <c r="W40" s="20" t="str">
        <f t="shared" si="9"/>
        <v/>
      </c>
    </row>
    <row r="41" spans="1:23" ht="15" customHeight="1">
      <c r="A41" s="791">
        <v>32</v>
      </c>
      <c r="B41" s="792"/>
      <c r="C41" s="333"/>
      <c r="D41" s="565"/>
      <c r="E41" s="22"/>
      <c r="F41" s="334"/>
      <c r="G41" s="335"/>
      <c r="H41" s="22"/>
      <c r="I41" s="22"/>
      <c r="J41" s="336" t="str">
        <f t="shared" ref="J41:J72" si="11">IF(OR(G41="",F41=""),"",IF((IFERROR(VALUE(TRIM(SUBSTITUTE(G41,CHAR(160),""))),0))*(IFERROR(VALUE(TRIM(SUBSTITUTE(F41,CHAR(160),""))),0))=0,"",(IFERROR(VALUE(TRIM(SUBSTITUTE(G41,CHAR(160),""))),0))*(IFERROR(VALUE(TRIM(SUBSTITUTE(F41,CHAR(160),""))),0))))</f>
        <v/>
      </c>
      <c r="K41" s="337"/>
      <c r="L41" s="338" t="str">
        <f t="shared" ref="L41:L72" si="12">IF(C41="","",C41)</f>
        <v/>
      </c>
      <c r="M41" s="20" t="str">
        <f t="shared" ref="M41:M72" si="13">IF(D41="","",D41)</f>
        <v/>
      </c>
      <c r="N41" s="20" t="str">
        <f t="shared" ref="N41:N72" si="14">IF(E41="","",E41)</f>
        <v/>
      </c>
      <c r="O41" s="37" t="str">
        <f t="shared" ref="O41:O72" si="15">IF(F41="","",F41)</f>
        <v/>
      </c>
      <c r="P41" s="20" t="str">
        <f t="shared" ref="P41:P72" si="16">IF(G41="","",G41)</f>
        <v/>
      </c>
      <c r="Q41" s="20" t="str">
        <f t="shared" ref="Q41:Q72" si="17">IF(H41="","",H41)</f>
        <v/>
      </c>
      <c r="R41" s="20" t="str">
        <f t="shared" ref="R41:R72" si="18">IF(I41="","",I41)</f>
        <v/>
      </c>
      <c r="S41" s="20" t="str">
        <f t="shared" ref="S41:S72" si="19">IF(OR(O41="",P41=""),"",IF(IFERROR(VALUE(TRIM(SUBSTITUTE(O41,CHAR(160),""))),0)*IFERROR(VALUE(TRIM(SUBSTITUTE(P41,CHAR(160),""))),0)=0,"",IFERROR(VALUE(TRIM(SUBSTITUTE(O41,CHAR(160),""))),0)*IFERROR(VALUE(TRIM(SUBSTITUTE(P41,CHAR(160),""))),0)))</f>
        <v/>
      </c>
      <c r="T41" s="283"/>
      <c r="U41" s="282"/>
      <c r="V41" s="577" t="str" cm="1">
        <f t="array" ref="V41">IF(OR(S41="",J41=""),"",_xlfn.IFS((IFERROR(VALUE(TRIM(SUBSTITUTE(S41,CHAR(160),""))),0))&gt;(IFERROR(VALUE(TRIM(SUBSTITUTE(J41,CHAR(160),""))),0)),"KO : Le montant retenu est supérieur au montant présenté. Merci de revoir la ligne de contribution ou plafonner son montant.",(IFERROR(VALUE(TRIM(SUBSTITUTE(J41,CHAR(160),""))),0))=0,"",(IFERROR(VALUE(TRIM(SUBSTITUTE(S41,CHAR(160),""))),0))=(IFERROR(VALUE(TRIM(SUBSTITUTE(J41,CHAR(160),""))),0)),"OK",(IFERROR(VALUE(TRIM(SUBSTITUTE(S41,CHAR(160),""))),0))&lt;(IFERROR(VALUE(TRIM(SUBSTITUTE(J41,CHAR(160),""))),0)),"Attention : montant présenté partiellement écarté ",TRUE,""))</f>
        <v/>
      </c>
      <c r="W41" s="20" t="str">
        <f t="shared" si="9"/>
        <v/>
      </c>
    </row>
    <row r="42" spans="1:23" ht="15" customHeight="1">
      <c r="A42" s="791">
        <v>33</v>
      </c>
      <c r="B42" s="792"/>
      <c r="C42" s="333"/>
      <c r="D42" s="565"/>
      <c r="E42" s="22"/>
      <c r="F42" s="334"/>
      <c r="G42" s="335"/>
      <c r="H42" s="22"/>
      <c r="I42" s="22"/>
      <c r="J42" s="336" t="str">
        <f t="shared" si="11"/>
        <v/>
      </c>
      <c r="K42" s="337"/>
      <c r="L42" s="338" t="str">
        <f t="shared" si="12"/>
        <v/>
      </c>
      <c r="M42" s="20" t="str">
        <f t="shared" si="13"/>
        <v/>
      </c>
      <c r="N42" s="20" t="str">
        <f t="shared" si="14"/>
        <v/>
      </c>
      <c r="O42" s="37" t="str">
        <f t="shared" si="15"/>
        <v/>
      </c>
      <c r="P42" s="20" t="str">
        <f t="shared" si="16"/>
        <v/>
      </c>
      <c r="Q42" s="20" t="str">
        <f t="shared" si="17"/>
        <v/>
      </c>
      <c r="R42" s="20" t="str">
        <f t="shared" si="18"/>
        <v/>
      </c>
      <c r="S42" s="20" t="str">
        <f t="shared" si="19"/>
        <v/>
      </c>
      <c r="T42" s="283"/>
      <c r="U42" s="282"/>
      <c r="V42" s="577" t="str" cm="1">
        <f t="array" ref="V42">IF(OR(S42="",J42=""),"",_xlfn.IFS((IFERROR(VALUE(TRIM(SUBSTITUTE(S42,CHAR(160),""))),0))&gt;(IFERROR(VALUE(TRIM(SUBSTITUTE(J42,CHAR(160),""))),0)),"KO : Le montant retenu est supérieur au montant présenté. Merci de revoir la ligne de contribution ou plafonner son montant.",(IFERROR(VALUE(TRIM(SUBSTITUTE(J42,CHAR(160),""))),0))=0,"",(IFERROR(VALUE(TRIM(SUBSTITUTE(S42,CHAR(160),""))),0))=(IFERROR(VALUE(TRIM(SUBSTITUTE(J42,CHAR(160),""))),0)),"OK",(IFERROR(VALUE(TRIM(SUBSTITUTE(S42,CHAR(160),""))),0))&lt;(IFERROR(VALUE(TRIM(SUBSTITUTE(J42,CHAR(160),""))),0)),"Attention : montant présenté partiellement écarté ",TRUE,""))</f>
        <v/>
      </c>
      <c r="W42" s="20" t="str">
        <f t="shared" si="9"/>
        <v/>
      </c>
    </row>
    <row r="43" spans="1:23" ht="15" customHeight="1">
      <c r="A43" s="791">
        <v>34</v>
      </c>
      <c r="B43" s="792"/>
      <c r="C43" s="333"/>
      <c r="D43" s="565"/>
      <c r="E43" s="22"/>
      <c r="F43" s="334"/>
      <c r="G43" s="335"/>
      <c r="H43" s="22"/>
      <c r="I43" s="22"/>
      <c r="J43" s="336" t="str">
        <f t="shared" si="11"/>
        <v/>
      </c>
      <c r="K43" s="337"/>
      <c r="L43" s="338" t="str">
        <f t="shared" si="12"/>
        <v/>
      </c>
      <c r="M43" s="20" t="str">
        <f t="shared" si="13"/>
        <v/>
      </c>
      <c r="N43" s="20" t="str">
        <f t="shared" si="14"/>
        <v/>
      </c>
      <c r="O43" s="37" t="str">
        <f t="shared" si="15"/>
        <v/>
      </c>
      <c r="P43" s="20" t="str">
        <f t="shared" si="16"/>
        <v/>
      </c>
      <c r="Q43" s="20" t="str">
        <f t="shared" si="17"/>
        <v/>
      </c>
      <c r="R43" s="20" t="str">
        <f t="shared" si="18"/>
        <v/>
      </c>
      <c r="S43" s="20" t="str">
        <f t="shared" si="19"/>
        <v/>
      </c>
      <c r="T43" s="283"/>
      <c r="U43" s="282"/>
      <c r="V43" s="577" t="str" cm="1">
        <f t="array" ref="V43">IF(OR(S43="",J43=""),"",_xlfn.IFS((IFERROR(VALUE(TRIM(SUBSTITUTE(S43,CHAR(160),""))),0))&gt;(IFERROR(VALUE(TRIM(SUBSTITUTE(J43,CHAR(160),""))),0)),"KO : Le montant retenu est supérieur au montant présenté. Merci de revoir la ligne de contribution ou plafonner son montant.",(IFERROR(VALUE(TRIM(SUBSTITUTE(J43,CHAR(160),""))),0))=0,"",(IFERROR(VALUE(TRIM(SUBSTITUTE(S43,CHAR(160),""))),0))=(IFERROR(VALUE(TRIM(SUBSTITUTE(J43,CHAR(160),""))),0)),"OK",(IFERROR(VALUE(TRIM(SUBSTITUTE(S43,CHAR(160),""))),0))&lt;(IFERROR(VALUE(TRIM(SUBSTITUTE(J43,CHAR(160),""))),0)),"Attention : montant présenté partiellement écarté ",TRUE,""))</f>
        <v/>
      </c>
      <c r="W43" s="20" t="str">
        <f t="shared" si="9"/>
        <v/>
      </c>
    </row>
    <row r="44" spans="1:23" ht="15" customHeight="1">
      <c r="A44" s="791">
        <v>35</v>
      </c>
      <c r="B44" s="792"/>
      <c r="C44" s="333"/>
      <c r="D44" s="565"/>
      <c r="E44" s="22"/>
      <c r="F44" s="334"/>
      <c r="G44" s="335"/>
      <c r="H44" s="22"/>
      <c r="I44" s="22"/>
      <c r="J44" s="336" t="str">
        <f t="shared" si="11"/>
        <v/>
      </c>
      <c r="K44" s="337"/>
      <c r="L44" s="338" t="str">
        <f t="shared" si="12"/>
        <v/>
      </c>
      <c r="M44" s="20" t="str">
        <f t="shared" si="13"/>
        <v/>
      </c>
      <c r="N44" s="20" t="str">
        <f t="shared" si="14"/>
        <v/>
      </c>
      <c r="O44" s="37" t="str">
        <f t="shared" si="15"/>
        <v/>
      </c>
      <c r="P44" s="20" t="str">
        <f t="shared" si="16"/>
        <v/>
      </c>
      <c r="Q44" s="20" t="str">
        <f t="shared" si="17"/>
        <v/>
      </c>
      <c r="R44" s="20" t="str">
        <f t="shared" si="18"/>
        <v/>
      </c>
      <c r="S44" s="20" t="str">
        <f t="shared" si="19"/>
        <v/>
      </c>
      <c r="T44" s="283"/>
      <c r="U44" s="282"/>
      <c r="V44" s="577" t="str" cm="1">
        <f t="array" ref="V44">IF(OR(S44="",J44=""),"",_xlfn.IFS((IFERROR(VALUE(TRIM(SUBSTITUTE(S44,CHAR(160),""))),0))&gt;(IFERROR(VALUE(TRIM(SUBSTITUTE(J44,CHAR(160),""))),0)),"KO : Le montant retenu est supérieur au montant présenté. Merci de revoir la ligne de contribution ou plafonner son montant.",(IFERROR(VALUE(TRIM(SUBSTITUTE(J44,CHAR(160),""))),0))=0,"",(IFERROR(VALUE(TRIM(SUBSTITUTE(S44,CHAR(160),""))),0))=(IFERROR(VALUE(TRIM(SUBSTITUTE(J44,CHAR(160),""))),0)),"OK",(IFERROR(VALUE(TRIM(SUBSTITUTE(S44,CHAR(160),""))),0))&lt;(IFERROR(VALUE(TRIM(SUBSTITUTE(J44,CHAR(160),""))),0)),"Attention : montant présenté partiellement écarté ",TRUE,""))</f>
        <v/>
      </c>
      <c r="W44" s="20" t="str">
        <f t="shared" si="9"/>
        <v/>
      </c>
    </row>
    <row r="45" spans="1:23" ht="15" customHeight="1">
      <c r="A45" s="791">
        <v>36</v>
      </c>
      <c r="B45" s="792"/>
      <c r="C45" s="333"/>
      <c r="D45" s="565"/>
      <c r="E45" s="22"/>
      <c r="F45" s="334"/>
      <c r="G45" s="335"/>
      <c r="H45" s="22"/>
      <c r="I45" s="22"/>
      <c r="J45" s="336" t="str">
        <f t="shared" si="11"/>
        <v/>
      </c>
      <c r="K45" s="337"/>
      <c r="L45" s="338" t="str">
        <f t="shared" si="12"/>
        <v/>
      </c>
      <c r="M45" s="20" t="str">
        <f t="shared" si="13"/>
        <v/>
      </c>
      <c r="N45" s="20" t="str">
        <f t="shared" si="14"/>
        <v/>
      </c>
      <c r="O45" s="37" t="str">
        <f t="shared" si="15"/>
        <v/>
      </c>
      <c r="P45" s="20" t="str">
        <f t="shared" si="16"/>
        <v/>
      </c>
      <c r="Q45" s="20" t="str">
        <f t="shared" si="17"/>
        <v/>
      </c>
      <c r="R45" s="20" t="str">
        <f t="shared" si="18"/>
        <v/>
      </c>
      <c r="S45" s="20" t="str">
        <f t="shared" si="19"/>
        <v/>
      </c>
      <c r="T45" s="283"/>
      <c r="U45" s="282"/>
      <c r="V45" s="577" t="str" cm="1">
        <f t="array" ref="V45">IF(OR(S45="",J45=""),"",_xlfn.IFS((IFERROR(VALUE(TRIM(SUBSTITUTE(S45,CHAR(160),""))),0))&gt;(IFERROR(VALUE(TRIM(SUBSTITUTE(J45,CHAR(160),""))),0)),"KO : Le montant retenu est supérieur au montant présenté. Merci de revoir la ligne de contribution ou plafonner son montant.",(IFERROR(VALUE(TRIM(SUBSTITUTE(J45,CHAR(160),""))),0))=0,"",(IFERROR(VALUE(TRIM(SUBSTITUTE(S45,CHAR(160),""))),0))=(IFERROR(VALUE(TRIM(SUBSTITUTE(J45,CHAR(160),""))),0)),"OK",(IFERROR(VALUE(TRIM(SUBSTITUTE(S45,CHAR(160),""))),0))&lt;(IFERROR(VALUE(TRIM(SUBSTITUTE(J45,CHAR(160),""))),0)),"Attention : montant présenté partiellement écarté ",TRUE,""))</f>
        <v/>
      </c>
      <c r="W45" s="20" t="str">
        <f t="shared" si="9"/>
        <v/>
      </c>
    </row>
    <row r="46" spans="1:23" ht="15" customHeight="1">
      <c r="A46" s="791">
        <v>37</v>
      </c>
      <c r="B46" s="792"/>
      <c r="C46" s="333"/>
      <c r="D46" s="565"/>
      <c r="E46" s="22"/>
      <c r="F46" s="334"/>
      <c r="G46" s="335"/>
      <c r="H46" s="22"/>
      <c r="I46" s="22"/>
      <c r="J46" s="336" t="str">
        <f t="shared" si="11"/>
        <v/>
      </c>
      <c r="K46" s="337"/>
      <c r="L46" s="338" t="str">
        <f t="shared" si="12"/>
        <v/>
      </c>
      <c r="M46" s="20" t="str">
        <f t="shared" si="13"/>
        <v/>
      </c>
      <c r="N46" s="20" t="str">
        <f t="shared" si="14"/>
        <v/>
      </c>
      <c r="O46" s="37" t="str">
        <f t="shared" si="15"/>
        <v/>
      </c>
      <c r="P46" s="20" t="str">
        <f t="shared" si="16"/>
        <v/>
      </c>
      <c r="Q46" s="20" t="str">
        <f t="shared" si="17"/>
        <v/>
      </c>
      <c r="R46" s="20" t="str">
        <f t="shared" si="18"/>
        <v/>
      </c>
      <c r="S46" s="20" t="str">
        <f t="shared" si="19"/>
        <v/>
      </c>
      <c r="T46" s="283"/>
      <c r="U46" s="282"/>
      <c r="V46" s="577" t="str" cm="1">
        <f t="array" ref="V46">IF(OR(S46="",J46=""),"",_xlfn.IFS((IFERROR(VALUE(TRIM(SUBSTITUTE(S46,CHAR(160),""))),0))&gt;(IFERROR(VALUE(TRIM(SUBSTITUTE(J46,CHAR(160),""))),0)),"KO : Le montant retenu est supérieur au montant présenté. Merci de revoir la ligne de contribution ou plafonner son montant.",(IFERROR(VALUE(TRIM(SUBSTITUTE(J46,CHAR(160),""))),0))=0,"",(IFERROR(VALUE(TRIM(SUBSTITUTE(S46,CHAR(160),""))),0))=(IFERROR(VALUE(TRIM(SUBSTITUTE(J46,CHAR(160),""))),0)),"OK",(IFERROR(VALUE(TRIM(SUBSTITUTE(S46,CHAR(160),""))),0))&lt;(IFERROR(VALUE(TRIM(SUBSTITUTE(J46,CHAR(160),""))),0)),"Attention : montant présenté partiellement écarté ",TRUE,""))</f>
        <v/>
      </c>
      <c r="W46" s="20" t="str">
        <f t="shared" si="9"/>
        <v/>
      </c>
    </row>
    <row r="47" spans="1:23" ht="15" customHeight="1">
      <c r="A47" s="791">
        <v>38</v>
      </c>
      <c r="B47" s="792"/>
      <c r="C47" s="333"/>
      <c r="D47" s="565"/>
      <c r="E47" s="22"/>
      <c r="F47" s="334"/>
      <c r="G47" s="335"/>
      <c r="H47" s="22"/>
      <c r="I47" s="22"/>
      <c r="J47" s="336" t="str">
        <f t="shared" si="11"/>
        <v/>
      </c>
      <c r="K47" s="337"/>
      <c r="L47" s="338" t="str">
        <f t="shared" si="12"/>
        <v/>
      </c>
      <c r="M47" s="20" t="str">
        <f t="shared" si="13"/>
        <v/>
      </c>
      <c r="N47" s="20" t="str">
        <f t="shared" si="14"/>
        <v/>
      </c>
      <c r="O47" s="37" t="str">
        <f t="shared" si="15"/>
        <v/>
      </c>
      <c r="P47" s="20" t="str">
        <f t="shared" si="16"/>
        <v/>
      </c>
      <c r="Q47" s="20" t="str">
        <f t="shared" si="17"/>
        <v/>
      </c>
      <c r="R47" s="20" t="str">
        <f t="shared" si="18"/>
        <v/>
      </c>
      <c r="S47" s="20" t="str">
        <f t="shared" si="19"/>
        <v/>
      </c>
      <c r="T47" s="283"/>
      <c r="U47" s="282"/>
      <c r="V47" s="577" t="str" cm="1">
        <f t="array" ref="V47">IF(OR(S47="",J47=""),"",_xlfn.IFS((IFERROR(VALUE(TRIM(SUBSTITUTE(S47,CHAR(160),""))),0))&gt;(IFERROR(VALUE(TRIM(SUBSTITUTE(J47,CHAR(160),""))),0)),"KO : Le montant retenu est supérieur au montant présenté. Merci de revoir la ligne de contribution ou plafonner son montant.",(IFERROR(VALUE(TRIM(SUBSTITUTE(J47,CHAR(160),""))),0))=0,"",(IFERROR(VALUE(TRIM(SUBSTITUTE(S47,CHAR(160),""))),0))=(IFERROR(VALUE(TRIM(SUBSTITUTE(J47,CHAR(160),""))),0)),"OK",(IFERROR(VALUE(TRIM(SUBSTITUTE(S47,CHAR(160),""))),0))&lt;(IFERROR(VALUE(TRIM(SUBSTITUTE(J47,CHAR(160),""))),0)),"Attention : montant présenté partiellement écarté ",TRUE,""))</f>
        <v/>
      </c>
      <c r="W47" s="20" t="str">
        <f t="shared" si="9"/>
        <v/>
      </c>
    </row>
    <row r="48" spans="1:23" ht="15" customHeight="1">
      <c r="A48" s="791">
        <v>39</v>
      </c>
      <c r="B48" s="792"/>
      <c r="C48" s="333"/>
      <c r="D48" s="565"/>
      <c r="E48" s="22"/>
      <c r="F48" s="334"/>
      <c r="G48" s="335"/>
      <c r="H48" s="22"/>
      <c r="I48" s="22"/>
      <c r="J48" s="336" t="str">
        <f t="shared" si="11"/>
        <v/>
      </c>
      <c r="K48" s="337"/>
      <c r="L48" s="338" t="str">
        <f t="shared" si="12"/>
        <v/>
      </c>
      <c r="M48" s="20" t="str">
        <f t="shared" si="13"/>
        <v/>
      </c>
      <c r="N48" s="20" t="str">
        <f t="shared" si="14"/>
        <v/>
      </c>
      <c r="O48" s="37" t="str">
        <f t="shared" si="15"/>
        <v/>
      </c>
      <c r="P48" s="20" t="str">
        <f t="shared" si="16"/>
        <v/>
      </c>
      <c r="Q48" s="20" t="str">
        <f t="shared" si="17"/>
        <v/>
      </c>
      <c r="R48" s="20" t="str">
        <f t="shared" si="18"/>
        <v/>
      </c>
      <c r="S48" s="20" t="str">
        <f t="shared" si="19"/>
        <v/>
      </c>
      <c r="T48" s="283"/>
      <c r="U48" s="282"/>
      <c r="V48" s="577" t="str" cm="1">
        <f t="array" ref="V48">IF(OR(S48="",J48=""),"",_xlfn.IFS((IFERROR(VALUE(TRIM(SUBSTITUTE(S48,CHAR(160),""))),0))&gt;(IFERROR(VALUE(TRIM(SUBSTITUTE(J48,CHAR(160),""))),0)),"KO : Le montant retenu est supérieur au montant présenté. Merci de revoir la ligne de contribution ou plafonner son montant.",(IFERROR(VALUE(TRIM(SUBSTITUTE(J48,CHAR(160),""))),0))=0,"",(IFERROR(VALUE(TRIM(SUBSTITUTE(S48,CHAR(160),""))),0))=(IFERROR(VALUE(TRIM(SUBSTITUTE(J48,CHAR(160),""))),0)),"OK",(IFERROR(VALUE(TRIM(SUBSTITUTE(S48,CHAR(160),""))),0))&lt;(IFERROR(VALUE(TRIM(SUBSTITUTE(J48,CHAR(160),""))),0)),"Attention : montant présenté partiellement écarté ",TRUE,""))</f>
        <v/>
      </c>
      <c r="W48" s="20" t="str">
        <f t="shared" si="9"/>
        <v/>
      </c>
    </row>
    <row r="49" spans="1:23" ht="15" customHeight="1">
      <c r="A49" s="791">
        <v>40</v>
      </c>
      <c r="B49" s="792"/>
      <c r="C49" s="333"/>
      <c r="D49" s="565"/>
      <c r="E49" s="22"/>
      <c r="F49" s="334"/>
      <c r="G49" s="335"/>
      <c r="H49" s="22"/>
      <c r="I49" s="22"/>
      <c r="J49" s="336" t="str">
        <f t="shared" si="11"/>
        <v/>
      </c>
      <c r="K49" s="337"/>
      <c r="L49" s="338" t="str">
        <f t="shared" si="12"/>
        <v/>
      </c>
      <c r="M49" s="20" t="str">
        <f t="shared" si="13"/>
        <v/>
      </c>
      <c r="N49" s="20" t="str">
        <f t="shared" si="14"/>
        <v/>
      </c>
      <c r="O49" s="37" t="str">
        <f t="shared" si="15"/>
        <v/>
      </c>
      <c r="P49" s="20" t="str">
        <f t="shared" si="16"/>
        <v/>
      </c>
      <c r="Q49" s="20" t="str">
        <f t="shared" si="17"/>
        <v/>
      </c>
      <c r="R49" s="20" t="str">
        <f t="shared" si="18"/>
        <v/>
      </c>
      <c r="S49" s="20" t="str">
        <f t="shared" si="19"/>
        <v/>
      </c>
      <c r="T49" s="283"/>
      <c r="U49" s="282"/>
      <c r="V49" s="577" t="str" cm="1">
        <f t="array" ref="V49">IF(OR(S49="",J49=""),"",_xlfn.IFS((IFERROR(VALUE(TRIM(SUBSTITUTE(S49,CHAR(160),""))),0))&gt;(IFERROR(VALUE(TRIM(SUBSTITUTE(J49,CHAR(160),""))),0)),"KO : Le montant retenu est supérieur au montant présenté. Merci de revoir la ligne de contribution ou plafonner son montant.",(IFERROR(VALUE(TRIM(SUBSTITUTE(J49,CHAR(160),""))),0))=0,"",(IFERROR(VALUE(TRIM(SUBSTITUTE(S49,CHAR(160),""))),0))=(IFERROR(VALUE(TRIM(SUBSTITUTE(J49,CHAR(160),""))),0)),"OK",(IFERROR(VALUE(TRIM(SUBSTITUTE(S49,CHAR(160),""))),0))&lt;(IFERROR(VALUE(TRIM(SUBSTITUTE(J49,CHAR(160),""))),0)),"Attention : montant présenté partiellement écarté ",TRUE,""))</f>
        <v/>
      </c>
      <c r="W49" s="20" t="str">
        <f t="shared" si="9"/>
        <v/>
      </c>
    </row>
    <row r="50" spans="1:23" ht="15" customHeight="1">
      <c r="A50" s="791">
        <v>41</v>
      </c>
      <c r="B50" s="792"/>
      <c r="C50" s="333"/>
      <c r="D50" s="565"/>
      <c r="E50" s="22"/>
      <c r="F50" s="334"/>
      <c r="G50" s="335"/>
      <c r="H50" s="22"/>
      <c r="I50" s="22"/>
      <c r="J50" s="336" t="str">
        <f t="shared" si="11"/>
        <v/>
      </c>
      <c r="K50" s="337"/>
      <c r="L50" s="338" t="str">
        <f t="shared" si="12"/>
        <v/>
      </c>
      <c r="M50" s="20" t="str">
        <f t="shared" si="13"/>
        <v/>
      </c>
      <c r="N50" s="20" t="str">
        <f t="shared" si="14"/>
        <v/>
      </c>
      <c r="O50" s="37" t="str">
        <f t="shared" si="15"/>
        <v/>
      </c>
      <c r="P50" s="20" t="str">
        <f t="shared" si="16"/>
        <v/>
      </c>
      <c r="Q50" s="20" t="str">
        <f t="shared" si="17"/>
        <v/>
      </c>
      <c r="R50" s="20" t="str">
        <f t="shared" si="18"/>
        <v/>
      </c>
      <c r="S50" s="20" t="str">
        <f t="shared" si="19"/>
        <v/>
      </c>
      <c r="T50" s="283"/>
      <c r="U50" s="282"/>
      <c r="V50" s="577" t="str" cm="1">
        <f t="array" ref="V50">IF(OR(S50="",J50=""),"",_xlfn.IFS((IFERROR(VALUE(TRIM(SUBSTITUTE(S50,CHAR(160),""))),0))&gt;(IFERROR(VALUE(TRIM(SUBSTITUTE(J50,CHAR(160),""))),0)),"KO : Le montant retenu est supérieur au montant présenté. Merci de revoir la ligne de contribution ou plafonner son montant.",(IFERROR(VALUE(TRIM(SUBSTITUTE(J50,CHAR(160),""))),0))=0,"",(IFERROR(VALUE(TRIM(SUBSTITUTE(S50,CHAR(160),""))),0))=(IFERROR(VALUE(TRIM(SUBSTITUTE(J50,CHAR(160),""))),0)),"OK",(IFERROR(VALUE(TRIM(SUBSTITUTE(S50,CHAR(160),""))),0))&lt;(IFERROR(VALUE(TRIM(SUBSTITUTE(J50,CHAR(160),""))),0)),"Attention : montant présenté partiellement écarté ",TRUE,""))</f>
        <v/>
      </c>
      <c r="W50" s="20" t="str">
        <f t="shared" si="9"/>
        <v/>
      </c>
    </row>
    <row r="51" spans="1:23" ht="15" customHeight="1">
      <c r="A51" s="791">
        <v>42</v>
      </c>
      <c r="B51" s="792"/>
      <c r="C51" s="333"/>
      <c r="D51" s="565"/>
      <c r="E51" s="22"/>
      <c r="F51" s="334"/>
      <c r="G51" s="335"/>
      <c r="H51" s="22"/>
      <c r="I51" s="22"/>
      <c r="J51" s="336" t="str">
        <f t="shared" si="11"/>
        <v/>
      </c>
      <c r="K51" s="337"/>
      <c r="L51" s="338" t="str">
        <f t="shared" si="12"/>
        <v/>
      </c>
      <c r="M51" s="20" t="str">
        <f t="shared" si="13"/>
        <v/>
      </c>
      <c r="N51" s="20" t="str">
        <f t="shared" si="14"/>
        <v/>
      </c>
      <c r="O51" s="37" t="str">
        <f t="shared" si="15"/>
        <v/>
      </c>
      <c r="P51" s="20" t="str">
        <f t="shared" si="16"/>
        <v/>
      </c>
      <c r="Q51" s="20" t="str">
        <f t="shared" si="17"/>
        <v/>
      </c>
      <c r="R51" s="20" t="str">
        <f t="shared" si="18"/>
        <v/>
      </c>
      <c r="S51" s="20" t="str">
        <f t="shared" si="19"/>
        <v/>
      </c>
      <c r="T51" s="283"/>
      <c r="U51" s="282"/>
      <c r="V51" s="577" t="str" cm="1">
        <f t="array" ref="V51">IF(OR(S51="",J51=""),"",_xlfn.IFS((IFERROR(VALUE(TRIM(SUBSTITUTE(S51,CHAR(160),""))),0))&gt;(IFERROR(VALUE(TRIM(SUBSTITUTE(J51,CHAR(160),""))),0)),"KO : Le montant retenu est supérieur au montant présenté. Merci de revoir la ligne de contribution ou plafonner son montant.",(IFERROR(VALUE(TRIM(SUBSTITUTE(J51,CHAR(160),""))),0))=0,"",(IFERROR(VALUE(TRIM(SUBSTITUTE(S51,CHAR(160),""))),0))=(IFERROR(VALUE(TRIM(SUBSTITUTE(J51,CHAR(160),""))),0)),"OK",(IFERROR(VALUE(TRIM(SUBSTITUTE(S51,CHAR(160),""))),0))&lt;(IFERROR(VALUE(TRIM(SUBSTITUTE(J51,CHAR(160),""))),0)),"Attention : montant présenté partiellement écarté ",TRUE,""))</f>
        <v/>
      </c>
      <c r="W51" s="20" t="str">
        <f t="shared" si="9"/>
        <v/>
      </c>
    </row>
    <row r="52" spans="1:23" ht="15" customHeight="1">
      <c r="A52" s="791">
        <v>43</v>
      </c>
      <c r="B52" s="792"/>
      <c r="C52" s="333"/>
      <c r="D52" s="565"/>
      <c r="E52" s="22"/>
      <c r="F52" s="334"/>
      <c r="G52" s="335"/>
      <c r="H52" s="22"/>
      <c r="I52" s="22"/>
      <c r="J52" s="336" t="str">
        <f t="shared" si="11"/>
        <v/>
      </c>
      <c r="K52" s="337"/>
      <c r="L52" s="338" t="str">
        <f t="shared" si="12"/>
        <v/>
      </c>
      <c r="M52" s="20" t="str">
        <f t="shared" si="13"/>
        <v/>
      </c>
      <c r="N52" s="20" t="str">
        <f t="shared" si="14"/>
        <v/>
      </c>
      <c r="O52" s="37" t="str">
        <f t="shared" si="15"/>
        <v/>
      </c>
      <c r="P52" s="20" t="str">
        <f t="shared" si="16"/>
        <v/>
      </c>
      <c r="Q52" s="20" t="str">
        <f t="shared" si="17"/>
        <v/>
      </c>
      <c r="R52" s="20" t="str">
        <f t="shared" si="18"/>
        <v/>
      </c>
      <c r="S52" s="20" t="str">
        <f t="shared" si="19"/>
        <v/>
      </c>
      <c r="T52" s="283"/>
      <c r="U52" s="282"/>
      <c r="V52" s="577" t="str" cm="1">
        <f t="array" ref="V52">IF(OR(S52="",J52=""),"",_xlfn.IFS((IFERROR(VALUE(TRIM(SUBSTITUTE(S52,CHAR(160),""))),0))&gt;(IFERROR(VALUE(TRIM(SUBSTITUTE(J52,CHAR(160),""))),0)),"KO : Le montant retenu est supérieur au montant présenté. Merci de revoir la ligne de contribution ou plafonner son montant.",(IFERROR(VALUE(TRIM(SUBSTITUTE(J52,CHAR(160),""))),0))=0,"",(IFERROR(VALUE(TRIM(SUBSTITUTE(S52,CHAR(160),""))),0))=(IFERROR(VALUE(TRIM(SUBSTITUTE(J52,CHAR(160),""))),0)),"OK",(IFERROR(VALUE(TRIM(SUBSTITUTE(S52,CHAR(160),""))),0))&lt;(IFERROR(VALUE(TRIM(SUBSTITUTE(J52,CHAR(160),""))),0)),"Attention : montant présenté partiellement écarté ",TRUE,""))</f>
        <v/>
      </c>
      <c r="W52" s="20" t="str">
        <f t="shared" si="9"/>
        <v/>
      </c>
    </row>
    <row r="53" spans="1:23" ht="15" customHeight="1">
      <c r="A53" s="791">
        <v>44</v>
      </c>
      <c r="B53" s="792"/>
      <c r="C53" s="333"/>
      <c r="D53" s="565"/>
      <c r="E53" s="22"/>
      <c r="F53" s="334"/>
      <c r="G53" s="335"/>
      <c r="H53" s="22"/>
      <c r="I53" s="22"/>
      <c r="J53" s="336" t="str">
        <f t="shared" si="11"/>
        <v/>
      </c>
      <c r="K53" s="337"/>
      <c r="L53" s="338" t="str">
        <f t="shared" si="12"/>
        <v/>
      </c>
      <c r="M53" s="20" t="str">
        <f t="shared" si="13"/>
        <v/>
      </c>
      <c r="N53" s="20" t="str">
        <f t="shared" si="14"/>
        <v/>
      </c>
      <c r="O53" s="37" t="str">
        <f t="shared" si="15"/>
        <v/>
      </c>
      <c r="P53" s="20" t="str">
        <f t="shared" si="16"/>
        <v/>
      </c>
      <c r="Q53" s="20" t="str">
        <f t="shared" si="17"/>
        <v/>
      </c>
      <c r="R53" s="20" t="str">
        <f t="shared" si="18"/>
        <v/>
      </c>
      <c r="S53" s="20" t="str">
        <f t="shared" si="19"/>
        <v/>
      </c>
      <c r="T53" s="283"/>
      <c r="U53" s="282"/>
      <c r="V53" s="577" t="str" cm="1">
        <f t="array" ref="V53">IF(OR(S53="",J53=""),"",_xlfn.IFS((IFERROR(VALUE(TRIM(SUBSTITUTE(S53,CHAR(160),""))),0))&gt;(IFERROR(VALUE(TRIM(SUBSTITUTE(J53,CHAR(160),""))),0)),"KO : Le montant retenu est supérieur au montant présenté. Merci de revoir la ligne de contribution ou plafonner son montant.",(IFERROR(VALUE(TRIM(SUBSTITUTE(J53,CHAR(160),""))),0))=0,"",(IFERROR(VALUE(TRIM(SUBSTITUTE(S53,CHAR(160),""))),0))=(IFERROR(VALUE(TRIM(SUBSTITUTE(J53,CHAR(160),""))),0)),"OK",(IFERROR(VALUE(TRIM(SUBSTITUTE(S53,CHAR(160),""))),0))&lt;(IFERROR(VALUE(TRIM(SUBSTITUTE(J53,CHAR(160),""))),0)),"Attention : montant présenté partiellement écarté ",TRUE,""))</f>
        <v/>
      </c>
      <c r="W53" s="20" t="str">
        <f t="shared" si="9"/>
        <v/>
      </c>
    </row>
    <row r="54" spans="1:23" ht="15" customHeight="1">
      <c r="A54" s="791">
        <v>45</v>
      </c>
      <c r="B54" s="792"/>
      <c r="C54" s="333"/>
      <c r="D54" s="565"/>
      <c r="E54" s="22"/>
      <c r="F54" s="334"/>
      <c r="G54" s="335"/>
      <c r="H54" s="22"/>
      <c r="I54" s="22"/>
      <c r="J54" s="336" t="str">
        <f t="shared" si="11"/>
        <v/>
      </c>
      <c r="K54" s="337"/>
      <c r="L54" s="338" t="str">
        <f t="shared" si="12"/>
        <v/>
      </c>
      <c r="M54" s="20" t="str">
        <f t="shared" si="13"/>
        <v/>
      </c>
      <c r="N54" s="20" t="str">
        <f t="shared" si="14"/>
        <v/>
      </c>
      <c r="O54" s="37" t="str">
        <f t="shared" si="15"/>
        <v/>
      </c>
      <c r="P54" s="20" t="str">
        <f t="shared" si="16"/>
        <v/>
      </c>
      <c r="Q54" s="20" t="str">
        <f t="shared" si="17"/>
        <v/>
      </c>
      <c r="R54" s="20" t="str">
        <f t="shared" si="18"/>
        <v/>
      </c>
      <c r="S54" s="20" t="str">
        <f t="shared" si="19"/>
        <v/>
      </c>
      <c r="T54" s="283"/>
      <c r="U54" s="282"/>
      <c r="V54" s="577" t="str" cm="1">
        <f t="array" ref="V54">IF(OR(S54="",J54=""),"",_xlfn.IFS((IFERROR(VALUE(TRIM(SUBSTITUTE(S54,CHAR(160),""))),0))&gt;(IFERROR(VALUE(TRIM(SUBSTITUTE(J54,CHAR(160),""))),0)),"KO : Le montant retenu est supérieur au montant présenté. Merci de revoir la ligne de contribution ou plafonner son montant.",(IFERROR(VALUE(TRIM(SUBSTITUTE(J54,CHAR(160),""))),0))=0,"",(IFERROR(VALUE(TRIM(SUBSTITUTE(S54,CHAR(160),""))),0))=(IFERROR(VALUE(TRIM(SUBSTITUTE(J54,CHAR(160),""))),0)),"OK",(IFERROR(VALUE(TRIM(SUBSTITUTE(S54,CHAR(160),""))),0))&lt;(IFERROR(VALUE(TRIM(SUBSTITUTE(J54,CHAR(160),""))),0)),"Attention : montant présenté partiellement écarté ",TRUE,""))</f>
        <v/>
      </c>
      <c r="W54" s="20" t="str">
        <f t="shared" si="9"/>
        <v/>
      </c>
    </row>
    <row r="55" spans="1:23" ht="15" customHeight="1">
      <c r="A55" s="791">
        <v>46</v>
      </c>
      <c r="B55" s="792"/>
      <c r="C55" s="333"/>
      <c r="D55" s="565"/>
      <c r="E55" s="22"/>
      <c r="F55" s="334"/>
      <c r="G55" s="335"/>
      <c r="H55" s="22"/>
      <c r="I55" s="22"/>
      <c r="J55" s="336" t="str">
        <f t="shared" si="11"/>
        <v/>
      </c>
      <c r="K55" s="337"/>
      <c r="L55" s="338" t="str">
        <f t="shared" si="12"/>
        <v/>
      </c>
      <c r="M55" s="20" t="str">
        <f t="shared" si="13"/>
        <v/>
      </c>
      <c r="N55" s="20" t="str">
        <f t="shared" si="14"/>
        <v/>
      </c>
      <c r="O55" s="37" t="str">
        <f t="shared" si="15"/>
        <v/>
      </c>
      <c r="P55" s="20" t="str">
        <f t="shared" si="16"/>
        <v/>
      </c>
      <c r="Q55" s="20" t="str">
        <f t="shared" si="17"/>
        <v/>
      </c>
      <c r="R55" s="20" t="str">
        <f t="shared" si="18"/>
        <v/>
      </c>
      <c r="S55" s="20" t="str">
        <f t="shared" si="19"/>
        <v/>
      </c>
      <c r="T55" s="283"/>
      <c r="U55" s="282"/>
      <c r="V55" s="577" t="str" cm="1">
        <f t="array" ref="V55">IF(OR(S55="",J55=""),"",_xlfn.IFS((IFERROR(VALUE(TRIM(SUBSTITUTE(S55,CHAR(160),""))),0))&gt;(IFERROR(VALUE(TRIM(SUBSTITUTE(J55,CHAR(160),""))),0)),"KO : Le montant retenu est supérieur au montant présenté. Merci de revoir la ligne de contribution ou plafonner son montant.",(IFERROR(VALUE(TRIM(SUBSTITUTE(J55,CHAR(160),""))),0))=0,"",(IFERROR(VALUE(TRIM(SUBSTITUTE(S55,CHAR(160),""))),0))=(IFERROR(VALUE(TRIM(SUBSTITUTE(J55,CHAR(160),""))),0)),"OK",(IFERROR(VALUE(TRIM(SUBSTITUTE(S55,CHAR(160),""))),0))&lt;(IFERROR(VALUE(TRIM(SUBSTITUTE(J55,CHAR(160),""))),0)),"Attention : montant présenté partiellement écarté ",TRUE,""))</f>
        <v/>
      </c>
      <c r="W55" s="20" t="str">
        <f t="shared" si="9"/>
        <v/>
      </c>
    </row>
    <row r="56" spans="1:23" ht="15" customHeight="1">
      <c r="A56" s="791">
        <v>47</v>
      </c>
      <c r="B56" s="792"/>
      <c r="C56" s="333"/>
      <c r="D56" s="565"/>
      <c r="E56" s="22"/>
      <c r="F56" s="334"/>
      <c r="G56" s="335"/>
      <c r="H56" s="22"/>
      <c r="I56" s="22"/>
      <c r="J56" s="336" t="str">
        <f t="shared" si="11"/>
        <v/>
      </c>
      <c r="K56" s="337"/>
      <c r="L56" s="338" t="str">
        <f t="shared" si="12"/>
        <v/>
      </c>
      <c r="M56" s="20" t="str">
        <f t="shared" si="13"/>
        <v/>
      </c>
      <c r="N56" s="20" t="str">
        <f t="shared" si="14"/>
        <v/>
      </c>
      <c r="O56" s="37" t="str">
        <f t="shared" si="15"/>
        <v/>
      </c>
      <c r="P56" s="20" t="str">
        <f t="shared" si="16"/>
        <v/>
      </c>
      <c r="Q56" s="20" t="str">
        <f t="shared" si="17"/>
        <v/>
      </c>
      <c r="R56" s="20" t="str">
        <f t="shared" si="18"/>
        <v/>
      </c>
      <c r="S56" s="20" t="str">
        <f t="shared" si="19"/>
        <v/>
      </c>
      <c r="T56" s="283"/>
      <c r="U56" s="282"/>
      <c r="V56" s="577" t="str" cm="1">
        <f t="array" ref="V56">IF(OR(S56="",J56=""),"",_xlfn.IFS((IFERROR(VALUE(TRIM(SUBSTITUTE(S56,CHAR(160),""))),0))&gt;(IFERROR(VALUE(TRIM(SUBSTITUTE(J56,CHAR(160),""))),0)),"KO : Le montant retenu est supérieur au montant présenté. Merci de revoir la ligne de contribution ou plafonner son montant.",(IFERROR(VALUE(TRIM(SUBSTITUTE(J56,CHAR(160),""))),0))=0,"",(IFERROR(VALUE(TRIM(SUBSTITUTE(S56,CHAR(160),""))),0))=(IFERROR(VALUE(TRIM(SUBSTITUTE(J56,CHAR(160),""))),0)),"OK",(IFERROR(VALUE(TRIM(SUBSTITUTE(S56,CHAR(160),""))),0))&lt;(IFERROR(VALUE(TRIM(SUBSTITUTE(J56,CHAR(160),""))),0)),"Attention : montant présenté partiellement écarté ",TRUE,""))</f>
        <v/>
      </c>
      <c r="W56" s="20" t="str">
        <f t="shared" si="9"/>
        <v/>
      </c>
    </row>
    <row r="57" spans="1:23" ht="15" customHeight="1">
      <c r="A57" s="791">
        <v>48</v>
      </c>
      <c r="B57" s="792"/>
      <c r="C57" s="333"/>
      <c r="D57" s="565"/>
      <c r="E57" s="22"/>
      <c r="F57" s="334"/>
      <c r="G57" s="335"/>
      <c r="H57" s="22"/>
      <c r="I57" s="22"/>
      <c r="J57" s="336" t="str">
        <f t="shared" si="11"/>
        <v/>
      </c>
      <c r="K57" s="337"/>
      <c r="L57" s="338" t="str">
        <f t="shared" si="12"/>
        <v/>
      </c>
      <c r="M57" s="20" t="str">
        <f t="shared" si="13"/>
        <v/>
      </c>
      <c r="N57" s="20" t="str">
        <f t="shared" si="14"/>
        <v/>
      </c>
      <c r="O57" s="37" t="str">
        <f t="shared" si="15"/>
        <v/>
      </c>
      <c r="P57" s="20" t="str">
        <f t="shared" si="16"/>
        <v/>
      </c>
      <c r="Q57" s="20" t="str">
        <f t="shared" si="17"/>
        <v/>
      </c>
      <c r="R57" s="20" t="str">
        <f t="shared" si="18"/>
        <v/>
      </c>
      <c r="S57" s="20" t="str">
        <f t="shared" si="19"/>
        <v/>
      </c>
      <c r="T57" s="283"/>
      <c r="U57" s="282"/>
      <c r="V57" s="577" t="str" cm="1">
        <f t="array" ref="V57">IF(OR(S57="",J57=""),"",_xlfn.IFS((IFERROR(VALUE(TRIM(SUBSTITUTE(S57,CHAR(160),""))),0))&gt;(IFERROR(VALUE(TRIM(SUBSTITUTE(J57,CHAR(160),""))),0)),"KO : Le montant retenu est supérieur au montant présenté. Merci de revoir la ligne de contribution ou plafonner son montant.",(IFERROR(VALUE(TRIM(SUBSTITUTE(J57,CHAR(160),""))),0))=0,"",(IFERROR(VALUE(TRIM(SUBSTITUTE(S57,CHAR(160),""))),0))=(IFERROR(VALUE(TRIM(SUBSTITUTE(J57,CHAR(160),""))),0)),"OK",(IFERROR(VALUE(TRIM(SUBSTITUTE(S57,CHAR(160),""))),0))&lt;(IFERROR(VALUE(TRIM(SUBSTITUTE(J57,CHAR(160),""))),0)),"Attention : montant présenté partiellement écarté ",TRUE,""))</f>
        <v/>
      </c>
      <c r="W57" s="20" t="str">
        <f t="shared" si="9"/>
        <v/>
      </c>
    </row>
    <row r="58" spans="1:23" ht="15" customHeight="1">
      <c r="A58" s="791">
        <v>49</v>
      </c>
      <c r="B58" s="792"/>
      <c r="C58" s="333"/>
      <c r="D58" s="565"/>
      <c r="E58" s="22"/>
      <c r="F58" s="334"/>
      <c r="G58" s="335"/>
      <c r="H58" s="22"/>
      <c r="I58" s="22"/>
      <c r="J58" s="336" t="str">
        <f t="shared" si="11"/>
        <v/>
      </c>
      <c r="K58" s="337"/>
      <c r="L58" s="338" t="str">
        <f t="shared" si="12"/>
        <v/>
      </c>
      <c r="M58" s="20" t="str">
        <f t="shared" si="13"/>
        <v/>
      </c>
      <c r="N58" s="20" t="str">
        <f t="shared" si="14"/>
        <v/>
      </c>
      <c r="O58" s="37" t="str">
        <f t="shared" si="15"/>
        <v/>
      </c>
      <c r="P58" s="20" t="str">
        <f t="shared" si="16"/>
        <v/>
      </c>
      <c r="Q58" s="20" t="str">
        <f t="shared" si="17"/>
        <v/>
      </c>
      <c r="R58" s="20" t="str">
        <f t="shared" si="18"/>
        <v/>
      </c>
      <c r="S58" s="20" t="str">
        <f t="shared" si="19"/>
        <v/>
      </c>
      <c r="T58" s="283"/>
      <c r="U58" s="282"/>
      <c r="V58" s="577" t="str" cm="1">
        <f t="array" ref="V58">IF(OR(S58="",J58=""),"",_xlfn.IFS((IFERROR(VALUE(TRIM(SUBSTITUTE(S58,CHAR(160),""))),0))&gt;(IFERROR(VALUE(TRIM(SUBSTITUTE(J58,CHAR(160),""))),0)),"KO : Le montant retenu est supérieur au montant présenté. Merci de revoir la ligne de contribution ou plafonner son montant.",(IFERROR(VALUE(TRIM(SUBSTITUTE(J58,CHAR(160),""))),0))=0,"",(IFERROR(VALUE(TRIM(SUBSTITUTE(S58,CHAR(160),""))),0))=(IFERROR(VALUE(TRIM(SUBSTITUTE(J58,CHAR(160),""))),0)),"OK",(IFERROR(VALUE(TRIM(SUBSTITUTE(S58,CHAR(160),""))),0))&lt;(IFERROR(VALUE(TRIM(SUBSTITUTE(J58,CHAR(160),""))),0)),"Attention : montant présenté partiellement écarté ",TRUE,""))</f>
        <v/>
      </c>
      <c r="W58" s="20" t="str">
        <f t="shared" si="9"/>
        <v/>
      </c>
    </row>
    <row r="59" spans="1:23" ht="15" customHeight="1">
      <c r="A59" s="791">
        <v>50</v>
      </c>
      <c r="B59" s="792"/>
      <c r="C59" s="333"/>
      <c r="D59" s="565"/>
      <c r="E59" s="22"/>
      <c r="F59" s="334"/>
      <c r="G59" s="335"/>
      <c r="H59" s="22"/>
      <c r="I59" s="22"/>
      <c r="J59" s="336" t="str">
        <f t="shared" si="11"/>
        <v/>
      </c>
      <c r="K59" s="337"/>
      <c r="L59" s="338" t="str">
        <f t="shared" si="12"/>
        <v/>
      </c>
      <c r="M59" s="20" t="str">
        <f t="shared" si="13"/>
        <v/>
      </c>
      <c r="N59" s="20" t="str">
        <f t="shared" si="14"/>
        <v/>
      </c>
      <c r="O59" s="37" t="str">
        <f t="shared" si="15"/>
        <v/>
      </c>
      <c r="P59" s="20" t="str">
        <f t="shared" si="16"/>
        <v/>
      </c>
      <c r="Q59" s="20" t="str">
        <f t="shared" si="17"/>
        <v/>
      </c>
      <c r="R59" s="20" t="str">
        <f t="shared" si="18"/>
        <v/>
      </c>
      <c r="S59" s="20" t="str">
        <f t="shared" si="19"/>
        <v/>
      </c>
      <c r="T59" s="283"/>
      <c r="U59" s="282"/>
      <c r="V59" s="577" t="str" cm="1">
        <f t="array" ref="V59">IF(OR(S59="",J59=""),"",_xlfn.IFS((IFERROR(VALUE(TRIM(SUBSTITUTE(S59,CHAR(160),""))),0))&gt;(IFERROR(VALUE(TRIM(SUBSTITUTE(J59,CHAR(160),""))),0)),"KO : Le montant retenu est supérieur au montant présenté. Merci de revoir la ligne de contribution ou plafonner son montant.",(IFERROR(VALUE(TRIM(SUBSTITUTE(J59,CHAR(160),""))),0))=0,"",(IFERROR(VALUE(TRIM(SUBSTITUTE(S59,CHAR(160),""))),0))=(IFERROR(VALUE(TRIM(SUBSTITUTE(J59,CHAR(160),""))),0)),"OK",(IFERROR(VALUE(TRIM(SUBSTITUTE(S59,CHAR(160),""))),0))&lt;(IFERROR(VALUE(TRIM(SUBSTITUTE(J59,CHAR(160),""))),0)),"Attention : montant présenté partiellement écarté ",TRUE,""))</f>
        <v/>
      </c>
      <c r="W59" s="20" t="str">
        <f t="shared" si="9"/>
        <v/>
      </c>
    </row>
    <row r="60" spans="1:23" ht="15" customHeight="1">
      <c r="A60" s="791">
        <v>51</v>
      </c>
      <c r="B60" s="792"/>
      <c r="C60" s="333"/>
      <c r="D60" s="565"/>
      <c r="E60" s="22"/>
      <c r="F60" s="334"/>
      <c r="G60" s="335"/>
      <c r="H60" s="22"/>
      <c r="I60" s="22"/>
      <c r="J60" s="336" t="str">
        <f t="shared" si="11"/>
        <v/>
      </c>
      <c r="K60" s="337"/>
      <c r="L60" s="338" t="str">
        <f t="shared" si="12"/>
        <v/>
      </c>
      <c r="M60" s="20" t="str">
        <f t="shared" si="13"/>
        <v/>
      </c>
      <c r="N60" s="20" t="str">
        <f t="shared" si="14"/>
        <v/>
      </c>
      <c r="O60" s="37" t="str">
        <f t="shared" si="15"/>
        <v/>
      </c>
      <c r="P60" s="20" t="str">
        <f t="shared" si="16"/>
        <v/>
      </c>
      <c r="Q60" s="20" t="str">
        <f t="shared" si="17"/>
        <v/>
      </c>
      <c r="R60" s="20" t="str">
        <f t="shared" si="18"/>
        <v/>
      </c>
      <c r="S60" s="20" t="str">
        <f t="shared" si="19"/>
        <v/>
      </c>
      <c r="T60" s="283"/>
      <c r="U60" s="282"/>
      <c r="V60" s="577" t="str" cm="1">
        <f t="array" ref="V60">IF(OR(S60="",J60=""),"",_xlfn.IFS((IFERROR(VALUE(TRIM(SUBSTITUTE(S60,CHAR(160),""))),0))&gt;(IFERROR(VALUE(TRIM(SUBSTITUTE(J60,CHAR(160),""))),0)),"KO : Le montant retenu est supérieur au montant présenté. Merci de revoir la ligne de contribution ou plafonner son montant.",(IFERROR(VALUE(TRIM(SUBSTITUTE(J60,CHAR(160),""))),0))=0,"",(IFERROR(VALUE(TRIM(SUBSTITUTE(S60,CHAR(160),""))),0))=(IFERROR(VALUE(TRIM(SUBSTITUTE(J60,CHAR(160),""))),0)),"OK",(IFERROR(VALUE(TRIM(SUBSTITUTE(S60,CHAR(160),""))),0))&lt;(IFERROR(VALUE(TRIM(SUBSTITUTE(J60,CHAR(160),""))),0)),"Attention : montant présenté partiellement écarté ",TRUE,""))</f>
        <v/>
      </c>
      <c r="W60" s="20" t="str">
        <f t="shared" si="9"/>
        <v/>
      </c>
    </row>
    <row r="61" spans="1:23" ht="15" customHeight="1">
      <c r="A61" s="791">
        <v>52</v>
      </c>
      <c r="B61" s="792"/>
      <c r="C61" s="333"/>
      <c r="D61" s="565"/>
      <c r="E61" s="22"/>
      <c r="F61" s="334"/>
      <c r="G61" s="335"/>
      <c r="H61" s="22"/>
      <c r="I61" s="22"/>
      <c r="J61" s="336" t="str">
        <f t="shared" si="11"/>
        <v/>
      </c>
      <c r="K61" s="337"/>
      <c r="L61" s="338" t="str">
        <f t="shared" si="12"/>
        <v/>
      </c>
      <c r="M61" s="20" t="str">
        <f t="shared" si="13"/>
        <v/>
      </c>
      <c r="N61" s="20" t="str">
        <f t="shared" si="14"/>
        <v/>
      </c>
      <c r="O61" s="37" t="str">
        <f t="shared" si="15"/>
        <v/>
      </c>
      <c r="P61" s="20" t="str">
        <f t="shared" si="16"/>
        <v/>
      </c>
      <c r="Q61" s="20" t="str">
        <f t="shared" si="17"/>
        <v/>
      </c>
      <c r="R61" s="20" t="str">
        <f t="shared" si="18"/>
        <v/>
      </c>
      <c r="S61" s="20" t="str">
        <f t="shared" si="19"/>
        <v/>
      </c>
      <c r="T61" s="283"/>
      <c r="U61" s="282"/>
      <c r="V61" s="577" t="str" cm="1">
        <f t="array" ref="V61">IF(OR(S61="",J61=""),"",_xlfn.IFS((IFERROR(VALUE(TRIM(SUBSTITUTE(S61,CHAR(160),""))),0))&gt;(IFERROR(VALUE(TRIM(SUBSTITUTE(J61,CHAR(160),""))),0)),"KO : Le montant retenu est supérieur au montant présenté. Merci de revoir la ligne de contribution ou plafonner son montant.",(IFERROR(VALUE(TRIM(SUBSTITUTE(J61,CHAR(160),""))),0))=0,"",(IFERROR(VALUE(TRIM(SUBSTITUTE(S61,CHAR(160),""))),0))=(IFERROR(VALUE(TRIM(SUBSTITUTE(J61,CHAR(160),""))),0)),"OK",(IFERROR(VALUE(TRIM(SUBSTITUTE(S61,CHAR(160),""))),0))&lt;(IFERROR(VALUE(TRIM(SUBSTITUTE(J61,CHAR(160),""))),0)),"Attention : montant présenté partiellement écarté ",TRUE,""))</f>
        <v/>
      </c>
      <c r="W61" s="20" t="str">
        <f t="shared" si="9"/>
        <v/>
      </c>
    </row>
    <row r="62" spans="1:23" ht="15" customHeight="1">
      <c r="A62" s="791">
        <v>53</v>
      </c>
      <c r="B62" s="792"/>
      <c r="C62" s="333"/>
      <c r="D62" s="565"/>
      <c r="E62" s="22"/>
      <c r="F62" s="334"/>
      <c r="G62" s="335"/>
      <c r="H62" s="22"/>
      <c r="I62" s="22"/>
      <c r="J62" s="336" t="str">
        <f t="shared" si="11"/>
        <v/>
      </c>
      <c r="K62" s="337"/>
      <c r="L62" s="338" t="str">
        <f t="shared" si="12"/>
        <v/>
      </c>
      <c r="M62" s="20" t="str">
        <f t="shared" si="13"/>
        <v/>
      </c>
      <c r="N62" s="20" t="str">
        <f t="shared" si="14"/>
        <v/>
      </c>
      <c r="O62" s="37" t="str">
        <f t="shared" si="15"/>
        <v/>
      </c>
      <c r="P62" s="20" t="str">
        <f t="shared" si="16"/>
        <v/>
      </c>
      <c r="Q62" s="20" t="str">
        <f t="shared" si="17"/>
        <v/>
      </c>
      <c r="R62" s="20" t="str">
        <f t="shared" si="18"/>
        <v/>
      </c>
      <c r="S62" s="20" t="str">
        <f t="shared" si="19"/>
        <v/>
      </c>
      <c r="T62" s="283"/>
      <c r="U62" s="282"/>
      <c r="V62" s="577" t="str" cm="1">
        <f t="array" ref="V62">IF(OR(S62="",J62=""),"",_xlfn.IFS((IFERROR(VALUE(TRIM(SUBSTITUTE(S62,CHAR(160),""))),0))&gt;(IFERROR(VALUE(TRIM(SUBSTITUTE(J62,CHAR(160),""))),0)),"KO : Le montant retenu est supérieur au montant présenté. Merci de revoir la ligne de contribution ou plafonner son montant.",(IFERROR(VALUE(TRIM(SUBSTITUTE(J62,CHAR(160),""))),0))=0,"",(IFERROR(VALUE(TRIM(SUBSTITUTE(S62,CHAR(160),""))),0))=(IFERROR(VALUE(TRIM(SUBSTITUTE(J62,CHAR(160),""))),0)),"OK",(IFERROR(VALUE(TRIM(SUBSTITUTE(S62,CHAR(160),""))),0))&lt;(IFERROR(VALUE(TRIM(SUBSTITUTE(J62,CHAR(160),""))),0)),"Attention : montant présenté partiellement écarté ",TRUE,""))</f>
        <v/>
      </c>
      <c r="W62" s="20" t="str">
        <f t="shared" si="9"/>
        <v/>
      </c>
    </row>
    <row r="63" spans="1:23" ht="15" customHeight="1">
      <c r="A63" s="791">
        <v>54</v>
      </c>
      <c r="B63" s="792"/>
      <c r="C63" s="333"/>
      <c r="D63" s="565"/>
      <c r="E63" s="22"/>
      <c r="F63" s="334"/>
      <c r="G63" s="335"/>
      <c r="H63" s="22"/>
      <c r="I63" s="22"/>
      <c r="J63" s="336" t="str">
        <f t="shared" si="11"/>
        <v/>
      </c>
      <c r="K63" s="337"/>
      <c r="L63" s="338" t="str">
        <f t="shared" si="12"/>
        <v/>
      </c>
      <c r="M63" s="20" t="str">
        <f t="shared" si="13"/>
        <v/>
      </c>
      <c r="N63" s="20" t="str">
        <f t="shared" si="14"/>
        <v/>
      </c>
      <c r="O63" s="37" t="str">
        <f t="shared" si="15"/>
        <v/>
      </c>
      <c r="P63" s="20" t="str">
        <f t="shared" si="16"/>
        <v/>
      </c>
      <c r="Q63" s="20" t="str">
        <f t="shared" si="17"/>
        <v/>
      </c>
      <c r="R63" s="20" t="str">
        <f t="shared" si="18"/>
        <v/>
      </c>
      <c r="S63" s="20" t="str">
        <f t="shared" si="19"/>
        <v/>
      </c>
      <c r="T63" s="283"/>
      <c r="U63" s="282"/>
      <c r="V63" s="577" t="str" cm="1">
        <f t="array" ref="V63">IF(OR(S63="",J63=""),"",_xlfn.IFS((IFERROR(VALUE(TRIM(SUBSTITUTE(S63,CHAR(160),""))),0))&gt;(IFERROR(VALUE(TRIM(SUBSTITUTE(J63,CHAR(160),""))),0)),"KO : Le montant retenu est supérieur au montant présenté. Merci de revoir la ligne de contribution ou plafonner son montant.",(IFERROR(VALUE(TRIM(SUBSTITUTE(J63,CHAR(160),""))),0))=0,"",(IFERROR(VALUE(TRIM(SUBSTITUTE(S63,CHAR(160),""))),0))=(IFERROR(VALUE(TRIM(SUBSTITUTE(J63,CHAR(160),""))),0)),"OK",(IFERROR(VALUE(TRIM(SUBSTITUTE(S63,CHAR(160),""))),0))&lt;(IFERROR(VALUE(TRIM(SUBSTITUTE(J63,CHAR(160),""))),0)),"Attention : montant présenté partiellement écarté ",TRUE,""))</f>
        <v/>
      </c>
      <c r="W63" s="20" t="str">
        <f t="shared" si="9"/>
        <v/>
      </c>
    </row>
    <row r="64" spans="1:23" ht="15" customHeight="1">
      <c r="A64" s="791">
        <v>55</v>
      </c>
      <c r="B64" s="792"/>
      <c r="C64" s="333"/>
      <c r="D64" s="565"/>
      <c r="E64" s="22"/>
      <c r="F64" s="334"/>
      <c r="G64" s="335"/>
      <c r="H64" s="22"/>
      <c r="I64" s="22"/>
      <c r="J64" s="336" t="str">
        <f t="shared" si="11"/>
        <v/>
      </c>
      <c r="K64" s="337"/>
      <c r="L64" s="338" t="str">
        <f t="shared" si="12"/>
        <v/>
      </c>
      <c r="M64" s="20" t="str">
        <f t="shared" si="13"/>
        <v/>
      </c>
      <c r="N64" s="20" t="str">
        <f t="shared" si="14"/>
        <v/>
      </c>
      <c r="O64" s="37" t="str">
        <f t="shared" si="15"/>
        <v/>
      </c>
      <c r="P64" s="20" t="str">
        <f t="shared" si="16"/>
        <v/>
      </c>
      <c r="Q64" s="20" t="str">
        <f t="shared" si="17"/>
        <v/>
      </c>
      <c r="R64" s="20" t="str">
        <f t="shared" si="18"/>
        <v/>
      </c>
      <c r="S64" s="20" t="str">
        <f t="shared" si="19"/>
        <v/>
      </c>
      <c r="T64" s="283"/>
      <c r="U64" s="282"/>
      <c r="V64" s="577" t="str" cm="1">
        <f t="array" ref="V64">IF(OR(S64="",J64=""),"",_xlfn.IFS((IFERROR(VALUE(TRIM(SUBSTITUTE(S64,CHAR(160),""))),0))&gt;(IFERROR(VALUE(TRIM(SUBSTITUTE(J64,CHAR(160),""))),0)),"KO : Le montant retenu est supérieur au montant présenté. Merci de revoir la ligne de contribution ou plafonner son montant.",(IFERROR(VALUE(TRIM(SUBSTITUTE(J64,CHAR(160),""))),0))=0,"",(IFERROR(VALUE(TRIM(SUBSTITUTE(S64,CHAR(160),""))),0))=(IFERROR(VALUE(TRIM(SUBSTITUTE(J64,CHAR(160),""))),0)),"OK",(IFERROR(VALUE(TRIM(SUBSTITUTE(S64,CHAR(160),""))),0))&lt;(IFERROR(VALUE(TRIM(SUBSTITUTE(J64,CHAR(160),""))),0)),"Attention : montant présenté partiellement écarté ",TRUE,""))</f>
        <v/>
      </c>
      <c r="W64" s="20" t="str">
        <f t="shared" si="9"/>
        <v/>
      </c>
    </row>
    <row r="65" spans="1:23" ht="15" customHeight="1">
      <c r="A65" s="791">
        <v>56</v>
      </c>
      <c r="B65" s="792"/>
      <c r="C65" s="333"/>
      <c r="D65" s="565"/>
      <c r="E65" s="22"/>
      <c r="F65" s="334"/>
      <c r="G65" s="335"/>
      <c r="H65" s="22"/>
      <c r="I65" s="22"/>
      <c r="J65" s="336" t="str">
        <f t="shared" si="11"/>
        <v/>
      </c>
      <c r="K65" s="337"/>
      <c r="L65" s="338" t="str">
        <f t="shared" si="12"/>
        <v/>
      </c>
      <c r="M65" s="20" t="str">
        <f t="shared" si="13"/>
        <v/>
      </c>
      <c r="N65" s="20" t="str">
        <f t="shared" si="14"/>
        <v/>
      </c>
      <c r="O65" s="37" t="str">
        <f t="shared" si="15"/>
        <v/>
      </c>
      <c r="P65" s="20" t="str">
        <f t="shared" si="16"/>
        <v/>
      </c>
      <c r="Q65" s="20" t="str">
        <f t="shared" si="17"/>
        <v/>
      </c>
      <c r="R65" s="20" t="str">
        <f t="shared" si="18"/>
        <v/>
      </c>
      <c r="S65" s="20" t="str">
        <f t="shared" si="19"/>
        <v/>
      </c>
      <c r="T65" s="283"/>
      <c r="U65" s="282"/>
      <c r="V65" s="577" t="str" cm="1">
        <f t="array" ref="V65">IF(OR(S65="",J65=""),"",_xlfn.IFS((IFERROR(VALUE(TRIM(SUBSTITUTE(S65,CHAR(160),""))),0))&gt;(IFERROR(VALUE(TRIM(SUBSTITUTE(J65,CHAR(160),""))),0)),"KO : Le montant retenu est supérieur au montant présenté. Merci de revoir la ligne de contribution ou plafonner son montant.",(IFERROR(VALUE(TRIM(SUBSTITUTE(J65,CHAR(160),""))),0))=0,"",(IFERROR(VALUE(TRIM(SUBSTITUTE(S65,CHAR(160),""))),0))=(IFERROR(VALUE(TRIM(SUBSTITUTE(J65,CHAR(160),""))),0)),"OK",(IFERROR(VALUE(TRIM(SUBSTITUTE(S65,CHAR(160),""))),0))&lt;(IFERROR(VALUE(TRIM(SUBSTITUTE(J65,CHAR(160),""))),0)),"Attention : montant présenté partiellement écarté ",TRUE,""))</f>
        <v/>
      </c>
      <c r="W65" s="20" t="str">
        <f t="shared" si="9"/>
        <v/>
      </c>
    </row>
    <row r="66" spans="1:23" ht="15" customHeight="1">
      <c r="A66" s="791">
        <v>57</v>
      </c>
      <c r="B66" s="792"/>
      <c r="C66" s="333"/>
      <c r="D66" s="565"/>
      <c r="E66" s="22"/>
      <c r="F66" s="334"/>
      <c r="G66" s="335"/>
      <c r="H66" s="22"/>
      <c r="I66" s="22"/>
      <c r="J66" s="336" t="str">
        <f t="shared" si="11"/>
        <v/>
      </c>
      <c r="K66" s="337"/>
      <c r="L66" s="338" t="str">
        <f t="shared" si="12"/>
        <v/>
      </c>
      <c r="M66" s="20" t="str">
        <f t="shared" si="13"/>
        <v/>
      </c>
      <c r="N66" s="20" t="str">
        <f t="shared" si="14"/>
        <v/>
      </c>
      <c r="O66" s="37" t="str">
        <f t="shared" si="15"/>
        <v/>
      </c>
      <c r="P66" s="20" t="str">
        <f t="shared" si="16"/>
        <v/>
      </c>
      <c r="Q66" s="20" t="str">
        <f t="shared" si="17"/>
        <v/>
      </c>
      <c r="R66" s="20" t="str">
        <f t="shared" si="18"/>
        <v/>
      </c>
      <c r="S66" s="20" t="str">
        <f t="shared" si="19"/>
        <v/>
      </c>
      <c r="T66" s="283"/>
      <c r="U66" s="282"/>
      <c r="V66" s="577" t="str" cm="1">
        <f t="array" ref="V66">IF(OR(S66="",J66=""),"",_xlfn.IFS((IFERROR(VALUE(TRIM(SUBSTITUTE(S66,CHAR(160),""))),0))&gt;(IFERROR(VALUE(TRIM(SUBSTITUTE(J66,CHAR(160),""))),0)),"KO : Le montant retenu est supérieur au montant présenté. Merci de revoir la ligne de contribution ou plafonner son montant.",(IFERROR(VALUE(TRIM(SUBSTITUTE(J66,CHAR(160),""))),0))=0,"",(IFERROR(VALUE(TRIM(SUBSTITUTE(S66,CHAR(160),""))),0))=(IFERROR(VALUE(TRIM(SUBSTITUTE(J66,CHAR(160),""))),0)),"OK",(IFERROR(VALUE(TRIM(SUBSTITUTE(S66,CHAR(160),""))),0))&lt;(IFERROR(VALUE(TRIM(SUBSTITUTE(J66,CHAR(160),""))),0)),"Attention : montant présenté partiellement écarté ",TRUE,""))</f>
        <v/>
      </c>
      <c r="W66" s="20" t="str">
        <f t="shared" si="9"/>
        <v/>
      </c>
    </row>
    <row r="67" spans="1:23" ht="15" customHeight="1">
      <c r="A67" s="791">
        <v>58</v>
      </c>
      <c r="B67" s="792"/>
      <c r="C67" s="333"/>
      <c r="D67" s="565"/>
      <c r="E67" s="22"/>
      <c r="F67" s="334"/>
      <c r="G67" s="335"/>
      <c r="H67" s="22"/>
      <c r="I67" s="22"/>
      <c r="J67" s="336" t="str">
        <f t="shared" si="11"/>
        <v/>
      </c>
      <c r="K67" s="337"/>
      <c r="L67" s="338" t="str">
        <f t="shared" si="12"/>
        <v/>
      </c>
      <c r="M67" s="20" t="str">
        <f t="shared" si="13"/>
        <v/>
      </c>
      <c r="N67" s="20" t="str">
        <f t="shared" si="14"/>
        <v/>
      </c>
      <c r="O67" s="37" t="str">
        <f t="shared" si="15"/>
        <v/>
      </c>
      <c r="P67" s="20" t="str">
        <f t="shared" si="16"/>
        <v/>
      </c>
      <c r="Q67" s="20" t="str">
        <f t="shared" si="17"/>
        <v/>
      </c>
      <c r="R67" s="20" t="str">
        <f t="shared" si="18"/>
        <v/>
      </c>
      <c r="S67" s="20" t="str">
        <f t="shared" si="19"/>
        <v/>
      </c>
      <c r="T67" s="283"/>
      <c r="U67" s="282"/>
      <c r="V67" s="577" t="str" cm="1">
        <f t="array" ref="V67">IF(OR(S67="",J67=""),"",_xlfn.IFS((IFERROR(VALUE(TRIM(SUBSTITUTE(S67,CHAR(160),""))),0))&gt;(IFERROR(VALUE(TRIM(SUBSTITUTE(J67,CHAR(160),""))),0)),"KO : Le montant retenu est supérieur au montant présenté. Merci de revoir la ligne de contribution ou plafonner son montant.",(IFERROR(VALUE(TRIM(SUBSTITUTE(J67,CHAR(160),""))),0))=0,"",(IFERROR(VALUE(TRIM(SUBSTITUTE(S67,CHAR(160),""))),0))=(IFERROR(VALUE(TRIM(SUBSTITUTE(J67,CHAR(160),""))),0)),"OK",(IFERROR(VALUE(TRIM(SUBSTITUTE(S67,CHAR(160),""))),0))&lt;(IFERROR(VALUE(TRIM(SUBSTITUTE(J67,CHAR(160),""))),0)),"Attention : montant présenté partiellement écarté ",TRUE,""))</f>
        <v/>
      </c>
      <c r="W67" s="20" t="str">
        <f t="shared" si="9"/>
        <v/>
      </c>
    </row>
    <row r="68" spans="1:23" ht="15" customHeight="1">
      <c r="A68" s="791">
        <v>59</v>
      </c>
      <c r="B68" s="792"/>
      <c r="C68" s="333"/>
      <c r="D68" s="565"/>
      <c r="E68" s="22"/>
      <c r="F68" s="334"/>
      <c r="G68" s="335"/>
      <c r="H68" s="22"/>
      <c r="I68" s="22"/>
      <c r="J68" s="336" t="str">
        <f t="shared" si="11"/>
        <v/>
      </c>
      <c r="K68" s="337"/>
      <c r="L68" s="338" t="str">
        <f t="shared" si="12"/>
        <v/>
      </c>
      <c r="M68" s="20" t="str">
        <f t="shared" si="13"/>
        <v/>
      </c>
      <c r="N68" s="20" t="str">
        <f t="shared" si="14"/>
        <v/>
      </c>
      <c r="O68" s="37" t="str">
        <f t="shared" si="15"/>
        <v/>
      </c>
      <c r="P68" s="20" t="str">
        <f t="shared" si="16"/>
        <v/>
      </c>
      <c r="Q68" s="20" t="str">
        <f t="shared" si="17"/>
        <v/>
      </c>
      <c r="R68" s="20" t="str">
        <f t="shared" si="18"/>
        <v/>
      </c>
      <c r="S68" s="20" t="str">
        <f t="shared" si="19"/>
        <v/>
      </c>
      <c r="T68" s="283"/>
      <c r="U68" s="282"/>
      <c r="V68" s="577" t="str" cm="1">
        <f t="array" ref="V68">IF(OR(S68="",J68=""),"",_xlfn.IFS((IFERROR(VALUE(TRIM(SUBSTITUTE(S68,CHAR(160),""))),0))&gt;(IFERROR(VALUE(TRIM(SUBSTITUTE(J68,CHAR(160),""))),0)),"KO : Le montant retenu est supérieur au montant présenté. Merci de revoir la ligne de contribution ou plafonner son montant.",(IFERROR(VALUE(TRIM(SUBSTITUTE(J68,CHAR(160),""))),0))=0,"",(IFERROR(VALUE(TRIM(SUBSTITUTE(S68,CHAR(160),""))),0))=(IFERROR(VALUE(TRIM(SUBSTITUTE(J68,CHAR(160),""))),0)),"OK",(IFERROR(VALUE(TRIM(SUBSTITUTE(S68,CHAR(160),""))),0))&lt;(IFERROR(VALUE(TRIM(SUBSTITUTE(J68,CHAR(160),""))),0)),"Attention : montant présenté partiellement écarté ",TRUE,""))</f>
        <v/>
      </c>
      <c r="W68" s="20" t="str">
        <f t="shared" si="9"/>
        <v/>
      </c>
    </row>
    <row r="69" spans="1:23" ht="15" customHeight="1">
      <c r="A69" s="791">
        <v>60</v>
      </c>
      <c r="B69" s="792"/>
      <c r="C69" s="333"/>
      <c r="D69" s="565"/>
      <c r="E69" s="22"/>
      <c r="F69" s="334"/>
      <c r="G69" s="335"/>
      <c r="H69" s="22"/>
      <c r="I69" s="22"/>
      <c r="J69" s="336" t="str">
        <f t="shared" si="11"/>
        <v/>
      </c>
      <c r="K69" s="337"/>
      <c r="L69" s="338" t="str">
        <f t="shared" si="12"/>
        <v/>
      </c>
      <c r="M69" s="20" t="str">
        <f t="shared" si="13"/>
        <v/>
      </c>
      <c r="N69" s="20" t="str">
        <f t="shared" si="14"/>
        <v/>
      </c>
      <c r="O69" s="37" t="str">
        <f t="shared" si="15"/>
        <v/>
      </c>
      <c r="P69" s="20" t="str">
        <f t="shared" si="16"/>
        <v/>
      </c>
      <c r="Q69" s="20" t="str">
        <f t="shared" si="17"/>
        <v/>
      </c>
      <c r="R69" s="20" t="str">
        <f t="shared" si="18"/>
        <v/>
      </c>
      <c r="S69" s="20" t="str">
        <f t="shared" si="19"/>
        <v/>
      </c>
      <c r="T69" s="283"/>
      <c r="U69" s="282"/>
      <c r="V69" s="577" t="str" cm="1">
        <f t="array" ref="V69">IF(OR(S69="",J69=""),"",_xlfn.IFS((IFERROR(VALUE(TRIM(SUBSTITUTE(S69,CHAR(160),""))),0))&gt;(IFERROR(VALUE(TRIM(SUBSTITUTE(J69,CHAR(160),""))),0)),"KO : Le montant retenu est supérieur au montant présenté. Merci de revoir la ligne de contribution ou plafonner son montant.",(IFERROR(VALUE(TRIM(SUBSTITUTE(J69,CHAR(160),""))),0))=0,"",(IFERROR(VALUE(TRIM(SUBSTITUTE(S69,CHAR(160),""))),0))=(IFERROR(VALUE(TRIM(SUBSTITUTE(J69,CHAR(160),""))),0)),"OK",(IFERROR(VALUE(TRIM(SUBSTITUTE(S69,CHAR(160),""))),0))&lt;(IFERROR(VALUE(TRIM(SUBSTITUTE(J69,CHAR(160),""))),0)),"Attention : montant présenté partiellement écarté ",TRUE,""))</f>
        <v/>
      </c>
      <c r="W69" s="20" t="str">
        <f t="shared" si="9"/>
        <v/>
      </c>
    </row>
    <row r="70" spans="1:23" ht="15" customHeight="1">
      <c r="A70" s="791">
        <v>61</v>
      </c>
      <c r="B70" s="792"/>
      <c r="C70" s="333"/>
      <c r="D70" s="565"/>
      <c r="E70" s="22"/>
      <c r="F70" s="334"/>
      <c r="G70" s="335"/>
      <c r="H70" s="22"/>
      <c r="I70" s="22"/>
      <c r="J70" s="336" t="str">
        <f t="shared" si="11"/>
        <v/>
      </c>
      <c r="K70" s="337"/>
      <c r="L70" s="338" t="str">
        <f t="shared" si="12"/>
        <v/>
      </c>
      <c r="M70" s="20" t="str">
        <f t="shared" si="13"/>
        <v/>
      </c>
      <c r="N70" s="20" t="str">
        <f t="shared" si="14"/>
        <v/>
      </c>
      <c r="O70" s="37" t="str">
        <f t="shared" si="15"/>
        <v/>
      </c>
      <c r="P70" s="20" t="str">
        <f t="shared" si="16"/>
        <v/>
      </c>
      <c r="Q70" s="20" t="str">
        <f t="shared" si="17"/>
        <v/>
      </c>
      <c r="R70" s="20" t="str">
        <f t="shared" si="18"/>
        <v/>
      </c>
      <c r="S70" s="20" t="str">
        <f t="shared" si="19"/>
        <v/>
      </c>
      <c r="T70" s="283"/>
      <c r="U70" s="282"/>
      <c r="V70" s="577" t="str" cm="1">
        <f t="array" ref="V70">IF(OR(S70="",J70=""),"",_xlfn.IFS((IFERROR(VALUE(TRIM(SUBSTITUTE(S70,CHAR(160),""))),0))&gt;(IFERROR(VALUE(TRIM(SUBSTITUTE(J70,CHAR(160),""))),0)),"KO : Le montant retenu est supérieur au montant présenté. Merci de revoir la ligne de contribution ou plafonner son montant.",(IFERROR(VALUE(TRIM(SUBSTITUTE(J70,CHAR(160),""))),0))=0,"",(IFERROR(VALUE(TRIM(SUBSTITUTE(S70,CHAR(160),""))),0))=(IFERROR(VALUE(TRIM(SUBSTITUTE(J70,CHAR(160),""))),0)),"OK",(IFERROR(VALUE(TRIM(SUBSTITUTE(S70,CHAR(160),""))),0))&lt;(IFERROR(VALUE(TRIM(SUBSTITUTE(J70,CHAR(160),""))),0)),"Attention : montant présenté partiellement écarté ",TRUE,""))</f>
        <v/>
      </c>
      <c r="W70" s="20" t="str">
        <f t="shared" si="9"/>
        <v/>
      </c>
    </row>
    <row r="71" spans="1:23" ht="15" customHeight="1">
      <c r="A71" s="791">
        <v>62</v>
      </c>
      <c r="B71" s="792"/>
      <c r="C71" s="333"/>
      <c r="D71" s="565"/>
      <c r="E71" s="22"/>
      <c r="F71" s="334"/>
      <c r="G71" s="335"/>
      <c r="H71" s="22"/>
      <c r="I71" s="22"/>
      <c r="J71" s="336" t="str">
        <f t="shared" si="11"/>
        <v/>
      </c>
      <c r="K71" s="337"/>
      <c r="L71" s="338" t="str">
        <f t="shared" si="12"/>
        <v/>
      </c>
      <c r="M71" s="20" t="str">
        <f t="shared" si="13"/>
        <v/>
      </c>
      <c r="N71" s="20" t="str">
        <f t="shared" si="14"/>
        <v/>
      </c>
      <c r="O71" s="37" t="str">
        <f t="shared" si="15"/>
        <v/>
      </c>
      <c r="P71" s="20" t="str">
        <f t="shared" si="16"/>
        <v/>
      </c>
      <c r="Q71" s="20" t="str">
        <f t="shared" si="17"/>
        <v/>
      </c>
      <c r="R71" s="20" t="str">
        <f t="shared" si="18"/>
        <v/>
      </c>
      <c r="S71" s="20" t="str">
        <f t="shared" si="19"/>
        <v/>
      </c>
      <c r="T71" s="283"/>
      <c r="U71" s="282"/>
      <c r="V71" s="577" t="str" cm="1">
        <f t="array" ref="V71">IF(OR(S71="",J71=""),"",_xlfn.IFS((IFERROR(VALUE(TRIM(SUBSTITUTE(S71,CHAR(160),""))),0))&gt;(IFERROR(VALUE(TRIM(SUBSTITUTE(J71,CHAR(160),""))),0)),"KO : Le montant retenu est supérieur au montant présenté. Merci de revoir la ligne de contribution ou plafonner son montant.",(IFERROR(VALUE(TRIM(SUBSTITUTE(J71,CHAR(160),""))),0))=0,"",(IFERROR(VALUE(TRIM(SUBSTITUTE(S71,CHAR(160),""))),0))=(IFERROR(VALUE(TRIM(SUBSTITUTE(J71,CHAR(160),""))),0)),"OK",(IFERROR(VALUE(TRIM(SUBSTITUTE(S71,CHAR(160),""))),0))&lt;(IFERROR(VALUE(TRIM(SUBSTITUTE(J71,CHAR(160),""))),0)),"Attention : montant présenté partiellement écarté ",TRUE,""))</f>
        <v/>
      </c>
      <c r="W71" s="20" t="str">
        <f t="shared" si="9"/>
        <v/>
      </c>
    </row>
    <row r="72" spans="1:23" ht="15" customHeight="1">
      <c r="A72" s="791">
        <v>63</v>
      </c>
      <c r="B72" s="792"/>
      <c r="C72" s="333"/>
      <c r="D72" s="565"/>
      <c r="E72" s="22"/>
      <c r="F72" s="334"/>
      <c r="G72" s="335"/>
      <c r="H72" s="22"/>
      <c r="I72" s="22"/>
      <c r="J72" s="336" t="str">
        <f t="shared" si="11"/>
        <v/>
      </c>
      <c r="K72" s="337"/>
      <c r="L72" s="338" t="str">
        <f t="shared" si="12"/>
        <v/>
      </c>
      <c r="M72" s="20" t="str">
        <f t="shared" si="13"/>
        <v/>
      </c>
      <c r="N72" s="20" t="str">
        <f t="shared" si="14"/>
        <v/>
      </c>
      <c r="O72" s="37" t="str">
        <f t="shared" si="15"/>
        <v/>
      </c>
      <c r="P72" s="20" t="str">
        <f t="shared" si="16"/>
        <v/>
      </c>
      <c r="Q72" s="20" t="str">
        <f t="shared" si="17"/>
        <v/>
      </c>
      <c r="R72" s="20" t="str">
        <f t="shared" si="18"/>
        <v/>
      </c>
      <c r="S72" s="20" t="str">
        <f t="shared" si="19"/>
        <v/>
      </c>
      <c r="T72" s="283"/>
      <c r="U72" s="282"/>
      <c r="V72" s="577" t="str" cm="1">
        <f t="array" ref="V72">IF(OR(S72="",J72=""),"",_xlfn.IFS((IFERROR(VALUE(TRIM(SUBSTITUTE(S72,CHAR(160),""))),0))&gt;(IFERROR(VALUE(TRIM(SUBSTITUTE(J72,CHAR(160),""))),0)),"KO : Le montant retenu est supérieur au montant présenté. Merci de revoir la ligne de contribution ou plafonner son montant.",(IFERROR(VALUE(TRIM(SUBSTITUTE(J72,CHAR(160),""))),0))=0,"",(IFERROR(VALUE(TRIM(SUBSTITUTE(S72,CHAR(160),""))),0))=(IFERROR(VALUE(TRIM(SUBSTITUTE(J72,CHAR(160),""))),0)),"OK",(IFERROR(VALUE(TRIM(SUBSTITUTE(S72,CHAR(160),""))),0))&lt;(IFERROR(VALUE(TRIM(SUBSTITUTE(J72,CHAR(160),""))),0)),"Attention : montant présenté partiellement écarté ",TRUE,""))</f>
        <v/>
      </c>
      <c r="W72" s="20" t="str">
        <f t="shared" si="9"/>
        <v/>
      </c>
    </row>
    <row r="73" spans="1:23" ht="15" customHeight="1">
      <c r="A73" s="791">
        <v>64</v>
      </c>
      <c r="B73" s="792"/>
      <c r="C73" s="333"/>
      <c r="D73" s="565"/>
      <c r="E73" s="22"/>
      <c r="F73" s="334"/>
      <c r="G73" s="335"/>
      <c r="H73" s="22"/>
      <c r="I73" s="22"/>
      <c r="J73" s="336" t="str">
        <f t="shared" ref="J73:J109" si="20">IF(OR(G73="",F73=""),"",IF((IFERROR(VALUE(TRIM(SUBSTITUTE(G73,CHAR(160),""))),0))*(IFERROR(VALUE(TRIM(SUBSTITUTE(F73,CHAR(160),""))),0))=0,"",(IFERROR(VALUE(TRIM(SUBSTITUTE(G73,CHAR(160),""))),0))*(IFERROR(VALUE(TRIM(SUBSTITUTE(F73,CHAR(160),""))),0))))</f>
        <v/>
      </c>
      <c r="K73" s="337"/>
      <c r="L73" s="338" t="str">
        <f t="shared" ref="L73:L109" si="21">IF(C73="","",C73)</f>
        <v/>
      </c>
      <c r="M73" s="20" t="str">
        <f t="shared" ref="M73:M109" si="22">IF(D73="","",D73)</f>
        <v/>
      </c>
      <c r="N73" s="20" t="str">
        <f t="shared" ref="N73:N109" si="23">IF(E73="","",E73)</f>
        <v/>
      </c>
      <c r="O73" s="37" t="str">
        <f t="shared" ref="O73:O109" si="24">IF(F73="","",F73)</f>
        <v/>
      </c>
      <c r="P73" s="20" t="str">
        <f t="shared" ref="P73:P109" si="25">IF(G73="","",G73)</f>
        <v/>
      </c>
      <c r="Q73" s="20" t="str">
        <f t="shared" ref="Q73:Q109" si="26">IF(H73="","",H73)</f>
        <v/>
      </c>
      <c r="R73" s="20" t="str">
        <f t="shared" ref="R73:R109" si="27">IF(I73="","",I73)</f>
        <v/>
      </c>
      <c r="S73" s="20" t="str">
        <f t="shared" ref="S73:S109" si="28">IF(OR(O73="",P73=""),"",IF(IFERROR(VALUE(TRIM(SUBSTITUTE(O73,CHAR(160),""))),0)*IFERROR(VALUE(TRIM(SUBSTITUTE(P73,CHAR(160),""))),0)=0,"",IFERROR(VALUE(TRIM(SUBSTITUTE(O73,CHAR(160),""))),0)*IFERROR(VALUE(TRIM(SUBSTITUTE(P73,CHAR(160),""))),0)))</f>
        <v/>
      </c>
      <c r="T73" s="283"/>
      <c r="U73" s="282"/>
      <c r="V73" s="577" t="str" cm="1">
        <f t="array" ref="V73">IF(OR(S73="",J73=""),"",_xlfn.IFS((IFERROR(VALUE(TRIM(SUBSTITUTE(S73,CHAR(160),""))),0))&gt;(IFERROR(VALUE(TRIM(SUBSTITUTE(J73,CHAR(160),""))),0)),"KO : Le montant retenu est supérieur au montant présenté. Merci de revoir la ligne de contribution ou plafonner son montant.",(IFERROR(VALUE(TRIM(SUBSTITUTE(J73,CHAR(160),""))),0))=0,"",(IFERROR(VALUE(TRIM(SUBSTITUTE(S73,CHAR(160),""))),0))=(IFERROR(VALUE(TRIM(SUBSTITUTE(J73,CHAR(160),""))),0)),"OK",(IFERROR(VALUE(TRIM(SUBSTITUTE(S73,CHAR(160),""))),0))&lt;(IFERROR(VALUE(TRIM(SUBSTITUTE(J73,CHAR(160),""))),0)),"Attention : montant présenté partiellement écarté ",TRUE,""))</f>
        <v/>
      </c>
      <c r="W73" s="20" t="str">
        <f t="shared" si="9"/>
        <v/>
      </c>
    </row>
    <row r="74" spans="1:23" ht="15" customHeight="1">
      <c r="A74" s="791">
        <v>65</v>
      </c>
      <c r="B74" s="792"/>
      <c r="C74" s="333"/>
      <c r="D74" s="565"/>
      <c r="E74" s="22"/>
      <c r="F74" s="334"/>
      <c r="G74" s="335"/>
      <c r="H74" s="22"/>
      <c r="I74" s="22"/>
      <c r="J74" s="336" t="str">
        <f t="shared" si="20"/>
        <v/>
      </c>
      <c r="K74" s="337"/>
      <c r="L74" s="338" t="str">
        <f t="shared" si="21"/>
        <v/>
      </c>
      <c r="M74" s="20" t="str">
        <f t="shared" si="22"/>
        <v/>
      </c>
      <c r="N74" s="20" t="str">
        <f t="shared" si="23"/>
        <v/>
      </c>
      <c r="O74" s="37" t="str">
        <f t="shared" si="24"/>
        <v/>
      </c>
      <c r="P74" s="20" t="str">
        <f t="shared" si="25"/>
        <v/>
      </c>
      <c r="Q74" s="20" t="str">
        <f t="shared" si="26"/>
        <v/>
      </c>
      <c r="R74" s="20" t="str">
        <f t="shared" si="27"/>
        <v/>
      </c>
      <c r="S74" s="20" t="str">
        <f t="shared" si="28"/>
        <v/>
      </c>
      <c r="T74" s="283"/>
      <c r="U74" s="282"/>
      <c r="V74" s="577" t="str" cm="1">
        <f t="array" ref="V74">IF(OR(S74="",J74=""),"",_xlfn.IFS((IFERROR(VALUE(TRIM(SUBSTITUTE(S74,CHAR(160),""))),0))&gt;(IFERROR(VALUE(TRIM(SUBSTITUTE(J74,CHAR(160),""))),0)),"KO : Le montant retenu est supérieur au montant présenté. Merci de revoir la ligne de contribution ou plafonner son montant.",(IFERROR(VALUE(TRIM(SUBSTITUTE(J74,CHAR(160),""))),0))=0,"",(IFERROR(VALUE(TRIM(SUBSTITUTE(S74,CHAR(160),""))),0))=(IFERROR(VALUE(TRIM(SUBSTITUTE(J74,CHAR(160),""))),0)),"OK",(IFERROR(VALUE(TRIM(SUBSTITUTE(S74,CHAR(160),""))),0))&lt;(IFERROR(VALUE(TRIM(SUBSTITUTE(J74,CHAR(160),""))),0)),"Attention : montant présenté partiellement écarté ",TRUE,""))</f>
        <v/>
      </c>
      <c r="W74" s="20" t="str">
        <f t="shared" ref="W74:W109" si="29">IF(OR(J74="",S74=""),"",(IFERROR(VALUE(TRIM(SUBSTITUTE(J74,CHAR(160),""))),0))-(IFERROR(VALUE(TRIM(SUBSTITUTE(S74,CHAR(160),""))),0)))</f>
        <v/>
      </c>
    </row>
    <row r="75" spans="1:23" ht="15" customHeight="1">
      <c r="A75" s="791">
        <v>66</v>
      </c>
      <c r="B75" s="792"/>
      <c r="C75" s="333"/>
      <c r="D75" s="565"/>
      <c r="E75" s="22"/>
      <c r="F75" s="334"/>
      <c r="G75" s="335"/>
      <c r="H75" s="22"/>
      <c r="I75" s="22"/>
      <c r="J75" s="336" t="str">
        <f t="shared" si="20"/>
        <v/>
      </c>
      <c r="K75" s="337"/>
      <c r="L75" s="338" t="str">
        <f t="shared" si="21"/>
        <v/>
      </c>
      <c r="M75" s="20" t="str">
        <f t="shared" si="22"/>
        <v/>
      </c>
      <c r="N75" s="20" t="str">
        <f t="shared" si="23"/>
        <v/>
      </c>
      <c r="O75" s="37" t="str">
        <f t="shared" si="24"/>
        <v/>
      </c>
      <c r="P75" s="20" t="str">
        <f t="shared" si="25"/>
        <v/>
      </c>
      <c r="Q75" s="20" t="str">
        <f t="shared" si="26"/>
        <v/>
      </c>
      <c r="R75" s="20" t="str">
        <f t="shared" si="27"/>
        <v/>
      </c>
      <c r="S75" s="20" t="str">
        <f t="shared" si="28"/>
        <v/>
      </c>
      <c r="T75" s="283"/>
      <c r="U75" s="282"/>
      <c r="V75" s="577" t="str" cm="1">
        <f t="array" ref="V75">IF(OR(S75="",J75=""),"",_xlfn.IFS((IFERROR(VALUE(TRIM(SUBSTITUTE(S75,CHAR(160),""))),0))&gt;(IFERROR(VALUE(TRIM(SUBSTITUTE(J75,CHAR(160),""))),0)),"KO : Le montant retenu est supérieur au montant présenté. Merci de revoir la ligne de contribution ou plafonner son montant.",(IFERROR(VALUE(TRIM(SUBSTITUTE(J75,CHAR(160),""))),0))=0,"",(IFERROR(VALUE(TRIM(SUBSTITUTE(S75,CHAR(160),""))),0))=(IFERROR(VALUE(TRIM(SUBSTITUTE(J75,CHAR(160),""))),0)),"OK",(IFERROR(VALUE(TRIM(SUBSTITUTE(S75,CHAR(160),""))),0))&lt;(IFERROR(VALUE(TRIM(SUBSTITUTE(J75,CHAR(160),""))),0)),"Attention : montant présenté partiellement écarté ",TRUE,""))</f>
        <v/>
      </c>
      <c r="W75" s="20" t="str">
        <f t="shared" si="29"/>
        <v/>
      </c>
    </row>
    <row r="76" spans="1:23" ht="15" customHeight="1">
      <c r="A76" s="791">
        <v>67</v>
      </c>
      <c r="B76" s="792"/>
      <c r="C76" s="333"/>
      <c r="D76" s="565"/>
      <c r="E76" s="22"/>
      <c r="F76" s="334"/>
      <c r="G76" s="335"/>
      <c r="H76" s="22"/>
      <c r="I76" s="22"/>
      <c r="J76" s="336" t="str">
        <f t="shared" si="20"/>
        <v/>
      </c>
      <c r="K76" s="337"/>
      <c r="L76" s="338" t="str">
        <f t="shared" si="21"/>
        <v/>
      </c>
      <c r="M76" s="20" t="str">
        <f t="shared" si="22"/>
        <v/>
      </c>
      <c r="N76" s="20" t="str">
        <f t="shared" si="23"/>
        <v/>
      </c>
      <c r="O76" s="37" t="str">
        <f t="shared" si="24"/>
        <v/>
      </c>
      <c r="P76" s="20" t="str">
        <f t="shared" si="25"/>
        <v/>
      </c>
      <c r="Q76" s="20" t="str">
        <f t="shared" si="26"/>
        <v/>
      </c>
      <c r="R76" s="20" t="str">
        <f t="shared" si="27"/>
        <v/>
      </c>
      <c r="S76" s="20" t="str">
        <f t="shared" si="28"/>
        <v/>
      </c>
      <c r="T76" s="283"/>
      <c r="U76" s="282"/>
      <c r="V76" s="577" t="str" cm="1">
        <f t="array" ref="V76">IF(OR(S76="",J76=""),"",_xlfn.IFS((IFERROR(VALUE(TRIM(SUBSTITUTE(S76,CHAR(160),""))),0))&gt;(IFERROR(VALUE(TRIM(SUBSTITUTE(J76,CHAR(160),""))),0)),"KO : Le montant retenu est supérieur au montant présenté. Merci de revoir la ligne de contribution ou plafonner son montant.",(IFERROR(VALUE(TRIM(SUBSTITUTE(J76,CHAR(160),""))),0))=0,"",(IFERROR(VALUE(TRIM(SUBSTITUTE(S76,CHAR(160),""))),0))=(IFERROR(VALUE(TRIM(SUBSTITUTE(J76,CHAR(160),""))),0)),"OK",(IFERROR(VALUE(TRIM(SUBSTITUTE(S76,CHAR(160),""))),0))&lt;(IFERROR(VALUE(TRIM(SUBSTITUTE(J76,CHAR(160),""))),0)),"Attention : montant présenté partiellement écarté ",TRUE,""))</f>
        <v/>
      </c>
      <c r="W76" s="20" t="str">
        <f t="shared" si="29"/>
        <v/>
      </c>
    </row>
    <row r="77" spans="1:23" ht="15" customHeight="1">
      <c r="A77" s="791">
        <v>68</v>
      </c>
      <c r="B77" s="792"/>
      <c r="C77" s="333"/>
      <c r="D77" s="565"/>
      <c r="E77" s="22"/>
      <c r="F77" s="334"/>
      <c r="G77" s="335"/>
      <c r="H77" s="22"/>
      <c r="I77" s="22"/>
      <c r="J77" s="336" t="str">
        <f t="shared" si="20"/>
        <v/>
      </c>
      <c r="K77" s="337"/>
      <c r="L77" s="338" t="str">
        <f t="shared" si="21"/>
        <v/>
      </c>
      <c r="M77" s="20" t="str">
        <f t="shared" si="22"/>
        <v/>
      </c>
      <c r="N77" s="20" t="str">
        <f t="shared" si="23"/>
        <v/>
      </c>
      <c r="O77" s="37" t="str">
        <f t="shared" si="24"/>
        <v/>
      </c>
      <c r="P77" s="20" t="str">
        <f t="shared" si="25"/>
        <v/>
      </c>
      <c r="Q77" s="20" t="str">
        <f t="shared" si="26"/>
        <v/>
      </c>
      <c r="R77" s="20" t="str">
        <f t="shared" si="27"/>
        <v/>
      </c>
      <c r="S77" s="20" t="str">
        <f t="shared" si="28"/>
        <v/>
      </c>
      <c r="T77" s="283"/>
      <c r="U77" s="282"/>
      <c r="V77" s="577" t="str" cm="1">
        <f t="array" ref="V77">IF(OR(S77="",J77=""),"",_xlfn.IFS((IFERROR(VALUE(TRIM(SUBSTITUTE(S77,CHAR(160),""))),0))&gt;(IFERROR(VALUE(TRIM(SUBSTITUTE(J77,CHAR(160),""))),0)),"KO : Le montant retenu est supérieur au montant présenté. Merci de revoir la ligne de contribution ou plafonner son montant.",(IFERROR(VALUE(TRIM(SUBSTITUTE(J77,CHAR(160),""))),0))=0,"",(IFERROR(VALUE(TRIM(SUBSTITUTE(S77,CHAR(160),""))),0))=(IFERROR(VALUE(TRIM(SUBSTITUTE(J77,CHAR(160),""))),0)),"OK",(IFERROR(VALUE(TRIM(SUBSTITUTE(S77,CHAR(160),""))),0))&lt;(IFERROR(VALUE(TRIM(SUBSTITUTE(J77,CHAR(160),""))),0)),"Attention : montant présenté partiellement écarté ",TRUE,""))</f>
        <v/>
      </c>
      <c r="W77" s="20" t="str">
        <f t="shared" si="29"/>
        <v/>
      </c>
    </row>
    <row r="78" spans="1:23" ht="15" customHeight="1">
      <c r="A78" s="791">
        <v>69</v>
      </c>
      <c r="B78" s="792"/>
      <c r="C78" s="333"/>
      <c r="D78" s="565"/>
      <c r="E78" s="22"/>
      <c r="F78" s="334"/>
      <c r="G78" s="335"/>
      <c r="H78" s="22"/>
      <c r="I78" s="22"/>
      <c r="J78" s="336" t="str">
        <f t="shared" si="20"/>
        <v/>
      </c>
      <c r="K78" s="337"/>
      <c r="L78" s="338" t="str">
        <f t="shared" si="21"/>
        <v/>
      </c>
      <c r="M78" s="20" t="str">
        <f t="shared" si="22"/>
        <v/>
      </c>
      <c r="N78" s="20" t="str">
        <f t="shared" si="23"/>
        <v/>
      </c>
      <c r="O78" s="37" t="str">
        <f t="shared" si="24"/>
        <v/>
      </c>
      <c r="P78" s="20" t="str">
        <f t="shared" si="25"/>
        <v/>
      </c>
      <c r="Q78" s="20" t="str">
        <f t="shared" si="26"/>
        <v/>
      </c>
      <c r="R78" s="20" t="str">
        <f t="shared" si="27"/>
        <v/>
      </c>
      <c r="S78" s="20" t="str">
        <f t="shared" si="28"/>
        <v/>
      </c>
      <c r="T78" s="283"/>
      <c r="U78" s="282"/>
      <c r="V78" s="577" t="str" cm="1">
        <f t="array" ref="V78">IF(OR(S78="",J78=""),"",_xlfn.IFS((IFERROR(VALUE(TRIM(SUBSTITUTE(S78,CHAR(160),""))),0))&gt;(IFERROR(VALUE(TRIM(SUBSTITUTE(J78,CHAR(160),""))),0)),"KO : Le montant retenu est supérieur au montant présenté. Merci de revoir la ligne de contribution ou plafonner son montant.",(IFERROR(VALUE(TRIM(SUBSTITUTE(J78,CHAR(160),""))),0))=0,"",(IFERROR(VALUE(TRIM(SUBSTITUTE(S78,CHAR(160),""))),0))=(IFERROR(VALUE(TRIM(SUBSTITUTE(J78,CHAR(160),""))),0)),"OK",(IFERROR(VALUE(TRIM(SUBSTITUTE(S78,CHAR(160),""))),0))&lt;(IFERROR(VALUE(TRIM(SUBSTITUTE(J78,CHAR(160),""))),0)),"Attention : montant présenté partiellement écarté ",TRUE,""))</f>
        <v/>
      </c>
      <c r="W78" s="20" t="str">
        <f t="shared" si="29"/>
        <v/>
      </c>
    </row>
    <row r="79" spans="1:23" ht="15" customHeight="1">
      <c r="A79" s="791">
        <v>70</v>
      </c>
      <c r="B79" s="792"/>
      <c r="C79" s="333"/>
      <c r="D79" s="565"/>
      <c r="E79" s="22"/>
      <c r="F79" s="334"/>
      <c r="G79" s="335"/>
      <c r="H79" s="22"/>
      <c r="I79" s="22"/>
      <c r="J79" s="336" t="str">
        <f t="shared" si="20"/>
        <v/>
      </c>
      <c r="K79" s="337"/>
      <c r="L79" s="338" t="str">
        <f t="shared" si="21"/>
        <v/>
      </c>
      <c r="M79" s="20" t="str">
        <f t="shared" si="22"/>
        <v/>
      </c>
      <c r="N79" s="20" t="str">
        <f t="shared" si="23"/>
        <v/>
      </c>
      <c r="O79" s="37" t="str">
        <f t="shared" si="24"/>
        <v/>
      </c>
      <c r="P79" s="20" t="str">
        <f t="shared" si="25"/>
        <v/>
      </c>
      <c r="Q79" s="20" t="str">
        <f t="shared" si="26"/>
        <v/>
      </c>
      <c r="R79" s="20" t="str">
        <f t="shared" si="27"/>
        <v/>
      </c>
      <c r="S79" s="20" t="str">
        <f t="shared" si="28"/>
        <v/>
      </c>
      <c r="T79" s="283"/>
      <c r="U79" s="282"/>
      <c r="V79" s="577" t="str" cm="1">
        <f t="array" ref="V79">IF(OR(S79="",J79=""),"",_xlfn.IFS((IFERROR(VALUE(TRIM(SUBSTITUTE(S79,CHAR(160),""))),0))&gt;(IFERROR(VALUE(TRIM(SUBSTITUTE(J79,CHAR(160),""))),0)),"KO : Le montant retenu est supérieur au montant présenté. Merci de revoir la ligne de contribution ou plafonner son montant.",(IFERROR(VALUE(TRIM(SUBSTITUTE(J79,CHAR(160),""))),0))=0,"",(IFERROR(VALUE(TRIM(SUBSTITUTE(S79,CHAR(160),""))),0))=(IFERROR(VALUE(TRIM(SUBSTITUTE(J79,CHAR(160),""))),0)),"OK",(IFERROR(VALUE(TRIM(SUBSTITUTE(S79,CHAR(160),""))),0))&lt;(IFERROR(VALUE(TRIM(SUBSTITUTE(J79,CHAR(160),""))),0)),"Attention : montant présenté partiellement écarté ",TRUE,""))</f>
        <v/>
      </c>
      <c r="W79" s="20" t="str">
        <f t="shared" si="29"/>
        <v/>
      </c>
    </row>
    <row r="80" spans="1:23" ht="15" customHeight="1">
      <c r="A80" s="791">
        <v>71</v>
      </c>
      <c r="B80" s="792"/>
      <c r="C80" s="333"/>
      <c r="D80" s="565"/>
      <c r="E80" s="22"/>
      <c r="F80" s="334"/>
      <c r="G80" s="335"/>
      <c r="H80" s="22"/>
      <c r="I80" s="22"/>
      <c r="J80" s="336" t="str">
        <f t="shared" si="20"/>
        <v/>
      </c>
      <c r="K80" s="337"/>
      <c r="L80" s="338" t="str">
        <f t="shared" si="21"/>
        <v/>
      </c>
      <c r="M80" s="20" t="str">
        <f t="shared" si="22"/>
        <v/>
      </c>
      <c r="N80" s="20" t="str">
        <f t="shared" si="23"/>
        <v/>
      </c>
      <c r="O80" s="37" t="str">
        <f t="shared" si="24"/>
        <v/>
      </c>
      <c r="P80" s="20" t="str">
        <f t="shared" si="25"/>
        <v/>
      </c>
      <c r="Q80" s="20" t="str">
        <f t="shared" si="26"/>
        <v/>
      </c>
      <c r="R80" s="20" t="str">
        <f t="shared" si="27"/>
        <v/>
      </c>
      <c r="S80" s="20" t="str">
        <f t="shared" si="28"/>
        <v/>
      </c>
      <c r="T80" s="283"/>
      <c r="U80" s="282"/>
      <c r="V80" s="577" t="str" cm="1">
        <f t="array" ref="V80">IF(OR(S80="",J80=""),"",_xlfn.IFS((IFERROR(VALUE(TRIM(SUBSTITUTE(S80,CHAR(160),""))),0))&gt;(IFERROR(VALUE(TRIM(SUBSTITUTE(J80,CHAR(160),""))),0)),"KO : Le montant retenu est supérieur au montant présenté. Merci de revoir la ligne de contribution ou plafonner son montant.",(IFERROR(VALUE(TRIM(SUBSTITUTE(J80,CHAR(160),""))),0))=0,"",(IFERROR(VALUE(TRIM(SUBSTITUTE(S80,CHAR(160),""))),0))=(IFERROR(VALUE(TRIM(SUBSTITUTE(J80,CHAR(160),""))),0)),"OK",(IFERROR(VALUE(TRIM(SUBSTITUTE(S80,CHAR(160),""))),0))&lt;(IFERROR(VALUE(TRIM(SUBSTITUTE(J80,CHAR(160),""))),0)),"Attention : montant présenté partiellement écarté ",TRUE,""))</f>
        <v/>
      </c>
      <c r="W80" s="20" t="str">
        <f t="shared" si="29"/>
        <v/>
      </c>
    </row>
    <row r="81" spans="1:23" ht="15" customHeight="1">
      <c r="A81" s="791">
        <v>72</v>
      </c>
      <c r="B81" s="792"/>
      <c r="C81" s="333"/>
      <c r="D81" s="565"/>
      <c r="E81" s="22"/>
      <c r="F81" s="334"/>
      <c r="G81" s="335"/>
      <c r="H81" s="22"/>
      <c r="I81" s="22"/>
      <c r="J81" s="336" t="str">
        <f t="shared" si="20"/>
        <v/>
      </c>
      <c r="K81" s="337"/>
      <c r="L81" s="338" t="str">
        <f t="shared" si="21"/>
        <v/>
      </c>
      <c r="M81" s="20" t="str">
        <f t="shared" si="22"/>
        <v/>
      </c>
      <c r="N81" s="20" t="str">
        <f t="shared" si="23"/>
        <v/>
      </c>
      <c r="O81" s="37" t="str">
        <f t="shared" si="24"/>
        <v/>
      </c>
      <c r="P81" s="20" t="str">
        <f t="shared" si="25"/>
        <v/>
      </c>
      <c r="Q81" s="20" t="str">
        <f t="shared" si="26"/>
        <v/>
      </c>
      <c r="R81" s="20" t="str">
        <f t="shared" si="27"/>
        <v/>
      </c>
      <c r="S81" s="20" t="str">
        <f t="shared" si="28"/>
        <v/>
      </c>
      <c r="T81" s="283"/>
      <c r="U81" s="282"/>
      <c r="V81" s="577" t="str" cm="1">
        <f t="array" ref="V81">IF(OR(S81="",J81=""),"",_xlfn.IFS((IFERROR(VALUE(TRIM(SUBSTITUTE(S81,CHAR(160),""))),0))&gt;(IFERROR(VALUE(TRIM(SUBSTITUTE(J81,CHAR(160),""))),0)),"KO : Le montant retenu est supérieur au montant présenté. Merci de revoir la ligne de contribution ou plafonner son montant.",(IFERROR(VALUE(TRIM(SUBSTITUTE(J81,CHAR(160),""))),0))=0,"",(IFERROR(VALUE(TRIM(SUBSTITUTE(S81,CHAR(160),""))),0))=(IFERROR(VALUE(TRIM(SUBSTITUTE(J81,CHAR(160),""))),0)),"OK",(IFERROR(VALUE(TRIM(SUBSTITUTE(S81,CHAR(160),""))),0))&lt;(IFERROR(VALUE(TRIM(SUBSTITUTE(J81,CHAR(160),""))),0)),"Attention : montant présenté partiellement écarté ",TRUE,""))</f>
        <v/>
      </c>
      <c r="W81" s="20" t="str">
        <f t="shared" si="29"/>
        <v/>
      </c>
    </row>
    <row r="82" spans="1:23" ht="15" customHeight="1">
      <c r="A82" s="791">
        <v>73</v>
      </c>
      <c r="B82" s="792"/>
      <c r="C82" s="333"/>
      <c r="D82" s="565"/>
      <c r="E82" s="22"/>
      <c r="F82" s="334"/>
      <c r="G82" s="335"/>
      <c r="H82" s="22"/>
      <c r="I82" s="22"/>
      <c r="J82" s="336" t="str">
        <f t="shared" si="20"/>
        <v/>
      </c>
      <c r="K82" s="337"/>
      <c r="L82" s="338" t="str">
        <f t="shared" si="21"/>
        <v/>
      </c>
      <c r="M82" s="20" t="str">
        <f t="shared" si="22"/>
        <v/>
      </c>
      <c r="N82" s="20" t="str">
        <f t="shared" si="23"/>
        <v/>
      </c>
      <c r="O82" s="37" t="str">
        <f t="shared" si="24"/>
        <v/>
      </c>
      <c r="P82" s="20" t="str">
        <f t="shared" si="25"/>
        <v/>
      </c>
      <c r="Q82" s="20" t="str">
        <f t="shared" si="26"/>
        <v/>
      </c>
      <c r="R82" s="20" t="str">
        <f t="shared" si="27"/>
        <v/>
      </c>
      <c r="S82" s="20" t="str">
        <f t="shared" si="28"/>
        <v/>
      </c>
      <c r="T82" s="283"/>
      <c r="U82" s="282"/>
      <c r="V82" s="577" t="str" cm="1">
        <f t="array" ref="V82">IF(OR(S82="",J82=""),"",_xlfn.IFS((IFERROR(VALUE(TRIM(SUBSTITUTE(S82,CHAR(160),""))),0))&gt;(IFERROR(VALUE(TRIM(SUBSTITUTE(J82,CHAR(160),""))),0)),"KO : Le montant retenu est supérieur au montant présenté. Merci de revoir la ligne de contribution ou plafonner son montant.",(IFERROR(VALUE(TRIM(SUBSTITUTE(J82,CHAR(160),""))),0))=0,"",(IFERROR(VALUE(TRIM(SUBSTITUTE(S82,CHAR(160),""))),0))=(IFERROR(VALUE(TRIM(SUBSTITUTE(J82,CHAR(160),""))),0)),"OK",(IFERROR(VALUE(TRIM(SUBSTITUTE(S82,CHAR(160),""))),0))&lt;(IFERROR(VALUE(TRIM(SUBSTITUTE(J82,CHAR(160),""))),0)),"Attention : montant présenté partiellement écarté ",TRUE,""))</f>
        <v/>
      </c>
      <c r="W82" s="20" t="str">
        <f t="shared" si="29"/>
        <v/>
      </c>
    </row>
    <row r="83" spans="1:23" ht="15" customHeight="1">
      <c r="A83" s="791">
        <v>74</v>
      </c>
      <c r="B83" s="792"/>
      <c r="C83" s="333"/>
      <c r="D83" s="565"/>
      <c r="E83" s="22"/>
      <c r="F83" s="334"/>
      <c r="G83" s="335"/>
      <c r="H83" s="22"/>
      <c r="I83" s="22"/>
      <c r="J83" s="336" t="str">
        <f t="shared" si="20"/>
        <v/>
      </c>
      <c r="K83" s="337"/>
      <c r="L83" s="338" t="str">
        <f t="shared" si="21"/>
        <v/>
      </c>
      <c r="M83" s="20" t="str">
        <f t="shared" si="22"/>
        <v/>
      </c>
      <c r="N83" s="20" t="str">
        <f t="shared" si="23"/>
        <v/>
      </c>
      <c r="O83" s="37" t="str">
        <f t="shared" si="24"/>
        <v/>
      </c>
      <c r="P83" s="20" t="str">
        <f t="shared" si="25"/>
        <v/>
      </c>
      <c r="Q83" s="20" t="str">
        <f t="shared" si="26"/>
        <v/>
      </c>
      <c r="R83" s="20" t="str">
        <f t="shared" si="27"/>
        <v/>
      </c>
      <c r="S83" s="20" t="str">
        <f t="shared" si="28"/>
        <v/>
      </c>
      <c r="T83" s="283"/>
      <c r="U83" s="282"/>
      <c r="V83" s="577" t="str" cm="1">
        <f t="array" ref="V83">IF(OR(S83="",J83=""),"",_xlfn.IFS((IFERROR(VALUE(TRIM(SUBSTITUTE(S83,CHAR(160),""))),0))&gt;(IFERROR(VALUE(TRIM(SUBSTITUTE(J83,CHAR(160),""))),0)),"KO : Le montant retenu est supérieur au montant présenté. Merci de revoir la ligne de contribution ou plafonner son montant.",(IFERROR(VALUE(TRIM(SUBSTITUTE(J83,CHAR(160),""))),0))=0,"",(IFERROR(VALUE(TRIM(SUBSTITUTE(S83,CHAR(160),""))),0))=(IFERROR(VALUE(TRIM(SUBSTITUTE(J83,CHAR(160),""))),0)),"OK",(IFERROR(VALUE(TRIM(SUBSTITUTE(S83,CHAR(160),""))),0))&lt;(IFERROR(VALUE(TRIM(SUBSTITUTE(J83,CHAR(160),""))),0)),"Attention : montant présenté partiellement écarté ",TRUE,""))</f>
        <v/>
      </c>
      <c r="W83" s="20" t="str">
        <f t="shared" si="29"/>
        <v/>
      </c>
    </row>
    <row r="84" spans="1:23" ht="15" customHeight="1">
      <c r="A84" s="791">
        <v>75</v>
      </c>
      <c r="B84" s="792"/>
      <c r="C84" s="333"/>
      <c r="D84" s="565"/>
      <c r="E84" s="22"/>
      <c r="F84" s="334"/>
      <c r="G84" s="335"/>
      <c r="H84" s="22"/>
      <c r="I84" s="22"/>
      <c r="J84" s="336" t="str">
        <f t="shared" si="20"/>
        <v/>
      </c>
      <c r="K84" s="337"/>
      <c r="L84" s="338" t="str">
        <f t="shared" si="21"/>
        <v/>
      </c>
      <c r="M84" s="20" t="str">
        <f t="shared" si="22"/>
        <v/>
      </c>
      <c r="N84" s="20" t="str">
        <f t="shared" si="23"/>
        <v/>
      </c>
      <c r="O84" s="37" t="str">
        <f t="shared" si="24"/>
        <v/>
      </c>
      <c r="P84" s="20" t="str">
        <f t="shared" si="25"/>
        <v/>
      </c>
      <c r="Q84" s="20" t="str">
        <f t="shared" si="26"/>
        <v/>
      </c>
      <c r="R84" s="20" t="str">
        <f t="shared" si="27"/>
        <v/>
      </c>
      <c r="S84" s="20" t="str">
        <f t="shared" si="28"/>
        <v/>
      </c>
      <c r="T84" s="283"/>
      <c r="U84" s="282"/>
      <c r="V84" s="577" t="str" cm="1">
        <f t="array" ref="V84">IF(OR(S84="",J84=""),"",_xlfn.IFS((IFERROR(VALUE(TRIM(SUBSTITUTE(S84,CHAR(160),""))),0))&gt;(IFERROR(VALUE(TRIM(SUBSTITUTE(J84,CHAR(160),""))),0)),"KO : Le montant retenu est supérieur au montant présenté. Merci de revoir la ligne de contribution ou plafonner son montant.",(IFERROR(VALUE(TRIM(SUBSTITUTE(J84,CHAR(160),""))),0))=0,"",(IFERROR(VALUE(TRIM(SUBSTITUTE(S84,CHAR(160),""))),0))=(IFERROR(VALUE(TRIM(SUBSTITUTE(J84,CHAR(160),""))),0)),"OK",(IFERROR(VALUE(TRIM(SUBSTITUTE(S84,CHAR(160),""))),0))&lt;(IFERROR(VALUE(TRIM(SUBSTITUTE(J84,CHAR(160),""))),0)),"Attention : montant présenté partiellement écarté ",TRUE,""))</f>
        <v/>
      </c>
      <c r="W84" s="20" t="str">
        <f t="shared" si="29"/>
        <v/>
      </c>
    </row>
    <row r="85" spans="1:23" ht="15" customHeight="1">
      <c r="A85" s="791">
        <v>76</v>
      </c>
      <c r="B85" s="792"/>
      <c r="C85" s="333"/>
      <c r="D85" s="565"/>
      <c r="E85" s="22"/>
      <c r="F85" s="334"/>
      <c r="G85" s="335"/>
      <c r="H85" s="22"/>
      <c r="I85" s="22"/>
      <c r="J85" s="336" t="str">
        <f t="shared" si="20"/>
        <v/>
      </c>
      <c r="K85" s="337"/>
      <c r="L85" s="338" t="str">
        <f t="shared" si="21"/>
        <v/>
      </c>
      <c r="M85" s="20" t="str">
        <f t="shared" si="22"/>
        <v/>
      </c>
      <c r="N85" s="20" t="str">
        <f t="shared" si="23"/>
        <v/>
      </c>
      <c r="O85" s="37" t="str">
        <f t="shared" si="24"/>
        <v/>
      </c>
      <c r="P85" s="20" t="str">
        <f t="shared" si="25"/>
        <v/>
      </c>
      <c r="Q85" s="20" t="str">
        <f t="shared" si="26"/>
        <v/>
      </c>
      <c r="R85" s="20" t="str">
        <f t="shared" si="27"/>
        <v/>
      </c>
      <c r="S85" s="20" t="str">
        <f t="shared" si="28"/>
        <v/>
      </c>
      <c r="T85" s="283"/>
      <c r="U85" s="282"/>
      <c r="V85" s="577" t="str" cm="1">
        <f t="array" ref="V85">IF(OR(S85="",J85=""),"",_xlfn.IFS((IFERROR(VALUE(TRIM(SUBSTITUTE(S85,CHAR(160),""))),0))&gt;(IFERROR(VALUE(TRIM(SUBSTITUTE(J85,CHAR(160),""))),0)),"KO : Le montant retenu est supérieur au montant présenté. Merci de revoir la ligne de contribution ou plafonner son montant.",(IFERROR(VALUE(TRIM(SUBSTITUTE(J85,CHAR(160),""))),0))=0,"",(IFERROR(VALUE(TRIM(SUBSTITUTE(S85,CHAR(160),""))),0))=(IFERROR(VALUE(TRIM(SUBSTITUTE(J85,CHAR(160),""))),0)),"OK",(IFERROR(VALUE(TRIM(SUBSTITUTE(S85,CHAR(160),""))),0))&lt;(IFERROR(VALUE(TRIM(SUBSTITUTE(J85,CHAR(160),""))),0)),"Attention : montant présenté partiellement écarté ",TRUE,""))</f>
        <v/>
      </c>
      <c r="W85" s="20" t="str">
        <f t="shared" si="29"/>
        <v/>
      </c>
    </row>
    <row r="86" spans="1:23" ht="15" customHeight="1">
      <c r="A86" s="791">
        <v>77</v>
      </c>
      <c r="B86" s="792"/>
      <c r="C86" s="333"/>
      <c r="D86" s="565"/>
      <c r="E86" s="22"/>
      <c r="F86" s="334"/>
      <c r="G86" s="335"/>
      <c r="H86" s="22"/>
      <c r="I86" s="22"/>
      <c r="J86" s="336" t="str">
        <f t="shared" si="20"/>
        <v/>
      </c>
      <c r="K86" s="337"/>
      <c r="L86" s="338" t="str">
        <f t="shared" si="21"/>
        <v/>
      </c>
      <c r="M86" s="20" t="str">
        <f t="shared" si="22"/>
        <v/>
      </c>
      <c r="N86" s="20" t="str">
        <f t="shared" si="23"/>
        <v/>
      </c>
      <c r="O86" s="37" t="str">
        <f t="shared" si="24"/>
        <v/>
      </c>
      <c r="P86" s="20" t="str">
        <f t="shared" si="25"/>
        <v/>
      </c>
      <c r="Q86" s="20" t="str">
        <f t="shared" si="26"/>
        <v/>
      </c>
      <c r="R86" s="20" t="str">
        <f t="shared" si="27"/>
        <v/>
      </c>
      <c r="S86" s="20" t="str">
        <f t="shared" si="28"/>
        <v/>
      </c>
      <c r="T86" s="283"/>
      <c r="U86" s="282"/>
      <c r="V86" s="577" t="str" cm="1">
        <f t="array" ref="V86">IF(OR(S86="",J86=""),"",_xlfn.IFS((IFERROR(VALUE(TRIM(SUBSTITUTE(S86,CHAR(160),""))),0))&gt;(IFERROR(VALUE(TRIM(SUBSTITUTE(J86,CHAR(160),""))),0)),"KO : Le montant retenu est supérieur au montant présenté. Merci de revoir la ligne de contribution ou plafonner son montant.",(IFERROR(VALUE(TRIM(SUBSTITUTE(J86,CHAR(160),""))),0))=0,"",(IFERROR(VALUE(TRIM(SUBSTITUTE(S86,CHAR(160),""))),0))=(IFERROR(VALUE(TRIM(SUBSTITUTE(J86,CHAR(160),""))),0)),"OK",(IFERROR(VALUE(TRIM(SUBSTITUTE(S86,CHAR(160),""))),0))&lt;(IFERROR(VALUE(TRIM(SUBSTITUTE(J86,CHAR(160),""))),0)),"Attention : montant présenté partiellement écarté ",TRUE,""))</f>
        <v/>
      </c>
      <c r="W86" s="20" t="str">
        <f t="shared" si="29"/>
        <v/>
      </c>
    </row>
    <row r="87" spans="1:23" ht="15" customHeight="1">
      <c r="A87" s="791">
        <v>78</v>
      </c>
      <c r="B87" s="792"/>
      <c r="C87" s="333"/>
      <c r="D87" s="565"/>
      <c r="E87" s="22"/>
      <c r="F87" s="334"/>
      <c r="G87" s="335"/>
      <c r="H87" s="22"/>
      <c r="I87" s="22"/>
      <c r="J87" s="336" t="str">
        <f t="shared" si="20"/>
        <v/>
      </c>
      <c r="K87" s="337"/>
      <c r="L87" s="338" t="str">
        <f t="shared" si="21"/>
        <v/>
      </c>
      <c r="M87" s="20" t="str">
        <f t="shared" si="22"/>
        <v/>
      </c>
      <c r="N87" s="20" t="str">
        <f t="shared" si="23"/>
        <v/>
      </c>
      <c r="O87" s="37" t="str">
        <f t="shared" si="24"/>
        <v/>
      </c>
      <c r="P87" s="20" t="str">
        <f t="shared" si="25"/>
        <v/>
      </c>
      <c r="Q87" s="20" t="str">
        <f t="shared" si="26"/>
        <v/>
      </c>
      <c r="R87" s="20" t="str">
        <f t="shared" si="27"/>
        <v/>
      </c>
      <c r="S87" s="20" t="str">
        <f t="shared" si="28"/>
        <v/>
      </c>
      <c r="T87" s="283"/>
      <c r="U87" s="282"/>
      <c r="V87" s="577" t="str" cm="1">
        <f t="array" ref="V87">IF(OR(S87="",J87=""),"",_xlfn.IFS((IFERROR(VALUE(TRIM(SUBSTITUTE(S87,CHAR(160),""))),0))&gt;(IFERROR(VALUE(TRIM(SUBSTITUTE(J87,CHAR(160),""))),0)),"KO : Le montant retenu est supérieur au montant présenté. Merci de revoir la ligne de contribution ou plafonner son montant.",(IFERROR(VALUE(TRIM(SUBSTITUTE(J87,CHAR(160),""))),0))=0,"",(IFERROR(VALUE(TRIM(SUBSTITUTE(S87,CHAR(160),""))),0))=(IFERROR(VALUE(TRIM(SUBSTITUTE(J87,CHAR(160),""))),0)),"OK",(IFERROR(VALUE(TRIM(SUBSTITUTE(S87,CHAR(160),""))),0))&lt;(IFERROR(VALUE(TRIM(SUBSTITUTE(J87,CHAR(160),""))),0)),"Attention : montant présenté partiellement écarté ",TRUE,""))</f>
        <v/>
      </c>
      <c r="W87" s="20" t="str">
        <f t="shared" si="29"/>
        <v/>
      </c>
    </row>
    <row r="88" spans="1:23" ht="15" customHeight="1">
      <c r="A88" s="791">
        <v>79</v>
      </c>
      <c r="B88" s="792"/>
      <c r="C88" s="333"/>
      <c r="D88" s="565"/>
      <c r="E88" s="22"/>
      <c r="F88" s="334"/>
      <c r="G88" s="335"/>
      <c r="H88" s="22"/>
      <c r="I88" s="22"/>
      <c r="J88" s="336" t="str">
        <f t="shared" si="20"/>
        <v/>
      </c>
      <c r="K88" s="337"/>
      <c r="L88" s="338" t="str">
        <f t="shared" si="21"/>
        <v/>
      </c>
      <c r="M88" s="20" t="str">
        <f t="shared" si="22"/>
        <v/>
      </c>
      <c r="N88" s="20" t="str">
        <f t="shared" si="23"/>
        <v/>
      </c>
      <c r="O88" s="37" t="str">
        <f t="shared" si="24"/>
        <v/>
      </c>
      <c r="P88" s="20" t="str">
        <f t="shared" si="25"/>
        <v/>
      </c>
      <c r="Q88" s="20" t="str">
        <f t="shared" si="26"/>
        <v/>
      </c>
      <c r="R88" s="20" t="str">
        <f t="shared" si="27"/>
        <v/>
      </c>
      <c r="S88" s="20" t="str">
        <f t="shared" si="28"/>
        <v/>
      </c>
      <c r="T88" s="283"/>
      <c r="U88" s="282"/>
      <c r="V88" s="577" t="str" cm="1">
        <f t="array" ref="V88">IF(OR(S88="",J88=""),"",_xlfn.IFS((IFERROR(VALUE(TRIM(SUBSTITUTE(S88,CHAR(160),""))),0))&gt;(IFERROR(VALUE(TRIM(SUBSTITUTE(J88,CHAR(160),""))),0)),"KO : Le montant retenu est supérieur au montant présenté. Merci de revoir la ligne de contribution ou plafonner son montant.",(IFERROR(VALUE(TRIM(SUBSTITUTE(J88,CHAR(160),""))),0))=0,"",(IFERROR(VALUE(TRIM(SUBSTITUTE(S88,CHAR(160),""))),0))=(IFERROR(VALUE(TRIM(SUBSTITUTE(J88,CHAR(160),""))),0)),"OK",(IFERROR(VALUE(TRIM(SUBSTITUTE(S88,CHAR(160),""))),0))&lt;(IFERROR(VALUE(TRIM(SUBSTITUTE(J88,CHAR(160),""))),0)),"Attention : montant présenté partiellement écarté ",TRUE,""))</f>
        <v/>
      </c>
      <c r="W88" s="20" t="str">
        <f t="shared" si="29"/>
        <v/>
      </c>
    </row>
    <row r="89" spans="1:23" ht="15" customHeight="1">
      <c r="A89" s="791">
        <v>80</v>
      </c>
      <c r="B89" s="792"/>
      <c r="C89" s="333"/>
      <c r="D89" s="565"/>
      <c r="E89" s="22"/>
      <c r="F89" s="334"/>
      <c r="G89" s="335"/>
      <c r="H89" s="22"/>
      <c r="I89" s="22"/>
      <c r="J89" s="336" t="str">
        <f t="shared" si="20"/>
        <v/>
      </c>
      <c r="K89" s="337"/>
      <c r="L89" s="338" t="str">
        <f t="shared" si="21"/>
        <v/>
      </c>
      <c r="M89" s="20" t="str">
        <f t="shared" si="22"/>
        <v/>
      </c>
      <c r="N89" s="20" t="str">
        <f t="shared" si="23"/>
        <v/>
      </c>
      <c r="O89" s="37" t="str">
        <f t="shared" si="24"/>
        <v/>
      </c>
      <c r="P89" s="20" t="str">
        <f t="shared" si="25"/>
        <v/>
      </c>
      <c r="Q89" s="20" t="str">
        <f t="shared" si="26"/>
        <v/>
      </c>
      <c r="R89" s="20" t="str">
        <f t="shared" si="27"/>
        <v/>
      </c>
      <c r="S89" s="20" t="str">
        <f t="shared" si="28"/>
        <v/>
      </c>
      <c r="T89" s="283"/>
      <c r="U89" s="282"/>
      <c r="V89" s="577" t="str" cm="1">
        <f t="array" ref="V89">IF(OR(S89="",J89=""),"",_xlfn.IFS((IFERROR(VALUE(TRIM(SUBSTITUTE(S89,CHAR(160),""))),0))&gt;(IFERROR(VALUE(TRIM(SUBSTITUTE(J89,CHAR(160),""))),0)),"KO : Le montant retenu est supérieur au montant présenté. Merci de revoir la ligne de contribution ou plafonner son montant.",(IFERROR(VALUE(TRIM(SUBSTITUTE(J89,CHAR(160),""))),0))=0,"",(IFERROR(VALUE(TRIM(SUBSTITUTE(S89,CHAR(160),""))),0))=(IFERROR(VALUE(TRIM(SUBSTITUTE(J89,CHAR(160),""))),0)),"OK",(IFERROR(VALUE(TRIM(SUBSTITUTE(S89,CHAR(160),""))),0))&lt;(IFERROR(VALUE(TRIM(SUBSTITUTE(J89,CHAR(160),""))),0)),"Attention : montant présenté partiellement écarté ",TRUE,""))</f>
        <v/>
      </c>
      <c r="W89" s="20" t="str">
        <f t="shared" si="29"/>
        <v/>
      </c>
    </row>
    <row r="90" spans="1:23" ht="15" customHeight="1">
      <c r="A90" s="791">
        <v>81</v>
      </c>
      <c r="B90" s="792"/>
      <c r="C90" s="333"/>
      <c r="D90" s="565"/>
      <c r="E90" s="22"/>
      <c r="F90" s="334"/>
      <c r="G90" s="335"/>
      <c r="H90" s="22"/>
      <c r="I90" s="22"/>
      <c r="J90" s="336" t="str">
        <f t="shared" si="20"/>
        <v/>
      </c>
      <c r="K90" s="337"/>
      <c r="L90" s="338" t="str">
        <f t="shared" si="21"/>
        <v/>
      </c>
      <c r="M90" s="20" t="str">
        <f t="shared" si="22"/>
        <v/>
      </c>
      <c r="N90" s="20" t="str">
        <f t="shared" si="23"/>
        <v/>
      </c>
      <c r="O90" s="37" t="str">
        <f t="shared" si="24"/>
        <v/>
      </c>
      <c r="P90" s="20" t="str">
        <f t="shared" si="25"/>
        <v/>
      </c>
      <c r="Q90" s="20" t="str">
        <f t="shared" si="26"/>
        <v/>
      </c>
      <c r="R90" s="20" t="str">
        <f t="shared" si="27"/>
        <v/>
      </c>
      <c r="S90" s="20" t="str">
        <f t="shared" si="28"/>
        <v/>
      </c>
      <c r="T90" s="283"/>
      <c r="U90" s="282"/>
      <c r="V90" s="577" t="str" cm="1">
        <f t="array" ref="V90">IF(OR(S90="",J90=""),"",_xlfn.IFS((IFERROR(VALUE(TRIM(SUBSTITUTE(S90,CHAR(160),""))),0))&gt;(IFERROR(VALUE(TRIM(SUBSTITUTE(J90,CHAR(160),""))),0)),"KO : Le montant retenu est supérieur au montant présenté. Merci de revoir la ligne de contribution ou plafonner son montant.",(IFERROR(VALUE(TRIM(SUBSTITUTE(J90,CHAR(160),""))),0))=0,"",(IFERROR(VALUE(TRIM(SUBSTITUTE(S90,CHAR(160),""))),0))=(IFERROR(VALUE(TRIM(SUBSTITUTE(J90,CHAR(160),""))),0)),"OK",(IFERROR(VALUE(TRIM(SUBSTITUTE(S90,CHAR(160),""))),0))&lt;(IFERROR(VALUE(TRIM(SUBSTITUTE(J90,CHAR(160),""))),0)),"Attention : montant présenté partiellement écarté ",TRUE,""))</f>
        <v/>
      </c>
      <c r="W90" s="20" t="str">
        <f t="shared" si="29"/>
        <v/>
      </c>
    </row>
    <row r="91" spans="1:23" ht="15" customHeight="1">
      <c r="A91" s="791">
        <v>82</v>
      </c>
      <c r="B91" s="792"/>
      <c r="C91" s="333"/>
      <c r="D91" s="565"/>
      <c r="E91" s="22"/>
      <c r="F91" s="334"/>
      <c r="G91" s="335"/>
      <c r="H91" s="22"/>
      <c r="I91" s="22"/>
      <c r="J91" s="336" t="str">
        <f t="shared" si="20"/>
        <v/>
      </c>
      <c r="K91" s="337"/>
      <c r="L91" s="338" t="str">
        <f t="shared" si="21"/>
        <v/>
      </c>
      <c r="M91" s="20" t="str">
        <f t="shared" si="22"/>
        <v/>
      </c>
      <c r="N91" s="20" t="str">
        <f t="shared" si="23"/>
        <v/>
      </c>
      <c r="O91" s="37" t="str">
        <f t="shared" si="24"/>
        <v/>
      </c>
      <c r="P91" s="20" t="str">
        <f t="shared" si="25"/>
        <v/>
      </c>
      <c r="Q91" s="20" t="str">
        <f t="shared" si="26"/>
        <v/>
      </c>
      <c r="R91" s="20" t="str">
        <f t="shared" si="27"/>
        <v/>
      </c>
      <c r="S91" s="20" t="str">
        <f t="shared" si="28"/>
        <v/>
      </c>
      <c r="T91" s="283"/>
      <c r="U91" s="282"/>
      <c r="V91" s="577" t="str" cm="1">
        <f t="array" ref="V91">IF(OR(S91="",J91=""),"",_xlfn.IFS((IFERROR(VALUE(TRIM(SUBSTITUTE(S91,CHAR(160),""))),0))&gt;(IFERROR(VALUE(TRIM(SUBSTITUTE(J91,CHAR(160),""))),0)),"KO : Le montant retenu est supérieur au montant présenté. Merci de revoir la ligne de contribution ou plafonner son montant.",(IFERROR(VALUE(TRIM(SUBSTITUTE(J91,CHAR(160),""))),0))=0,"",(IFERROR(VALUE(TRIM(SUBSTITUTE(S91,CHAR(160),""))),0))=(IFERROR(VALUE(TRIM(SUBSTITUTE(J91,CHAR(160),""))),0)),"OK",(IFERROR(VALUE(TRIM(SUBSTITUTE(S91,CHAR(160),""))),0))&lt;(IFERROR(VALUE(TRIM(SUBSTITUTE(J91,CHAR(160),""))),0)),"Attention : montant présenté partiellement écarté ",TRUE,""))</f>
        <v/>
      </c>
      <c r="W91" s="20" t="str">
        <f t="shared" si="29"/>
        <v/>
      </c>
    </row>
    <row r="92" spans="1:23" ht="15" customHeight="1">
      <c r="A92" s="791">
        <v>83</v>
      </c>
      <c r="B92" s="792"/>
      <c r="C92" s="333"/>
      <c r="D92" s="565"/>
      <c r="E92" s="22"/>
      <c r="F92" s="334"/>
      <c r="G92" s="335"/>
      <c r="H92" s="22"/>
      <c r="I92" s="22"/>
      <c r="J92" s="336" t="str">
        <f t="shared" si="20"/>
        <v/>
      </c>
      <c r="K92" s="337"/>
      <c r="L92" s="338" t="str">
        <f t="shared" si="21"/>
        <v/>
      </c>
      <c r="M92" s="20" t="str">
        <f t="shared" si="22"/>
        <v/>
      </c>
      <c r="N92" s="20" t="str">
        <f t="shared" si="23"/>
        <v/>
      </c>
      <c r="O92" s="37" t="str">
        <f t="shared" si="24"/>
        <v/>
      </c>
      <c r="P92" s="20" t="str">
        <f t="shared" si="25"/>
        <v/>
      </c>
      <c r="Q92" s="20" t="str">
        <f t="shared" si="26"/>
        <v/>
      </c>
      <c r="R92" s="20" t="str">
        <f t="shared" si="27"/>
        <v/>
      </c>
      <c r="S92" s="20" t="str">
        <f t="shared" si="28"/>
        <v/>
      </c>
      <c r="T92" s="283"/>
      <c r="U92" s="282"/>
      <c r="V92" s="577" t="str" cm="1">
        <f t="array" ref="V92">IF(OR(S92="",J92=""),"",_xlfn.IFS((IFERROR(VALUE(TRIM(SUBSTITUTE(S92,CHAR(160),""))),0))&gt;(IFERROR(VALUE(TRIM(SUBSTITUTE(J92,CHAR(160),""))),0)),"KO : Le montant retenu est supérieur au montant présenté. Merci de revoir la ligne de contribution ou plafonner son montant.",(IFERROR(VALUE(TRIM(SUBSTITUTE(J92,CHAR(160),""))),0))=0,"",(IFERROR(VALUE(TRIM(SUBSTITUTE(S92,CHAR(160),""))),0))=(IFERROR(VALUE(TRIM(SUBSTITUTE(J92,CHAR(160),""))),0)),"OK",(IFERROR(VALUE(TRIM(SUBSTITUTE(S92,CHAR(160),""))),0))&lt;(IFERROR(VALUE(TRIM(SUBSTITUTE(J92,CHAR(160),""))),0)),"Attention : montant présenté partiellement écarté ",TRUE,""))</f>
        <v/>
      </c>
      <c r="W92" s="20" t="str">
        <f t="shared" si="29"/>
        <v/>
      </c>
    </row>
    <row r="93" spans="1:23" ht="15" customHeight="1">
      <c r="A93" s="791">
        <v>84</v>
      </c>
      <c r="B93" s="792"/>
      <c r="C93" s="333"/>
      <c r="D93" s="565"/>
      <c r="E93" s="22"/>
      <c r="F93" s="334"/>
      <c r="G93" s="335"/>
      <c r="H93" s="22"/>
      <c r="I93" s="22"/>
      <c r="J93" s="336" t="str">
        <f t="shared" si="20"/>
        <v/>
      </c>
      <c r="K93" s="337"/>
      <c r="L93" s="338" t="str">
        <f t="shared" si="21"/>
        <v/>
      </c>
      <c r="M93" s="20" t="str">
        <f t="shared" si="22"/>
        <v/>
      </c>
      <c r="N93" s="20" t="str">
        <f t="shared" si="23"/>
        <v/>
      </c>
      <c r="O93" s="37" t="str">
        <f t="shared" si="24"/>
        <v/>
      </c>
      <c r="P93" s="20" t="str">
        <f t="shared" si="25"/>
        <v/>
      </c>
      <c r="Q93" s="20" t="str">
        <f t="shared" si="26"/>
        <v/>
      </c>
      <c r="R93" s="20" t="str">
        <f t="shared" si="27"/>
        <v/>
      </c>
      <c r="S93" s="20" t="str">
        <f t="shared" si="28"/>
        <v/>
      </c>
      <c r="T93" s="283"/>
      <c r="U93" s="282"/>
      <c r="V93" s="577" t="str" cm="1">
        <f t="array" ref="V93">IF(OR(S93="",J93=""),"",_xlfn.IFS((IFERROR(VALUE(TRIM(SUBSTITUTE(S93,CHAR(160),""))),0))&gt;(IFERROR(VALUE(TRIM(SUBSTITUTE(J93,CHAR(160),""))),0)),"KO : Le montant retenu est supérieur au montant présenté. Merci de revoir la ligne de contribution ou plafonner son montant.",(IFERROR(VALUE(TRIM(SUBSTITUTE(J93,CHAR(160),""))),0))=0,"",(IFERROR(VALUE(TRIM(SUBSTITUTE(S93,CHAR(160),""))),0))=(IFERROR(VALUE(TRIM(SUBSTITUTE(J93,CHAR(160),""))),0)),"OK",(IFERROR(VALUE(TRIM(SUBSTITUTE(S93,CHAR(160),""))),0))&lt;(IFERROR(VALUE(TRIM(SUBSTITUTE(J93,CHAR(160),""))),0)),"Attention : montant présenté partiellement écarté ",TRUE,""))</f>
        <v/>
      </c>
      <c r="W93" s="20" t="str">
        <f t="shared" si="29"/>
        <v/>
      </c>
    </row>
    <row r="94" spans="1:23" ht="15" customHeight="1">
      <c r="A94" s="791">
        <v>85</v>
      </c>
      <c r="B94" s="792"/>
      <c r="C94" s="333"/>
      <c r="D94" s="565"/>
      <c r="E94" s="22"/>
      <c r="F94" s="334"/>
      <c r="G94" s="335"/>
      <c r="H94" s="22"/>
      <c r="I94" s="22"/>
      <c r="J94" s="336" t="str">
        <f t="shared" si="20"/>
        <v/>
      </c>
      <c r="K94" s="337"/>
      <c r="L94" s="338" t="str">
        <f t="shared" si="21"/>
        <v/>
      </c>
      <c r="M94" s="20" t="str">
        <f t="shared" si="22"/>
        <v/>
      </c>
      <c r="N94" s="20" t="str">
        <f t="shared" si="23"/>
        <v/>
      </c>
      <c r="O94" s="37" t="str">
        <f t="shared" si="24"/>
        <v/>
      </c>
      <c r="P94" s="20" t="str">
        <f t="shared" si="25"/>
        <v/>
      </c>
      <c r="Q94" s="20" t="str">
        <f t="shared" si="26"/>
        <v/>
      </c>
      <c r="R94" s="20" t="str">
        <f t="shared" si="27"/>
        <v/>
      </c>
      <c r="S94" s="20" t="str">
        <f t="shared" si="28"/>
        <v/>
      </c>
      <c r="T94" s="283"/>
      <c r="U94" s="282"/>
      <c r="V94" s="577" t="str" cm="1">
        <f t="array" ref="V94">IF(OR(S94="",J94=""),"",_xlfn.IFS((IFERROR(VALUE(TRIM(SUBSTITUTE(S94,CHAR(160),""))),0))&gt;(IFERROR(VALUE(TRIM(SUBSTITUTE(J94,CHAR(160),""))),0)),"KO : Le montant retenu est supérieur au montant présenté. Merci de revoir la ligne de contribution ou plafonner son montant.",(IFERROR(VALUE(TRIM(SUBSTITUTE(J94,CHAR(160),""))),0))=0,"",(IFERROR(VALUE(TRIM(SUBSTITUTE(S94,CHAR(160),""))),0))=(IFERROR(VALUE(TRIM(SUBSTITUTE(J94,CHAR(160),""))),0)),"OK",(IFERROR(VALUE(TRIM(SUBSTITUTE(S94,CHAR(160),""))),0))&lt;(IFERROR(VALUE(TRIM(SUBSTITUTE(J94,CHAR(160),""))),0)),"Attention : montant présenté partiellement écarté ",TRUE,""))</f>
        <v/>
      </c>
      <c r="W94" s="20" t="str">
        <f t="shared" si="29"/>
        <v/>
      </c>
    </row>
    <row r="95" spans="1:23" ht="15" customHeight="1">
      <c r="A95" s="791">
        <v>86</v>
      </c>
      <c r="B95" s="792"/>
      <c r="C95" s="333"/>
      <c r="D95" s="565"/>
      <c r="E95" s="22"/>
      <c r="F95" s="334"/>
      <c r="G95" s="335"/>
      <c r="H95" s="22"/>
      <c r="I95" s="22"/>
      <c r="J95" s="336" t="str">
        <f t="shared" si="20"/>
        <v/>
      </c>
      <c r="K95" s="337"/>
      <c r="L95" s="338" t="str">
        <f t="shared" si="21"/>
        <v/>
      </c>
      <c r="M95" s="20" t="str">
        <f t="shared" si="22"/>
        <v/>
      </c>
      <c r="N95" s="20" t="str">
        <f t="shared" si="23"/>
        <v/>
      </c>
      <c r="O95" s="37" t="str">
        <f t="shared" si="24"/>
        <v/>
      </c>
      <c r="P95" s="20" t="str">
        <f t="shared" si="25"/>
        <v/>
      </c>
      <c r="Q95" s="20" t="str">
        <f t="shared" si="26"/>
        <v/>
      </c>
      <c r="R95" s="20" t="str">
        <f t="shared" si="27"/>
        <v/>
      </c>
      <c r="S95" s="20" t="str">
        <f t="shared" si="28"/>
        <v/>
      </c>
      <c r="T95" s="283"/>
      <c r="U95" s="282"/>
      <c r="V95" s="577" t="str" cm="1">
        <f t="array" ref="V95">IF(OR(S95="",J95=""),"",_xlfn.IFS((IFERROR(VALUE(TRIM(SUBSTITUTE(S95,CHAR(160),""))),0))&gt;(IFERROR(VALUE(TRIM(SUBSTITUTE(J95,CHAR(160),""))),0)),"KO : Le montant retenu est supérieur au montant présenté. Merci de revoir la ligne de contribution ou plafonner son montant.",(IFERROR(VALUE(TRIM(SUBSTITUTE(J95,CHAR(160),""))),0))=0,"",(IFERROR(VALUE(TRIM(SUBSTITUTE(S95,CHAR(160),""))),0))=(IFERROR(VALUE(TRIM(SUBSTITUTE(J95,CHAR(160),""))),0)),"OK",(IFERROR(VALUE(TRIM(SUBSTITUTE(S95,CHAR(160),""))),0))&lt;(IFERROR(VALUE(TRIM(SUBSTITUTE(J95,CHAR(160),""))),0)),"Attention : montant présenté partiellement écarté ",TRUE,""))</f>
        <v/>
      </c>
      <c r="W95" s="20" t="str">
        <f t="shared" si="29"/>
        <v/>
      </c>
    </row>
    <row r="96" spans="1:23" ht="15" customHeight="1">
      <c r="A96" s="791">
        <v>87</v>
      </c>
      <c r="B96" s="792"/>
      <c r="C96" s="333"/>
      <c r="D96" s="565"/>
      <c r="E96" s="22"/>
      <c r="F96" s="334"/>
      <c r="G96" s="335"/>
      <c r="H96" s="22"/>
      <c r="I96" s="22"/>
      <c r="J96" s="336" t="str">
        <f t="shared" si="20"/>
        <v/>
      </c>
      <c r="K96" s="337"/>
      <c r="L96" s="338" t="str">
        <f t="shared" si="21"/>
        <v/>
      </c>
      <c r="M96" s="20" t="str">
        <f t="shared" si="22"/>
        <v/>
      </c>
      <c r="N96" s="20" t="str">
        <f t="shared" si="23"/>
        <v/>
      </c>
      <c r="O96" s="37" t="str">
        <f t="shared" si="24"/>
        <v/>
      </c>
      <c r="P96" s="20" t="str">
        <f t="shared" si="25"/>
        <v/>
      </c>
      <c r="Q96" s="20" t="str">
        <f t="shared" si="26"/>
        <v/>
      </c>
      <c r="R96" s="20" t="str">
        <f t="shared" si="27"/>
        <v/>
      </c>
      <c r="S96" s="20" t="str">
        <f t="shared" si="28"/>
        <v/>
      </c>
      <c r="T96" s="283"/>
      <c r="U96" s="282"/>
      <c r="V96" s="577" t="str" cm="1">
        <f t="array" ref="V96">IF(OR(S96="",J96=""),"",_xlfn.IFS((IFERROR(VALUE(TRIM(SUBSTITUTE(S96,CHAR(160),""))),0))&gt;(IFERROR(VALUE(TRIM(SUBSTITUTE(J96,CHAR(160),""))),0)),"KO : Le montant retenu est supérieur au montant présenté. Merci de revoir la ligne de contribution ou plafonner son montant.",(IFERROR(VALUE(TRIM(SUBSTITUTE(J96,CHAR(160),""))),0))=0,"",(IFERROR(VALUE(TRIM(SUBSTITUTE(S96,CHAR(160),""))),0))=(IFERROR(VALUE(TRIM(SUBSTITUTE(J96,CHAR(160),""))),0)),"OK",(IFERROR(VALUE(TRIM(SUBSTITUTE(S96,CHAR(160),""))),0))&lt;(IFERROR(VALUE(TRIM(SUBSTITUTE(J96,CHAR(160),""))),0)),"Attention : montant présenté partiellement écarté ",TRUE,""))</f>
        <v/>
      </c>
      <c r="W96" s="20" t="str">
        <f t="shared" si="29"/>
        <v/>
      </c>
    </row>
    <row r="97" spans="1:24" ht="15" customHeight="1">
      <c r="A97" s="791">
        <v>88</v>
      </c>
      <c r="B97" s="792"/>
      <c r="C97" s="333"/>
      <c r="D97" s="565"/>
      <c r="E97" s="22"/>
      <c r="F97" s="334"/>
      <c r="G97" s="335"/>
      <c r="H97" s="22"/>
      <c r="I97" s="22"/>
      <c r="J97" s="336" t="str">
        <f t="shared" si="20"/>
        <v/>
      </c>
      <c r="K97" s="337"/>
      <c r="L97" s="338" t="str">
        <f t="shared" si="21"/>
        <v/>
      </c>
      <c r="M97" s="20" t="str">
        <f t="shared" si="22"/>
        <v/>
      </c>
      <c r="N97" s="20" t="str">
        <f t="shared" si="23"/>
        <v/>
      </c>
      <c r="O97" s="37" t="str">
        <f t="shared" si="24"/>
        <v/>
      </c>
      <c r="P97" s="20" t="str">
        <f t="shared" si="25"/>
        <v/>
      </c>
      <c r="Q97" s="20" t="str">
        <f t="shared" si="26"/>
        <v/>
      </c>
      <c r="R97" s="20" t="str">
        <f t="shared" si="27"/>
        <v/>
      </c>
      <c r="S97" s="20" t="str">
        <f t="shared" si="28"/>
        <v/>
      </c>
      <c r="T97" s="283"/>
      <c r="U97" s="282"/>
      <c r="V97" s="577" t="str" cm="1">
        <f t="array" ref="V97">IF(OR(S97="",J97=""),"",_xlfn.IFS((IFERROR(VALUE(TRIM(SUBSTITUTE(S97,CHAR(160),""))),0))&gt;(IFERROR(VALUE(TRIM(SUBSTITUTE(J97,CHAR(160),""))),0)),"KO : Le montant retenu est supérieur au montant présenté. Merci de revoir la ligne de contribution ou plafonner son montant.",(IFERROR(VALUE(TRIM(SUBSTITUTE(J97,CHAR(160),""))),0))=0,"",(IFERROR(VALUE(TRIM(SUBSTITUTE(S97,CHAR(160),""))),0))=(IFERROR(VALUE(TRIM(SUBSTITUTE(J97,CHAR(160),""))),0)),"OK",(IFERROR(VALUE(TRIM(SUBSTITUTE(S97,CHAR(160),""))),0))&lt;(IFERROR(VALUE(TRIM(SUBSTITUTE(J97,CHAR(160),""))),0)),"Attention : montant présenté partiellement écarté ",TRUE,""))</f>
        <v/>
      </c>
      <c r="W97" s="20" t="str">
        <f t="shared" si="29"/>
        <v/>
      </c>
    </row>
    <row r="98" spans="1:24" ht="15" customHeight="1">
      <c r="A98" s="791">
        <v>89</v>
      </c>
      <c r="B98" s="792"/>
      <c r="C98" s="333"/>
      <c r="D98" s="565"/>
      <c r="E98" s="22"/>
      <c r="F98" s="334"/>
      <c r="G98" s="335"/>
      <c r="H98" s="22"/>
      <c r="I98" s="22"/>
      <c r="J98" s="336" t="str">
        <f t="shared" si="20"/>
        <v/>
      </c>
      <c r="K98" s="337"/>
      <c r="L98" s="338" t="str">
        <f t="shared" si="21"/>
        <v/>
      </c>
      <c r="M98" s="20" t="str">
        <f t="shared" si="22"/>
        <v/>
      </c>
      <c r="N98" s="20" t="str">
        <f t="shared" si="23"/>
        <v/>
      </c>
      <c r="O98" s="37" t="str">
        <f t="shared" si="24"/>
        <v/>
      </c>
      <c r="P98" s="20" t="str">
        <f t="shared" si="25"/>
        <v/>
      </c>
      <c r="Q98" s="20" t="str">
        <f t="shared" si="26"/>
        <v/>
      </c>
      <c r="R98" s="20" t="str">
        <f t="shared" si="27"/>
        <v/>
      </c>
      <c r="S98" s="20" t="str">
        <f t="shared" si="28"/>
        <v/>
      </c>
      <c r="T98" s="283"/>
      <c r="U98" s="282"/>
      <c r="V98" s="577" t="str" cm="1">
        <f t="array" ref="V98">IF(OR(S98="",J98=""),"",_xlfn.IFS((IFERROR(VALUE(TRIM(SUBSTITUTE(S98,CHAR(160),""))),0))&gt;(IFERROR(VALUE(TRIM(SUBSTITUTE(J98,CHAR(160),""))),0)),"KO : Le montant retenu est supérieur au montant présenté. Merci de revoir la ligne de contribution ou plafonner son montant.",(IFERROR(VALUE(TRIM(SUBSTITUTE(J98,CHAR(160),""))),0))=0,"",(IFERROR(VALUE(TRIM(SUBSTITUTE(S98,CHAR(160),""))),0))=(IFERROR(VALUE(TRIM(SUBSTITUTE(J98,CHAR(160),""))),0)),"OK",(IFERROR(VALUE(TRIM(SUBSTITUTE(S98,CHAR(160),""))),0))&lt;(IFERROR(VALUE(TRIM(SUBSTITUTE(J98,CHAR(160),""))),0)),"Attention : montant présenté partiellement écarté ",TRUE,""))</f>
        <v/>
      </c>
      <c r="W98" s="20" t="str">
        <f t="shared" si="29"/>
        <v/>
      </c>
    </row>
    <row r="99" spans="1:24" ht="15" customHeight="1">
      <c r="A99" s="791">
        <v>90</v>
      </c>
      <c r="B99" s="792"/>
      <c r="C99" s="333"/>
      <c r="D99" s="565"/>
      <c r="E99" s="22"/>
      <c r="F99" s="334"/>
      <c r="G99" s="335"/>
      <c r="H99" s="22"/>
      <c r="I99" s="22"/>
      <c r="J99" s="336" t="str">
        <f t="shared" si="20"/>
        <v/>
      </c>
      <c r="K99" s="337"/>
      <c r="L99" s="338" t="str">
        <f t="shared" si="21"/>
        <v/>
      </c>
      <c r="M99" s="20" t="str">
        <f t="shared" si="22"/>
        <v/>
      </c>
      <c r="N99" s="20" t="str">
        <f t="shared" si="23"/>
        <v/>
      </c>
      <c r="O99" s="37" t="str">
        <f t="shared" si="24"/>
        <v/>
      </c>
      <c r="P99" s="20" t="str">
        <f t="shared" si="25"/>
        <v/>
      </c>
      <c r="Q99" s="20" t="str">
        <f t="shared" si="26"/>
        <v/>
      </c>
      <c r="R99" s="20" t="str">
        <f t="shared" si="27"/>
        <v/>
      </c>
      <c r="S99" s="20" t="str">
        <f t="shared" si="28"/>
        <v/>
      </c>
      <c r="T99" s="283"/>
      <c r="U99" s="282"/>
      <c r="V99" s="577" t="str" cm="1">
        <f t="array" ref="V99">IF(OR(S99="",J99=""),"",_xlfn.IFS((IFERROR(VALUE(TRIM(SUBSTITUTE(S99,CHAR(160),""))),0))&gt;(IFERROR(VALUE(TRIM(SUBSTITUTE(J99,CHAR(160),""))),0)),"KO : Le montant retenu est supérieur au montant présenté. Merci de revoir la ligne de contribution ou plafonner son montant.",(IFERROR(VALUE(TRIM(SUBSTITUTE(J99,CHAR(160),""))),0))=0,"",(IFERROR(VALUE(TRIM(SUBSTITUTE(S99,CHAR(160),""))),0))=(IFERROR(VALUE(TRIM(SUBSTITUTE(J99,CHAR(160),""))),0)),"OK",(IFERROR(VALUE(TRIM(SUBSTITUTE(S99,CHAR(160),""))),0))&lt;(IFERROR(VALUE(TRIM(SUBSTITUTE(J99,CHAR(160),""))),0)),"Attention : montant présenté partiellement écarté ",TRUE,""))</f>
        <v/>
      </c>
      <c r="W99" s="20" t="str">
        <f t="shared" si="29"/>
        <v/>
      </c>
    </row>
    <row r="100" spans="1:24" ht="15" customHeight="1">
      <c r="A100" s="791">
        <v>91</v>
      </c>
      <c r="B100" s="792"/>
      <c r="C100" s="333"/>
      <c r="D100" s="565"/>
      <c r="E100" s="22"/>
      <c r="F100" s="334"/>
      <c r="G100" s="335"/>
      <c r="H100" s="22"/>
      <c r="I100" s="22"/>
      <c r="J100" s="336" t="str">
        <f t="shared" si="20"/>
        <v/>
      </c>
      <c r="K100" s="337"/>
      <c r="L100" s="338" t="str">
        <f t="shared" si="21"/>
        <v/>
      </c>
      <c r="M100" s="20" t="str">
        <f t="shared" si="22"/>
        <v/>
      </c>
      <c r="N100" s="20" t="str">
        <f t="shared" si="23"/>
        <v/>
      </c>
      <c r="O100" s="37" t="str">
        <f t="shared" si="24"/>
        <v/>
      </c>
      <c r="P100" s="20" t="str">
        <f t="shared" si="25"/>
        <v/>
      </c>
      <c r="Q100" s="20" t="str">
        <f t="shared" si="26"/>
        <v/>
      </c>
      <c r="R100" s="20" t="str">
        <f t="shared" si="27"/>
        <v/>
      </c>
      <c r="S100" s="20" t="str">
        <f t="shared" si="28"/>
        <v/>
      </c>
      <c r="T100" s="283"/>
      <c r="U100" s="282"/>
      <c r="V100" s="577" t="str" cm="1">
        <f t="array" ref="V100">IF(OR(S100="",J100=""),"",_xlfn.IFS((IFERROR(VALUE(TRIM(SUBSTITUTE(S100,CHAR(160),""))),0))&gt;(IFERROR(VALUE(TRIM(SUBSTITUTE(J100,CHAR(160),""))),0)),"KO : Le montant retenu est supérieur au montant présenté. Merci de revoir la ligne de contribution ou plafonner son montant.",(IFERROR(VALUE(TRIM(SUBSTITUTE(J100,CHAR(160),""))),0))=0,"",(IFERROR(VALUE(TRIM(SUBSTITUTE(S100,CHAR(160),""))),0))=(IFERROR(VALUE(TRIM(SUBSTITUTE(J100,CHAR(160),""))),0)),"OK",(IFERROR(VALUE(TRIM(SUBSTITUTE(S100,CHAR(160),""))),0))&lt;(IFERROR(VALUE(TRIM(SUBSTITUTE(J100,CHAR(160),""))),0)),"Attention : montant présenté partiellement écarté ",TRUE,""))</f>
        <v/>
      </c>
      <c r="W100" s="20" t="str">
        <f t="shared" si="29"/>
        <v/>
      </c>
    </row>
    <row r="101" spans="1:24" ht="15" customHeight="1">
      <c r="A101" s="791">
        <v>92</v>
      </c>
      <c r="B101" s="792"/>
      <c r="C101" s="333"/>
      <c r="D101" s="565"/>
      <c r="E101" s="22"/>
      <c r="F101" s="334"/>
      <c r="G101" s="335"/>
      <c r="H101" s="22"/>
      <c r="I101" s="22"/>
      <c r="J101" s="336" t="str">
        <f t="shared" si="20"/>
        <v/>
      </c>
      <c r="K101" s="337"/>
      <c r="L101" s="338" t="str">
        <f t="shared" si="21"/>
        <v/>
      </c>
      <c r="M101" s="20" t="str">
        <f t="shared" si="22"/>
        <v/>
      </c>
      <c r="N101" s="20" t="str">
        <f t="shared" si="23"/>
        <v/>
      </c>
      <c r="O101" s="37" t="str">
        <f t="shared" si="24"/>
        <v/>
      </c>
      <c r="P101" s="20" t="str">
        <f t="shared" si="25"/>
        <v/>
      </c>
      <c r="Q101" s="20" t="str">
        <f t="shared" si="26"/>
        <v/>
      </c>
      <c r="R101" s="20" t="str">
        <f t="shared" si="27"/>
        <v/>
      </c>
      <c r="S101" s="20" t="str">
        <f t="shared" si="28"/>
        <v/>
      </c>
      <c r="T101" s="283"/>
      <c r="U101" s="282"/>
      <c r="V101" s="577" t="str" cm="1">
        <f t="array" ref="V101">IF(OR(S101="",J101=""),"",_xlfn.IFS((IFERROR(VALUE(TRIM(SUBSTITUTE(S101,CHAR(160),""))),0))&gt;(IFERROR(VALUE(TRIM(SUBSTITUTE(J101,CHAR(160),""))),0)),"KO : Le montant retenu est supérieur au montant présenté. Merci de revoir la ligne de contribution ou plafonner son montant.",(IFERROR(VALUE(TRIM(SUBSTITUTE(J101,CHAR(160),""))),0))=0,"",(IFERROR(VALUE(TRIM(SUBSTITUTE(S101,CHAR(160),""))),0))=(IFERROR(VALUE(TRIM(SUBSTITUTE(J101,CHAR(160),""))),0)),"OK",(IFERROR(VALUE(TRIM(SUBSTITUTE(S101,CHAR(160),""))),0))&lt;(IFERROR(VALUE(TRIM(SUBSTITUTE(J101,CHAR(160),""))),0)),"Attention : montant présenté partiellement écarté ",TRUE,""))</f>
        <v/>
      </c>
      <c r="W101" s="20" t="str">
        <f t="shared" si="29"/>
        <v/>
      </c>
    </row>
    <row r="102" spans="1:24" ht="15" customHeight="1">
      <c r="A102" s="791">
        <v>93</v>
      </c>
      <c r="B102" s="792"/>
      <c r="C102" s="333"/>
      <c r="D102" s="565"/>
      <c r="E102" s="22"/>
      <c r="F102" s="334"/>
      <c r="G102" s="335"/>
      <c r="H102" s="22"/>
      <c r="I102" s="22"/>
      <c r="J102" s="336" t="str">
        <f t="shared" si="20"/>
        <v/>
      </c>
      <c r="K102" s="337"/>
      <c r="L102" s="338" t="str">
        <f t="shared" si="21"/>
        <v/>
      </c>
      <c r="M102" s="20" t="str">
        <f t="shared" si="22"/>
        <v/>
      </c>
      <c r="N102" s="20" t="str">
        <f t="shared" si="23"/>
        <v/>
      </c>
      <c r="O102" s="37" t="str">
        <f t="shared" si="24"/>
        <v/>
      </c>
      <c r="P102" s="20" t="str">
        <f t="shared" si="25"/>
        <v/>
      </c>
      <c r="Q102" s="20" t="str">
        <f t="shared" si="26"/>
        <v/>
      </c>
      <c r="R102" s="20" t="str">
        <f t="shared" si="27"/>
        <v/>
      </c>
      <c r="S102" s="20" t="str">
        <f t="shared" si="28"/>
        <v/>
      </c>
      <c r="T102" s="283"/>
      <c r="U102" s="282"/>
      <c r="V102" s="577" t="str" cm="1">
        <f t="array" ref="V102">IF(OR(S102="",J102=""),"",_xlfn.IFS((IFERROR(VALUE(TRIM(SUBSTITUTE(S102,CHAR(160),""))),0))&gt;(IFERROR(VALUE(TRIM(SUBSTITUTE(J102,CHAR(160),""))),0)),"KO : Le montant retenu est supérieur au montant présenté. Merci de revoir la ligne de contribution ou plafonner son montant.",(IFERROR(VALUE(TRIM(SUBSTITUTE(J102,CHAR(160),""))),0))=0,"",(IFERROR(VALUE(TRIM(SUBSTITUTE(S102,CHAR(160),""))),0))=(IFERROR(VALUE(TRIM(SUBSTITUTE(J102,CHAR(160),""))),0)),"OK",(IFERROR(VALUE(TRIM(SUBSTITUTE(S102,CHAR(160),""))),0))&lt;(IFERROR(VALUE(TRIM(SUBSTITUTE(J102,CHAR(160),""))),0)),"Attention : montant présenté partiellement écarté ",TRUE,""))</f>
        <v/>
      </c>
      <c r="W102" s="20" t="str">
        <f t="shared" si="29"/>
        <v/>
      </c>
    </row>
    <row r="103" spans="1:24" ht="15" customHeight="1">
      <c r="A103" s="791">
        <v>94</v>
      </c>
      <c r="B103" s="792"/>
      <c r="C103" s="333"/>
      <c r="D103" s="565"/>
      <c r="E103" s="22"/>
      <c r="F103" s="334"/>
      <c r="G103" s="335"/>
      <c r="H103" s="22"/>
      <c r="I103" s="22"/>
      <c r="J103" s="336" t="str">
        <f t="shared" si="20"/>
        <v/>
      </c>
      <c r="K103" s="337"/>
      <c r="L103" s="338" t="str">
        <f t="shared" si="21"/>
        <v/>
      </c>
      <c r="M103" s="20" t="str">
        <f t="shared" si="22"/>
        <v/>
      </c>
      <c r="N103" s="20" t="str">
        <f t="shared" si="23"/>
        <v/>
      </c>
      <c r="O103" s="37" t="str">
        <f t="shared" si="24"/>
        <v/>
      </c>
      <c r="P103" s="20" t="str">
        <f t="shared" si="25"/>
        <v/>
      </c>
      <c r="Q103" s="20" t="str">
        <f t="shared" si="26"/>
        <v/>
      </c>
      <c r="R103" s="20" t="str">
        <f t="shared" si="27"/>
        <v/>
      </c>
      <c r="S103" s="20" t="str">
        <f t="shared" si="28"/>
        <v/>
      </c>
      <c r="T103" s="283"/>
      <c r="U103" s="282"/>
      <c r="V103" s="577" t="str" cm="1">
        <f t="array" ref="V103">IF(OR(S103="",J103=""),"",_xlfn.IFS((IFERROR(VALUE(TRIM(SUBSTITUTE(S103,CHAR(160),""))),0))&gt;(IFERROR(VALUE(TRIM(SUBSTITUTE(J103,CHAR(160),""))),0)),"KO : Le montant retenu est supérieur au montant présenté. Merci de revoir la ligne de contribution ou plafonner son montant.",(IFERROR(VALUE(TRIM(SUBSTITUTE(J103,CHAR(160),""))),0))=0,"",(IFERROR(VALUE(TRIM(SUBSTITUTE(S103,CHAR(160),""))),0))=(IFERROR(VALUE(TRIM(SUBSTITUTE(J103,CHAR(160),""))),0)),"OK",(IFERROR(VALUE(TRIM(SUBSTITUTE(S103,CHAR(160),""))),0))&lt;(IFERROR(VALUE(TRIM(SUBSTITUTE(J103,CHAR(160),""))),0)),"Attention : montant présenté partiellement écarté ",TRUE,""))</f>
        <v/>
      </c>
      <c r="W103" s="20" t="str">
        <f t="shared" si="29"/>
        <v/>
      </c>
    </row>
    <row r="104" spans="1:24" ht="15" customHeight="1">
      <c r="A104" s="791">
        <v>95</v>
      </c>
      <c r="B104" s="792"/>
      <c r="C104" s="333"/>
      <c r="D104" s="565"/>
      <c r="E104" s="22"/>
      <c r="F104" s="334"/>
      <c r="G104" s="335"/>
      <c r="H104" s="22"/>
      <c r="I104" s="22"/>
      <c r="J104" s="336" t="str">
        <f t="shared" si="20"/>
        <v/>
      </c>
      <c r="K104" s="337"/>
      <c r="L104" s="338" t="str">
        <f t="shared" si="21"/>
        <v/>
      </c>
      <c r="M104" s="20" t="str">
        <f t="shared" si="22"/>
        <v/>
      </c>
      <c r="N104" s="20" t="str">
        <f t="shared" si="23"/>
        <v/>
      </c>
      <c r="O104" s="37" t="str">
        <f t="shared" si="24"/>
        <v/>
      </c>
      <c r="P104" s="20" t="str">
        <f t="shared" si="25"/>
        <v/>
      </c>
      <c r="Q104" s="20" t="str">
        <f t="shared" si="26"/>
        <v/>
      </c>
      <c r="R104" s="20" t="str">
        <f t="shared" si="27"/>
        <v/>
      </c>
      <c r="S104" s="20" t="str">
        <f t="shared" si="28"/>
        <v/>
      </c>
      <c r="T104" s="283"/>
      <c r="U104" s="282"/>
      <c r="V104" s="577" t="str" cm="1">
        <f t="array" ref="V104">IF(OR(S104="",J104=""),"",_xlfn.IFS((IFERROR(VALUE(TRIM(SUBSTITUTE(S104,CHAR(160),""))),0))&gt;(IFERROR(VALUE(TRIM(SUBSTITUTE(J104,CHAR(160),""))),0)),"KO : Le montant retenu est supérieur au montant présenté. Merci de revoir la ligne de contribution ou plafonner son montant.",(IFERROR(VALUE(TRIM(SUBSTITUTE(J104,CHAR(160),""))),0))=0,"",(IFERROR(VALUE(TRIM(SUBSTITUTE(S104,CHAR(160),""))),0))=(IFERROR(VALUE(TRIM(SUBSTITUTE(J104,CHAR(160),""))),0)),"OK",(IFERROR(VALUE(TRIM(SUBSTITUTE(S104,CHAR(160),""))),0))&lt;(IFERROR(VALUE(TRIM(SUBSTITUTE(J104,CHAR(160),""))),0)),"Attention : montant présenté partiellement écarté ",TRUE,""))</f>
        <v/>
      </c>
      <c r="W104" s="20" t="str">
        <f t="shared" si="29"/>
        <v/>
      </c>
    </row>
    <row r="105" spans="1:24" ht="15" customHeight="1">
      <c r="A105" s="791">
        <v>96</v>
      </c>
      <c r="B105" s="792"/>
      <c r="C105" s="333"/>
      <c r="D105" s="565"/>
      <c r="E105" s="22"/>
      <c r="F105" s="334"/>
      <c r="G105" s="335"/>
      <c r="H105" s="22"/>
      <c r="I105" s="22"/>
      <c r="J105" s="336" t="str">
        <f t="shared" si="20"/>
        <v/>
      </c>
      <c r="K105" s="337"/>
      <c r="L105" s="338" t="str">
        <f t="shared" si="21"/>
        <v/>
      </c>
      <c r="M105" s="20" t="str">
        <f t="shared" si="22"/>
        <v/>
      </c>
      <c r="N105" s="20" t="str">
        <f t="shared" si="23"/>
        <v/>
      </c>
      <c r="O105" s="37" t="str">
        <f t="shared" si="24"/>
        <v/>
      </c>
      <c r="P105" s="20" t="str">
        <f t="shared" si="25"/>
        <v/>
      </c>
      <c r="Q105" s="20" t="str">
        <f t="shared" si="26"/>
        <v/>
      </c>
      <c r="R105" s="20" t="str">
        <f t="shared" si="27"/>
        <v/>
      </c>
      <c r="S105" s="20" t="str">
        <f t="shared" si="28"/>
        <v/>
      </c>
      <c r="T105" s="283"/>
      <c r="U105" s="282"/>
      <c r="V105" s="577" t="str" cm="1">
        <f t="array" ref="V105">IF(OR(S105="",J105=""),"",_xlfn.IFS((IFERROR(VALUE(TRIM(SUBSTITUTE(S105,CHAR(160),""))),0))&gt;(IFERROR(VALUE(TRIM(SUBSTITUTE(J105,CHAR(160),""))),0)),"KO : Le montant retenu est supérieur au montant présenté. Merci de revoir la ligne de contribution ou plafonner son montant.",(IFERROR(VALUE(TRIM(SUBSTITUTE(J105,CHAR(160),""))),0))=0,"",(IFERROR(VALUE(TRIM(SUBSTITUTE(S105,CHAR(160),""))),0))=(IFERROR(VALUE(TRIM(SUBSTITUTE(J105,CHAR(160),""))),0)),"OK",(IFERROR(VALUE(TRIM(SUBSTITUTE(S105,CHAR(160),""))),0))&lt;(IFERROR(VALUE(TRIM(SUBSTITUTE(J105,CHAR(160),""))),0)),"Attention : montant présenté partiellement écarté ",TRUE,""))</f>
        <v/>
      </c>
      <c r="W105" s="20" t="str">
        <f t="shared" si="29"/>
        <v/>
      </c>
    </row>
    <row r="106" spans="1:24" ht="15" customHeight="1">
      <c r="A106" s="791">
        <v>97</v>
      </c>
      <c r="B106" s="792"/>
      <c r="C106" s="333"/>
      <c r="D106" s="565"/>
      <c r="E106" s="22"/>
      <c r="F106" s="334"/>
      <c r="G106" s="335"/>
      <c r="H106" s="22"/>
      <c r="I106" s="22"/>
      <c r="J106" s="336" t="str">
        <f t="shared" si="20"/>
        <v/>
      </c>
      <c r="K106" s="337"/>
      <c r="L106" s="338" t="str">
        <f t="shared" si="21"/>
        <v/>
      </c>
      <c r="M106" s="20" t="str">
        <f t="shared" si="22"/>
        <v/>
      </c>
      <c r="N106" s="20" t="str">
        <f t="shared" si="23"/>
        <v/>
      </c>
      <c r="O106" s="37" t="str">
        <f t="shared" si="24"/>
        <v/>
      </c>
      <c r="P106" s="20" t="str">
        <f t="shared" si="25"/>
        <v/>
      </c>
      <c r="Q106" s="20" t="str">
        <f t="shared" si="26"/>
        <v/>
      </c>
      <c r="R106" s="20" t="str">
        <f t="shared" si="27"/>
        <v/>
      </c>
      <c r="S106" s="20" t="str">
        <f t="shared" si="28"/>
        <v/>
      </c>
      <c r="T106" s="283"/>
      <c r="U106" s="282"/>
      <c r="V106" s="577" t="str" cm="1">
        <f t="array" ref="V106">IF(OR(S106="",J106=""),"",_xlfn.IFS((IFERROR(VALUE(TRIM(SUBSTITUTE(S106,CHAR(160),""))),0))&gt;(IFERROR(VALUE(TRIM(SUBSTITUTE(J106,CHAR(160),""))),0)),"KO : Le montant retenu est supérieur au montant présenté. Merci de revoir la ligne de contribution ou plafonner son montant.",(IFERROR(VALUE(TRIM(SUBSTITUTE(J106,CHAR(160),""))),0))=0,"",(IFERROR(VALUE(TRIM(SUBSTITUTE(S106,CHAR(160),""))),0))=(IFERROR(VALUE(TRIM(SUBSTITUTE(J106,CHAR(160),""))),0)),"OK",(IFERROR(VALUE(TRIM(SUBSTITUTE(S106,CHAR(160),""))),0))&lt;(IFERROR(VALUE(TRIM(SUBSTITUTE(J106,CHAR(160),""))),0)),"Attention : montant présenté partiellement écarté ",TRUE,""))</f>
        <v/>
      </c>
      <c r="W106" s="20" t="str">
        <f t="shared" si="29"/>
        <v/>
      </c>
    </row>
    <row r="107" spans="1:24" ht="15" customHeight="1">
      <c r="A107" s="791">
        <v>98</v>
      </c>
      <c r="B107" s="792"/>
      <c r="C107" s="333"/>
      <c r="D107" s="565"/>
      <c r="E107" s="22"/>
      <c r="F107" s="334"/>
      <c r="G107" s="335"/>
      <c r="H107" s="22"/>
      <c r="I107" s="22"/>
      <c r="J107" s="336" t="str">
        <f t="shared" si="20"/>
        <v/>
      </c>
      <c r="K107" s="337"/>
      <c r="L107" s="338" t="str">
        <f t="shared" si="21"/>
        <v/>
      </c>
      <c r="M107" s="20" t="str">
        <f t="shared" si="22"/>
        <v/>
      </c>
      <c r="N107" s="20" t="str">
        <f t="shared" si="23"/>
        <v/>
      </c>
      <c r="O107" s="37" t="str">
        <f t="shared" si="24"/>
        <v/>
      </c>
      <c r="P107" s="20" t="str">
        <f t="shared" si="25"/>
        <v/>
      </c>
      <c r="Q107" s="20" t="str">
        <f t="shared" si="26"/>
        <v/>
      </c>
      <c r="R107" s="20" t="str">
        <f t="shared" si="27"/>
        <v/>
      </c>
      <c r="S107" s="20" t="str">
        <f t="shared" si="28"/>
        <v/>
      </c>
      <c r="T107" s="283"/>
      <c r="U107" s="282"/>
      <c r="V107" s="577" t="str" cm="1">
        <f t="array" ref="V107">IF(OR(S107="",J107=""),"",_xlfn.IFS((IFERROR(VALUE(TRIM(SUBSTITUTE(S107,CHAR(160),""))),0))&gt;(IFERROR(VALUE(TRIM(SUBSTITUTE(J107,CHAR(160),""))),0)),"KO : Le montant retenu est supérieur au montant présenté. Merci de revoir la ligne de contribution ou plafonner son montant.",(IFERROR(VALUE(TRIM(SUBSTITUTE(J107,CHAR(160),""))),0))=0,"",(IFERROR(VALUE(TRIM(SUBSTITUTE(S107,CHAR(160),""))),0))=(IFERROR(VALUE(TRIM(SUBSTITUTE(J107,CHAR(160),""))),0)),"OK",(IFERROR(VALUE(TRIM(SUBSTITUTE(S107,CHAR(160),""))),0))&lt;(IFERROR(VALUE(TRIM(SUBSTITUTE(J107,CHAR(160),""))),0)),"Attention : montant présenté partiellement écarté ",TRUE,""))</f>
        <v/>
      </c>
      <c r="W107" s="20" t="str">
        <f t="shared" si="29"/>
        <v/>
      </c>
    </row>
    <row r="108" spans="1:24" ht="15" customHeight="1">
      <c r="A108" s="791">
        <v>99</v>
      </c>
      <c r="B108" s="792"/>
      <c r="C108" s="333"/>
      <c r="D108" s="565"/>
      <c r="E108" s="22"/>
      <c r="F108" s="334"/>
      <c r="G108" s="335"/>
      <c r="H108" s="22"/>
      <c r="I108" s="22"/>
      <c r="J108" s="336" t="str">
        <f t="shared" si="20"/>
        <v/>
      </c>
      <c r="K108" s="337"/>
      <c r="L108" s="338" t="str">
        <f t="shared" si="21"/>
        <v/>
      </c>
      <c r="M108" s="20" t="str">
        <f t="shared" si="22"/>
        <v/>
      </c>
      <c r="N108" s="20" t="str">
        <f t="shared" si="23"/>
        <v/>
      </c>
      <c r="O108" s="37" t="str">
        <f t="shared" si="24"/>
        <v/>
      </c>
      <c r="P108" s="20" t="str">
        <f t="shared" si="25"/>
        <v/>
      </c>
      <c r="Q108" s="20" t="str">
        <f t="shared" si="26"/>
        <v/>
      </c>
      <c r="R108" s="20" t="str">
        <f t="shared" si="27"/>
        <v/>
      </c>
      <c r="S108" s="20" t="str">
        <f t="shared" si="28"/>
        <v/>
      </c>
      <c r="T108" s="283"/>
      <c r="U108" s="282"/>
      <c r="V108" s="577" t="str" cm="1">
        <f t="array" ref="V108">IF(OR(S108="",J108=""),"",_xlfn.IFS((IFERROR(VALUE(TRIM(SUBSTITUTE(S108,CHAR(160),""))),0))&gt;(IFERROR(VALUE(TRIM(SUBSTITUTE(J108,CHAR(160),""))),0)),"KO : Le montant retenu est supérieur au montant présenté. Merci de revoir la ligne de contribution ou plafonner son montant.",(IFERROR(VALUE(TRIM(SUBSTITUTE(J108,CHAR(160),""))),0))=0,"",(IFERROR(VALUE(TRIM(SUBSTITUTE(S108,CHAR(160),""))),0))=(IFERROR(VALUE(TRIM(SUBSTITUTE(J108,CHAR(160),""))),0)),"OK",(IFERROR(VALUE(TRIM(SUBSTITUTE(S108,CHAR(160),""))),0))&lt;(IFERROR(VALUE(TRIM(SUBSTITUTE(J108,CHAR(160),""))),0)),"Attention : montant présenté partiellement écarté ",TRUE,""))</f>
        <v/>
      </c>
      <c r="W108" s="20" t="str">
        <f t="shared" si="29"/>
        <v/>
      </c>
    </row>
    <row r="109" spans="1:24" ht="15" customHeight="1">
      <c r="A109" s="791">
        <v>100</v>
      </c>
      <c r="B109" s="792"/>
      <c r="C109" s="333"/>
      <c r="D109" s="565"/>
      <c r="E109" s="22"/>
      <c r="F109" s="334"/>
      <c r="G109" s="335"/>
      <c r="H109" s="22"/>
      <c r="I109" s="22"/>
      <c r="J109" s="336" t="str">
        <f t="shared" si="20"/>
        <v/>
      </c>
      <c r="K109" s="337"/>
      <c r="L109" s="338" t="str">
        <f t="shared" si="21"/>
        <v/>
      </c>
      <c r="M109" s="20" t="str">
        <f t="shared" si="22"/>
        <v/>
      </c>
      <c r="N109" s="20" t="str">
        <f t="shared" si="23"/>
        <v/>
      </c>
      <c r="O109" s="37" t="str">
        <f t="shared" si="24"/>
        <v/>
      </c>
      <c r="P109" s="20" t="str">
        <f t="shared" si="25"/>
        <v/>
      </c>
      <c r="Q109" s="20" t="str">
        <f t="shared" si="26"/>
        <v/>
      </c>
      <c r="R109" s="20" t="str">
        <f t="shared" si="27"/>
        <v/>
      </c>
      <c r="S109" s="20" t="str">
        <f t="shared" si="28"/>
        <v/>
      </c>
      <c r="T109" s="283"/>
      <c r="U109" s="282"/>
      <c r="V109" s="577" t="str" cm="1">
        <f t="array" ref="V109">IF(OR(S109="",J109=""),"",_xlfn.IFS((IFERROR(VALUE(TRIM(SUBSTITUTE(S109,CHAR(160),""))),0))&gt;(IFERROR(VALUE(TRIM(SUBSTITUTE(J109,CHAR(160),""))),0)),"KO : Le montant retenu est supérieur au montant présenté. Merci de revoir la ligne de contribution ou plafonner son montant.",(IFERROR(VALUE(TRIM(SUBSTITUTE(J109,CHAR(160),""))),0))=0,"",(IFERROR(VALUE(TRIM(SUBSTITUTE(S109,CHAR(160),""))),0))=(IFERROR(VALUE(TRIM(SUBSTITUTE(J109,CHAR(160),""))),0)),"OK",(IFERROR(VALUE(TRIM(SUBSTITUTE(S109,CHAR(160),""))),0))&lt;(IFERROR(VALUE(TRIM(SUBSTITUTE(J109,CHAR(160),""))),0)),"Attention : montant présenté partiellement écarté ",TRUE,""))</f>
        <v/>
      </c>
      <c r="W109" s="20" t="str">
        <f t="shared" si="29"/>
        <v/>
      </c>
    </row>
    <row r="110" spans="1:24" ht="15.95" thickBot="1">
      <c r="A110" s="788"/>
      <c r="B110" s="327"/>
      <c r="C110" s="327"/>
      <c r="D110" s="339"/>
      <c r="E110" s="327"/>
      <c r="F110" s="327"/>
      <c r="G110" s="327"/>
      <c r="H110" s="327"/>
      <c r="I110" s="340" t="s">
        <v>165</v>
      </c>
      <c r="J110" s="71">
        <f>SUM(J10:J109)</f>
        <v>4400</v>
      </c>
      <c r="K110" s="328"/>
      <c r="L110" s="329"/>
      <c r="M110" s="329"/>
      <c r="N110" s="329"/>
      <c r="O110" s="329"/>
      <c r="P110" s="341"/>
      <c r="Q110" s="329"/>
      <c r="R110" s="342" t="s">
        <v>166</v>
      </c>
      <c r="S110" s="56">
        <f>SUM(S10:S109)</f>
        <v>4400</v>
      </c>
      <c r="T110" s="342"/>
      <c r="U110" s="344"/>
      <c r="V110" s="345" t="str" cm="1">
        <f t="array" ref="V110">IF(OR(S110="",J110=""),"",_xlfn.IFS((IFERROR(VALUE(TRIM(SUBSTITUTE(S110,CHAR(160),""))),0))&gt;(IFERROR(VALUE(TRIM(SUBSTITUTE(J110,CHAR(160),""))),0)),"KO : Le montant retenu est supérieur au montant présenté. Merci de revoir la ligne de contribution ou plafonner son montant.",(IFERROR(VALUE(TRIM(SUBSTITUTE(J110,CHAR(160),""))),0))=0,"",(IFERROR(VALUE(TRIM(SUBSTITUTE(S110,CHAR(160),""))),0))=(IFERROR(VALUE(TRIM(SUBSTITUTE(J110,CHAR(160),""))),0)),"OK",(IFERROR(VALUE(TRIM(SUBSTITUTE(S110,CHAR(160),""))),0))&lt;(IFERROR(VALUE(TRIM(SUBSTITUTE(J110,CHAR(160),""))),0)),"Attention : montant présenté partiellement écarté ",TRUE,""))</f>
        <v>OK</v>
      </c>
      <c r="W110" s="343">
        <f>SUM(W10:W109)</f>
        <v>0</v>
      </c>
      <c r="X110" s="346"/>
    </row>
  </sheetData>
  <sheetProtection formatCells="0" formatColumns="0" formatRows="0" insertColumns="0" insertRows="0" insertHyperlinks="0" deleteColumns="0" deleteRows="0" sort="0" autoFilter="0" pivotTables="0"/>
  <mergeCells count="12">
    <mergeCell ref="A2:K2"/>
    <mergeCell ref="L2:W2"/>
    <mergeCell ref="A7:A8"/>
    <mergeCell ref="J5:J6"/>
    <mergeCell ref="K5:K6"/>
    <mergeCell ref="U5:U6"/>
    <mergeCell ref="V5:V6"/>
    <mergeCell ref="W5:W6"/>
    <mergeCell ref="H5:I6"/>
    <mergeCell ref="A5:G6"/>
    <mergeCell ref="L5:P6"/>
    <mergeCell ref="Q5:T6"/>
  </mergeCells>
  <conditionalFormatting sqref="L9:S109">
    <cfRule type="expression" dxfId="41" priority="278" stopIfTrue="1">
      <formula>L9&lt;&gt;C9</formula>
    </cfRule>
  </conditionalFormatting>
  <conditionalFormatting sqref="T10:T14 U15 T16:T109">
    <cfRule type="containsText" dxfId="40" priority="2" operator="containsText" text="Non">
      <formula>NOT(ISERROR(SEARCH("Non",T10)))</formula>
    </cfRule>
  </conditionalFormatting>
  <conditionalFormatting sqref="V9:V109">
    <cfRule type="containsText" dxfId="39" priority="3" operator="containsText" text="OK">
      <formula>NOT(ISERROR(SEARCH("OK",V9)))</formula>
    </cfRule>
    <cfRule type="containsText" dxfId="38" priority="4" operator="containsText" text="KO">
      <formula>NOT(ISERROR(SEARCH("KO",V9)))</formula>
    </cfRule>
    <cfRule type="containsText" dxfId="37" priority="5" operator="containsText" text="Attention">
      <formula>NOT(ISERROR(SEARCH("Attention",V9)))</formula>
    </cfRule>
  </conditionalFormatting>
  <dataValidations count="1">
    <dataValidation type="list" allowBlank="1" showInputMessage="1" showErrorMessage="1" sqref="T10:T14 T16:T109 U15" xr:uid="{414D89FD-1A8A-430F-B97F-0BB29E320226}">
      <formula1>"Oui,Non"</formula1>
    </dataValidation>
  </dataValidations>
  <pageMargins left="0.7" right="0.7" top="0.75" bottom="0.75" header="0.3" footer="0.3"/>
  <pageSetup paperSize="9" scale="16"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38DB77D-4BD9-450D-891B-9D54902DD5E9}">
          <x14:formula1>
            <xm:f>'0-Présentation typeaction'!$H$7</xm:f>
          </x14:formula1>
          <xm:sqref>D9:D109</xm:sqref>
        </x14:dataValidation>
        <x14:dataValidation type="list" allowBlank="1" showInputMessage="1" showErrorMessage="1" xr:uid="{7829C150-8CE1-4EE0-8C73-F418D79A7BE4}">
          <x14:formula1>
            <xm:f>'0-Présentation typeaction'!$H$26:$H$36</xm:f>
          </x14:formula1>
          <xm:sqref>B10:B109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B60D-06C9-4F36-85E8-63FA6AEBC443}">
  <sheetPr>
    <tabColor rgb="FF227A56"/>
    <pageSetUpPr fitToPage="1"/>
  </sheetPr>
  <dimension ref="A1:AH114"/>
  <sheetViews>
    <sheetView showGridLines="0" topLeftCell="U3" zoomScaleNormal="100" workbookViewId="0">
      <selection activeCell="G64" sqref="G64"/>
    </sheetView>
  </sheetViews>
  <sheetFormatPr defaultColWidth="11.42578125" defaultRowHeight="15" outlineLevelCol="1"/>
  <cols>
    <col min="1" max="2" width="10.42578125" style="46" customWidth="1"/>
    <col min="3" max="7" width="27.42578125" style="46" customWidth="1"/>
    <col min="8" max="9" width="19.42578125" style="46" customWidth="1"/>
    <col min="10" max="10" width="21.42578125" style="46" customWidth="1"/>
    <col min="11" max="13" width="19.42578125" style="46" customWidth="1"/>
    <col min="14" max="14" width="38.42578125" style="46" customWidth="1"/>
    <col min="15" max="15" width="27.140625" style="46" customWidth="1"/>
    <col min="16" max="16" width="50.42578125" style="46" customWidth="1"/>
    <col min="17" max="21" width="27.42578125" style="46" customWidth="1" outlineLevel="1"/>
    <col min="22" max="27" width="19.42578125" style="46" customWidth="1" outlineLevel="1"/>
    <col min="28" max="28" width="26.42578125" style="46" customWidth="1" outlineLevel="1"/>
    <col min="29" max="30" width="19.42578125" style="46" customWidth="1" outlineLevel="1"/>
    <col min="31" max="31" width="46.42578125" style="46" customWidth="1" outlineLevel="1"/>
    <col min="32" max="32" width="56.85546875" style="46" customWidth="1" outlineLevel="1"/>
    <col min="33" max="33" width="32" style="46" customWidth="1" outlineLevel="1"/>
    <col min="34" max="16384" width="11.42578125" style="46"/>
  </cols>
  <sheetData>
    <row r="1" spans="1:33" ht="26.45" customHeight="1" thickBot="1"/>
    <row r="2" spans="1:33" ht="73.5" customHeight="1">
      <c r="A2" s="1461" t="s">
        <v>245</v>
      </c>
      <c r="B2" s="1462"/>
      <c r="C2" s="1463"/>
      <c r="D2" s="1463"/>
      <c r="E2" s="1463"/>
      <c r="F2" s="1463"/>
      <c r="G2" s="1463"/>
      <c r="H2" s="1463"/>
      <c r="I2" s="1463"/>
      <c r="J2" s="1463"/>
      <c r="K2" s="1463"/>
      <c r="L2" s="1463"/>
      <c r="M2" s="1463"/>
      <c r="N2" s="1463"/>
      <c r="O2" s="1463"/>
      <c r="P2" s="1464"/>
      <c r="Q2" s="1465" t="s">
        <v>246</v>
      </c>
      <c r="R2" s="1466"/>
      <c r="S2" s="1466"/>
      <c r="T2" s="1466"/>
      <c r="U2" s="1466"/>
      <c r="V2" s="1466"/>
      <c r="W2" s="1466"/>
      <c r="X2" s="1466"/>
      <c r="Y2" s="1466"/>
      <c r="Z2" s="1466"/>
      <c r="AA2" s="1466"/>
      <c r="AB2" s="1466"/>
      <c r="AC2" s="1466"/>
      <c r="AD2" s="1466"/>
      <c r="AE2" s="1466"/>
      <c r="AF2" s="1466"/>
      <c r="AG2" s="1467"/>
    </row>
    <row r="3" spans="1:33" s="158" customFormat="1" ht="73.5" customHeight="1">
      <c r="A3" s="157"/>
      <c r="B3" s="157"/>
      <c r="C3" s="157"/>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row>
    <row r="4" spans="1:33" s="158" customFormat="1" ht="15.95" customHeight="1">
      <c r="A4" s="157"/>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row>
    <row r="5" spans="1:33" s="158" customFormat="1" ht="73.5" customHeight="1">
      <c r="A5" s="1395" t="s">
        <v>69</v>
      </c>
      <c r="B5" s="1396"/>
      <c r="C5" s="1396"/>
      <c r="D5" s="1396"/>
      <c r="E5" s="1396"/>
      <c r="F5" s="1396"/>
      <c r="G5" s="1396"/>
      <c r="H5" s="1396"/>
      <c r="I5" s="1396"/>
      <c r="J5" s="1396"/>
      <c r="K5" s="1397"/>
      <c r="L5" s="1443" t="s">
        <v>70</v>
      </c>
      <c r="M5" s="1444"/>
      <c r="N5" s="1455"/>
      <c r="O5" s="1417" t="s">
        <v>72</v>
      </c>
      <c r="P5" s="1478" t="s">
        <v>247</v>
      </c>
      <c r="Q5" s="1390" t="s">
        <v>220</v>
      </c>
      <c r="R5" s="1390"/>
      <c r="S5" s="1390"/>
      <c r="T5" s="1390"/>
      <c r="U5" s="1390"/>
      <c r="V5" s="1390"/>
      <c r="W5" s="1390"/>
      <c r="X5" s="1390"/>
      <c r="Y5" s="1390"/>
      <c r="Z5" s="1390" t="s">
        <v>248</v>
      </c>
      <c r="AA5" s="1390"/>
      <c r="AB5" s="1390"/>
      <c r="AC5" s="1390" t="s">
        <v>170</v>
      </c>
      <c r="AD5" s="1390"/>
      <c r="AE5" s="1392" t="s">
        <v>78</v>
      </c>
      <c r="AF5" s="1392" t="s">
        <v>79</v>
      </c>
      <c r="AG5" s="1473" t="s">
        <v>222</v>
      </c>
    </row>
    <row r="6" spans="1:33" s="158" customFormat="1" ht="73.5" customHeight="1">
      <c r="A6" s="1474"/>
      <c r="B6" s="1475"/>
      <c r="C6" s="1475"/>
      <c r="D6" s="1475"/>
      <c r="E6" s="1475"/>
      <c r="F6" s="1475"/>
      <c r="G6" s="1475"/>
      <c r="H6" s="1475"/>
      <c r="I6" s="1475"/>
      <c r="J6" s="1475"/>
      <c r="K6" s="1476"/>
      <c r="L6" s="1415"/>
      <c r="M6" s="1456"/>
      <c r="N6" s="1416"/>
      <c r="O6" s="1477"/>
      <c r="P6" s="1479"/>
      <c r="Q6" s="1390"/>
      <c r="R6" s="1390"/>
      <c r="S6" s="1390"/>
      <c r="T6" s="1390"/>
      <c r="U6" s="1390"/>
      <c r="V6" s="1390"/>
      <c r="W6" s="1390"/>
      <c r="X6" s="1390"/>
      <c r="Y6" s="1390"/>
      <c r="Z6" s="1390"/>
      <c r="AA6" s="1390"/>
      <c r="AB6" s="1390"/>
      <c r="AC6" s="1390"/>
      <c r="AD6" s="1390"/>
      <c r="AE6" s="1427"/>
      <c r="AF6" s="1427"/>
      <c r="AG6" s="1473"/>
    </row>
    <row r="7" spans="1:33" s="3" customFormat="1" ht="51" customHeight="1">
      <c r="A7" s="1468" t="s">
        <v>86</v>
      </c>
      <c r="B7" s="663" t="s">
        <v>66</v>
      </c>
      <c r="C7" s="153" t="s">
        <v>249</v>
      </c>
      <c r="D7" s="153" t="s">
        <v>38</v>
      </c>
      <c r="E7" s="153" t="s">
        <v>250</v>
      </c>
      <c r="F7" s="153" t="s">
        <v>251</v>
      </c>
      <c r="G7" s="804" t="s">
        <v>252</v>
      </c>
      <c r="H7" s="1469" t="s">
        <v>253</v>
      </c>
      <c r="I7" s="1470"/>
      <c r="J7" s="1471"/>
      <c r="K7" s="153" t="s">
        <v>254</v>
      </c>
      <c r="L7" s="579" t="s">
        <v>255</v>
      </c>
      <c r="M7" s="579" t="s">
        <v>256</v>
      </c>
      <c r="N7" s="580" t="s">
        <v>257</v>
      </c>
      <c r="O7" s="153" t="s">
        <v>258</v>
      </c>
      <c r="P7" s="303" t="s">
        <v>110</v>
      </c>
      <c r="Q7" s="61" t="s">
        <v>259</v>
      </c>
      <c r="R7" s="61" t="s">
        <v>38</v>
      </c>
      <c r="S7" s="61" t="s">
        <v>250</v>
      </c>
      <c r="T7" s="61" t="s">
        <v>251</v>
      </c>
      <c r="U7" s="805" t="s">
        <v>252</v>
      </c>
      <c r="V7" s="1472" t="s">
        <v>253</v>
      </c>
      <c r="W7" s="1472"/>
      <c r="X7" s="1472"/>
      <c r="Y7" s="61" t="s">
        <v>254</v>
      </c>
      <c r="Z7" s="61" t="s">
        <v>255</v>
      </c>
      <c r="AA7" s="61" t="s">
        <v>256</v>
      </c>
      <c r="AB7" s="61" t="s">
        <v>257</v>
      </c>
      <c r="AC7" s="61" t="s">
        <v>258</v>
      </c>
      <c r="AD7" s="239" t="s">
        <v>85</v>
      </c>
      <c r="AE7" s="61" t="s">
        <v>120</v>
      </c>
      <c r="AF7" s="61" t="s">
        <v>122</v>
      </c>
      <c r="AG7" s="241" t="s">
        <v>188</v>
      </c>
    </row>
    <row r="8" spans="1:33" s="3" customFormat="1" ht="255.75" customHeight="1">
      <c r="A8" s="1438"/>
      <c r="B8" s="600" t="s">
        <v>126</v>
      </c>
      <c r="C8" s="152" t="s">
        <v>260</v>
      </c>
      <c r="D8" s="156" t="s">
        <v>132</v>
      </c>
      <c r="E8" s="152" t="s">
        <v>261</v>
      </c>
      <c r="F8" s="815" t="s">
        <v>262</v>
      </c>
      <c r="G8" s="816" t="s">
        <v>263</v>
      </c>
      <c r="H8" s="817" t="s">
        <v>264</v>
      </c>
      <c r="I8" s="817" t="s">
        <v>265</v>
      </c>
      <c r="J8" s="152" t="s">
        <v>266</v>
      </c>
      <c r="K8" s="152" t="s">
        <v>267</v>
      </c>
      <c r="L8" s="526" t="s">
        <v>268</v>
      </c>
      <c r="M8" s="581" t="s">
        <v>269</v>
      </c>
      <c r="N8" s="526" t="s">
        <v>270</v>
      </c>
      <c r="O8" s="152" t="s">
        <v>271</v>
      </c>
      <c r="P8" s="67" t="s">
        <v>144</v>
      </c>
      <c r="Q8" s="104" t="s">
        <v>145</v>
      </c>
      <c r="R8" s="69" t="s">
        <v>145</v>
      </c>
      <c r="S8" s="69" t="s">
        <v>145</v>
      </c>
      <c r="T8" s="69" t="s">
        <v>145</v>
      </c>
      <c r="U8" s="806" t="s">
        <v>263</v>
      </c>
      <c r="V8" s="69" t="s">
        <v>272</v>
      </c>
      <c r="W8" s="69" t="s">
        <v>273</v>
      </c>
      <c r="X8" s="69" t="s">
        <v>274</v>
      </c>
      <c r="Y8" s="69" t="s">
        <v>145</v>
      </c>
      <c r="Z8" s="69" t="s">
        <v>145</v>
      </c>
      <c r="AA8" s="69" t="s">
        <v>145</v>
      </c>
      <c r="AB8" s="69" t="s">
        <v>145</v>
      </c>
      <c r="AC8" s="69" t="s">
        <v>145</v>
      </c>
      <c r="AD8" s="243" t="s">
        <v>146</v>
      </c>
      <c r="AE8" s="2" t="s">
        <v>202</v>
      </c>
      <c r="AF8" s="2" t="s">
        <v>150</v>
      </c>
      <c r="AG8" s="242" t="s">
        <v>143</v>
      </c>
    </row>
    <row r="9" spans="1:33" s="105" customFormat="1" ht="48.95" thickBot="1">
      <c r="A9" s="217" t="s">
        <v>48</v>
      </c>
      <c r="B9" s="307" t="s">
        <v>11</v>
      </c>
      <c r="C9" s="218" t="s">
        <v>275</v>
      </c>
      <c r="D9" s="567" t="s">
        <v>43</v>
      </c>
      <c r="E9" s="218" t="s">
        <v>276</v>
      </c>
      <c r="F9" s="190" t="s">
        <v>277</v>
      </c>
      <c r="G9" s="818" t="s">
        <v>160</v>
      </c>
      <c r="H9" s="195">
        <v>2000</v>
      </c>
      <c r="I9" s="195">
        <v>500</v>
      </c>
      <c r="J9" s="195">
        <v>2500</v>
      </c>
      <c r="K9" s="914">
        <v>1</v>
      </c>
      <c r="L9" s="190" t="s">
        <v>152</v>
      </c>
      <c r="M9" s="219" t="s">
        <v>278</v>
      </c>
      <c r="N9" s="190" t="s">
        <v>255</v>
      </c>
      <c r="O9" s="195">
        <v>2500</v>
      </c>
      <c r="P9" s="220" t="s">
        <v>279</v>
      </c>
      <c r="Q9" s="221" t="s">
        <v>280</v>
      </c>
      <c r="R9" s="222" t="s">
        <v>281</v>
      </c>
      <c r="S9" s="223" t="s">
        <v>276</v>
      </c>
      <c r="T9" s="807" t="s">
        <v>282</v>
      </c>
      <c r="U9" s="808" t="s">
        <v>160</v>
      </c>
      <c r="V9" s="750">
        <v>2000</v>
      </c>
      <c r="W9" s="811">
        <v>500</v>
      </c>
      <c r="X9" s="812">
        <v>2500</v>
      </c>
      <c r="Y9" s="915">
        <v>1</v>
      </c>
      <c r="Z9" s="222" t="s">
        <v>152</v>
      </c>
      <c r="AA9" s="224" t="s">
        <v>278</v>
      </c>
      <c r="AB9" s="222" t="s">
        <v>255</v>
      </c>
      <c r="AC9" s="225">
        <v>2500</v>
      </c>
      <c r="AD9" s="225">
        <v>2500</v>
      </c>
      <c r="AE9" s="226"/>
      <c r="AF9" s="227"/>
      <c r="AG9" s="228"/>
    </row>
    <row r="10" spans="1:33" s="3" customFormat="1" ht="56.45" customHeight="1">
      <c r="A10" s="209">
        <v>1</v>
      </c>
      <c r="B10" s="779" t="s">
        <v>11</v>
      </c>
      <c r="C10" s="210" t="s">
        <v>162</v>
      </c>
      <c r="D10" s="207" t="s">
        <v>43</v>
      </c>
      <c r="E10" s="210" t="s">
        <v>215</v>
      </c>
      <c r="F10" s="160" t="s">
        <v>209</v>
      </c>
      <c r="G10" s="779" t="s">
        <v>283</v>
      </c>
      <c r="H10" s="165">
        <v>100</v>
      </c>
      <c r="I10" s="165">
        <v>0</v>
      </c>
      <c r="J10" s="917">
        <f>IF(OR(H10="",I10=""),"",MIN(IFERROR(VALUE(TRIM(SUBSTITUTE(H10,CHAR(160),""))),0)+IFERROR(VALUE(TRIM(SUBSTITUTE(I10,CHAR(160),""))),0),IF(G10="Directeur chercheur",92000,IF(G10="Ingénieur",61000,IF(G10="Technicien",49000,IFERROR(VALUE(TRIM(SUBSTITUTE(H10,CHAR(160),""))),0)+IFERROR(VALUE(TRIM(SUBSTITUTE(I10,CHAR(160),""))),0))))))</f>
        <v>100</v>
      </c>
      <c r="K10" s="912">
        <v>0.14899999999999999</v>
      </c>
      <c r="L10" s="211" t="s">
        <v>152</v>
      </c>
      <c r="M10" s="211" t="s">
        <v>284</v>
      </c>
      <c r="N10" s="160" t="s">
        <v>255</v>
      </c>
      <c r="O10" s="186">
        <f>IF(J10="","",J10*K10)</f>
        <v>14.899999999999999</v>
      </c>
      <c r="P10" s="212" t="s">
        <v>159</v>
      </c>
      <c r="Q10" s="213" t="str">
        <f t="shared" ref="Q10:Q41" si="0">IF(C10="","",C10)</f>
        <v>TEST</v>
      </c>
      <c r="R10" s="174" t="str">
        <f t="shared" ref="R10:R41" si="1">IF(D10="","",D10)</f>
        <v>Développement de nouveaux produits, pratiques, procédés et techniques</v>
      </c>
      <c r="S10" s="174" t="str">
        <f t="shared" ref="S10:S41" si="2">IF(E10="","",E10)</f>
        <v>XXX</v>
      </c>
      <c r="T10" s="176" t="str">
        <f t="shared" ref="T10:U41" si="3">IF(F10="","",F10)</f>
        <v>XX</v>
      </c>
      <c r="U10" s="176" t="str">
        <f t="shared" si="3"/>
        <v>Ingénieur</v>
      </c>
      <c r="V10" s="166">
        <f t="shared" ref="V10:V41" si="4">IF(H10="","",H10)</f>
        <v>100</v>
      </c>
      <c r="W10" s="20">
        <f t="shared" ref="W10:W41" si="5">IF(I10="","",I10)</f>
        <v>0</v>
      </c>
      <c r="X10" s="813">
        <f>IF(OR(V10="",W10=""),"",MIN(IFERROR(VALUE(TRIM(SUBSTITUTE(V10,CHAR(160),""))),0)+IFERROR(VALUE(TRIM(SUBSTITUTE(W10,CHAR(160),""))),0),IF(U10="Directeur chercheur",92000,IF(U10="Ingénieur",61000,IF(U10="Technicien",49000,IFERROR(VALUE(TRIM(SUBSTITUTE(V10,CHAR(160),""))),0)+IFERROR(VALUE(TRIM(SUBSTITUTE(W10,CHAR(160),""))),0))))))</f>
        <v>100</v>
      </c>
      <c r="Y10" s="916">
        <f t="shared" ref="Y10:Y41" si="6">IF(K10="","",K10)</f>
        <v>0.14899999999999999</v>
      </c>
      <c r="Z10" s="809" t="str">
        <f t="shared" ref="Z10:Z41" si="7">IF(L10="","",L10)</f>
        <v>Oui</v>
      </c>
      <c r="AA10" s="576" t="str">
        <f t="shared" ref="AA10:AA41" si="8">IF(M10="","",M10)</f>
        <v>Autre document probant</v>
      </c>
      <c r="AB10" s="576" t="str">
        <f t="shared" ref="AB10:AB41" si="9">IF(N10="","",N10)</f>
        <v>Contrat de travail</v>
      </c>
      <c r="AC10" s="180">
        <f t="shared" ref="AC10:AC41" si="10">IF(O10="","",O10)</f>
        <v>14.899999999999999</v>
      </c>
      <c r="AD10" s="186">
        <f>IF(X10="","",X10*Y10)</f>
        <v>14.899999999999999</v>
      </c>
      <c r="AE10" s="214" t="s">
        <v>285</v>
      </c>
      <c r="AF10" s="215" t="str" cm="1">
        <f t="array" ref="AF10">_xlfn.IFS(O10="","",AD10&gt;O10,"KO : Le montant retenu est supérieur au montant présenté. Merci de revoir la ligne de dépense ou plafonner son montant.",AD10=0,"Attention : montant présenté entièrement écarté",AD10&lt;O10,"Attention : montant présenté partiellement écarté",Y10&lt;15%,"Attention : le taux d'affectation du personnel est inférieur à 15% sur cette ligne. Vérifiez que le total du taux d'affectation du personnel est supérieur ou égal à 15%, sinon le personnel est inéligible",AD10=O10,"OK")</f>
        <v>Attention : le taux d'affectation du personnel est inférieur à 15% sur cette ligne. Vérifiez que le total du taux d'affectation du personnel est supérieur ou égal à 15%, sinon le personnel est inéligible</v>
      </c>
      <c r="AG10" s="216">
        <f t="shared" ref="AG10:AG41" si="11">IF(OR(O10="",AD10=""),"",(IFERROR(VALUE(TRIM(SUBSTITUTE(O10,CHAR(160),""))),0))-(IFERROR(VALUE(TRIM(SUBSTITUTE(AD10,CHAR(160),""))),0)))</f>
        <v>0</v>
      </c>
    </row>
    <row r="11" spans="1:33" s="3" customFormat="1" ht="48">
      <c r="A11" s="15">
        <v>2</v>
      </c>
      <c r="B11" s="780" t="s">
        <v>12</v>
      </c>
      <c r="C11" s="106" t="s">
        <v>286</v>
      </c>
      <c r="D11" s="207" t="s">
        <v>43</v>
      </c>
      <c r="E11" s="106" t="s">
        <v>215</v>
      </c>
      <c r="F11" s="7" t="s">
        <v>209</v>
      </c>
      <c r="G11" s="780" t="s">
        <v>283</v>
      </c>
      <c r="H11" s="8">
        <v>2000</v>
      </c>
      <c r="I11" s="8">
        <v>500</v>
      </c>
      <c r="J11" s="813">
        <f>IF(OR(H11="",I11=""),"",MIN(IFERROR(VALUE(TRIM(SUBSTITUTE(H11,CHAR(160),""))),0)+IFERROR(VALUE(TRIM(SUBSTITUTE(I11,CHAR(160),""))),0),IF(G11="Directeur chercheur",92000,IF(G11="Ingénieur",61000,IF(G11="Technicien",49000,IFERROR(VALUE(TRIM(SUBSTITUTE(H11,CHAR(160),""))),0)+IFERROR(VALUE(TRIM(SUBSTITUTE(I11,CHAR(160),""))),0))))))</f>
        <v>2500</v>
      </c>
      <c r="K11" s="913">
        <v>1</v>
      </c>
      <c r="L11" s="22" t="s">
        <v>152</v>
      </c>
      <c r="M11" s="22" t="s">
        <v>284</v>
      </c>
      <c r="N11" s="7" t="s">
        <v>255</v>
      </c>
      <c r="O11" s="186">
        <f t="shared" ref="O11:O41" si="12">IF(J11="","",IF(K11&lt;15%,0,J11*K11))</f>
        <v>2500</v>
      </c>
      <c r="P11" s="107" t="s">
        <v>287</v>
      </c>
      <c r="Q11" s="16" t="str">
        <f t="shared" si="0"/>
        <v>Test 2</v>
      </c>
      <c r="R11" s="36" t="str">
        <f t="shared" si="1"/>
        <v>Développement de nouveaux produits, pratiques, procédés et techniques</v>
      </c>
      <c r="S11" s="36" t="str">
        <f t="shared" si="2"/>
        <v>XXX</v>
      </c>
      <c r="T11" s="14" t="str">
        <f t="shared" si="3"/>
        <v>XX</v>
      </c>
      <c r="U11" s="176" t="str">
        <f t="shared" si="3"/>
        <v>Ingénieur</v>
      </c>
      <c r="V11" s="35">
        <f t="shared" si="4"/>
        <v>2000</v>
      </c>
      <c r="W11" s="20">
        <f t="shared" si="5"/>
        <v>500</v>
      </c>
      <c r="X11" s="813">
        <f>IF(OR(V11="",W11=""),"",MIN(IFERROR(VALUE(TRIM(SUBSTITUTE(V11,CHAR(160),""))),0)+IFERROR(VALUE(TRIM(SUBSTITUTE(W11,CHAR(160),""))),0),IF(U11="Directeur chercheur",92000,IF(U11="Ingénieur",61000,IF(U11="Technicien",49000,IFERROR(VALUE(TRIM(SUBSTITUTE(V11,CHAR(160),""))),0)+IFERROR(VALUE(TRIM(SUBSTITUTE(W11,CHAR(160),""))),0))))))</f>
        <v>2500</v>
      </c>
      <c r="Y11" s="916">
        <f t="shared" si="6"/>
        <v>1</v>
      </c>
      <c r="Z11" s="810" t="str">
        <f t="shared" si="7"/>
        <v>Oui</v>
      </c>
      <c r="AA11" s="282" t="str">
        <f t="shared" si="8"/>
        <v>Autre document probant</v>
      </c>
      <c r="AB11" s="282" t="str">
        <f t="shared" si="9"/>
        <v>Contrat de travail</v>
      </c>
      <c r="AC11" s="20">
        <f t="shared" si="10"/>
        <v>2500</v>
      </c>
      <c r="AD11" s="186">
        <f>IF(X11="","",X11*Y11)</f>
        <v>2500</v>
      </c>
      <c r="AE11" s="108" t="s">
        <v>288</v>
      </c>
      <c r="AF11" s="215" t="str" cm="1">
        <f t="array" ref="AF11">_xlfn.IFS(O11="","",AD11&gt;O11,"KO : Le montant retenu est supérieur au montant présenté. Merci de revoir la ligne de dépense ou plafonner son montant.",AD11=0,"Attention : montant présenté entièrement écarté",AD11&lt;O11,"Attention : montant présenté partiellement écarté",Y11&lt;15%,"Attention : le taux d'affectation du personnel est inférieur à 15% sur cette ligne. Vérifiez que le total du taux d'affectation du personnel est supérieur ou égal à 15%, sinon le personnel est inéligible",AD11=O11,"OK")</f>
        <v>OK</v>
      </c>
      <c r="AG11" s="109">
        <f t="shared" si="11"/>
        <v>0</v>
      </c>
    </row>
    <row r="12" spans="1:33" s="3" customFormat="1" ht="15.95">
      <c r="A12" s="15">
        <v>3</v>
      </c>
      <c r="B12" s="784"/>
      <c r="C12" s="106"/>
      <c r="D12" s="207"/>
      <c r="E12" s="106"/>
      <c r="F12" s="7"/>
      <c r="G12" s="780"/>
      <c r="H12" s="8"/>
      <c r="I12" s="8"/>
      <c r="J12" s="813" t="str">
        <f t="shared" ref="J12:J74" si="13">IF(OR(H12="",I12=""),"",MIN(IFERROR(VALUE(TRIM(SUBSTITUTE(H12,CHAR(160),""))),0)+IFERROR(VALUE(TRIM(SUBSTITUTE(I12,CHAR(160),""))),0),IF(G12="Directeur chercheur",92000,IF(G12="Ingénieur",61000,IF(G12="Technicien",49000,IFERROR(VALUE(TRIM(SUBSTITUTE(H12,CHAR(160),""))),0)+IFERROR(VALUE(TRIM(SUBSTITUTE(I12,CHAR(160),""))),0))))))</f>
        <v/>
      </c>
      <c r="K12" s="913"/>
      <c r="L12" s="22"/>
      <c r="M12" s="22"/>
      <c r="N12" s="7"/>
      <c r="O12" s="186" t="str">
        <f t="shared" si="12"/>
        <v/>
      </c>
      <c r="P12" s="107"/>
      <c r="Q12" s="16" t="str">
        <f t="shared" si="0"/>
        <v/>
      </c>
      <c r="R12" s="36" t="str">
        <f t="shared" si="1"/>
        <v/>
      </c>
      <c r="S12" s="36" t="str">
        <f t="shared" si="2"/>
        <v/>
      </c>
      <c r="T12" s="14" t="str">
        <f t="shared" si="3"/>
        <v/>
      </c>
      <c r="U12" s="176" t="str">
        <f t="shared" si="3"/>
        <v/>
      </c>
      <c r="V12" s="35" t="str">
        <f t="shared" si="4"/>
        <v/>
      </c>
      <c r="W12" s="20" t="str">
        <f t="shared" si="5"/>
        <v/>
      </c>
      <c r="X12" s="813" t="str">
        <f t="shared" ref="X12:X74" si="14">IF(OR(V12="",W12=""),"",MIN(IFERROR(VALUE(TRIM(SUBSTITUTE(V12,CHAR(160),""))),0)+IFERROR(VALUE(TRIM(SUBSTITUTE(W12,CHAR(160),""))),0),IF(U12="Directeur chercheur",92000,IF(U12="Ingénieur",61000,IF(U12="Technicien",49000,IFERROR(VALUE(TRIM(SUBSTITUTE(V12,CHAR(160),""))),0)+IFERROR(VALUE(TRIM(SUBSTITUTE(W12,CHAR(160),""))),0))))))</f>
        <v/>
      </c>
      <c r="Y12" s="916" t="str">
        <f t="shared" si="6"/>
        <v/>
      </c>
      <c r="Z12" s="810" t="str">
        <f t="shared" si="7"/>
        <v/>
      </c>
      <c r="AA12" s="282" t="str">
        <f t="shared" si="8"/>
        <v/>
      </c>
      <c r="AB12" s="282" t="str">
        <f t="shared" si="9"/>
        <v/>
      </c>
      <c r="AC12" s="20" t="str">
        <f t="shared" si="10"/>
        <v/>
      </c>
      <c r="AD12" s="186" t="str">
        <f t="shared" ref="AD12:AD74" si="15">IF(X12="","",X12*Y12)</f>
        <v/>
      </c>
      <c r="AE12" s="108"/>
      <c r="AF12" s="215" t="str" cm="1">
        <f t="array" ref="AF12">_xlfn.IFS(O12="","",AD12&gt;O12,"KO : Le montant retenu est supérieur au montant présenté. Merci de revoir la ligne de dépense ou plafonner son montant.",AD12=0,"Attention : montant présenté entièrement écarté",AD12&lt;O12,"Attention : montant présenté partiellement écarté",Y12&lt;15%,"Attention : le taux d'affectation du personnel est inférieur à 15% sur cette ligne. Vérifiez que le total du taux d'affectation du personnel est supérieur ou égal à 15%, sinon le personnel est inéligible",AD12=O12,"OK")</f>
        <v/>
      </c>
      <c r="AG12" s="109" t="str">
        <f t="shared" si="11"/>
        <v/>
      </c>
    </row>
    <row r="13" spans="1:33" s="3" customFormat="1" ht="15.95">
      <c r="A13" s="15">
        <v>4</v>
      </c>
      <c r="B13" s="784"/>
      <c r="C13" s="106"/>
      <c r="D13" s="207"/>
      <c r="E13" s="106"/>
      <c r="F13" s="7"/>
      <c r="G13" s="780"/>
      <c r="H13" s="8"/>
      <c r="I13" s="8"/>
      <c r="J13" s="813" t="str">
        <f t="shared" si="13"/>
        <v/>
      </c>
      <c r="K13" s="913"/>
      <c r="L13" s="22"/>
      <c r="M13" s="22"/>
      <c r="N13" s="7"/>
      <c r="O13" s="186" t="str">
        <f t="shared" si="12"/>
        <v/>
      </c>
      <c r="P13" s="107"/>
      <c r="Q13" s="16" t="str">
        <f t="shared" si="0"/>
        <v/>
      </c>
      <c r="R13" s="36" t="str">
        <f t="shared" si="1"/>
        <v/>
      </c>
      <c r="S13" s="36" t="str">
        <f t="shared" si="2"/>
        <v/>
      </c>
      <c r="T13" s="14" t="str">
        <f t="shared" si="3"/>
        <v/>
      </c>
      <c r="U13" s="176" t="str">
        <f t="shared" si="3"/>
        <v/>
      </c>
      <c r="V13" s="35" t="str">
        <f t="shared" si="4"/>
        <v/>
      </c>
      <c r="W13" s="20" t="str">
        <f t="shared" si="5"/>
        <v/>
      </c>
      <c r="X13" s="813" t="str">
        <f t="shared" si="14"/>
        <v/>
      </c>
      <c r="Y13" s="916" t="str">
        <f t="shared" si="6"/>
        <v/>
      </c>
      <c r="Z13" s="810" t="str">
        <f t="shared" si="7"/>
        <v/>
      </c>
      <c r="AA13" s="282" t="str">
        <f t="shared" si="8"/>
        <v/>
      </c>
      <c r="AB13" s="282" t="str">
        <f t="shared" si="9"/>
        <v/>
      </c>
      <c r="AC13" s="20" t="str">
        <f t="shared" si="10"/>
        <v/>
      </c>
      <c r="AD13" s="186" t="str">
        <f t="shared" si="15"/>
        <v/>
      </c>
      <c r="AE13" s="108"/>
      <c r="AF13" s="215" t="str" cm="1">
        <f t="array" ref="AF13">_xlfn.IFS(O13="","",AD13&gt;O13,"KO : Le montant retenu est supérieur au montant présenté. Merci de revoir la ligne de dépense ou plafonner son montant.",AD13=0,"Attention : montant présenté entièrement écarté",AD13&lt;O13,"Attention : montant présenté partiellement écarté",Y13&lt;15%,"Attention : le taux d'affectation du personnel est inférieur à 15% sur cette ligne. Vérifiez que le total du taux d'affectation du personnel est supérieur ou égal à 15%, sinon le personnel est inéligible",AD13=O13,"OK")</f>
        <v/>
      </c>
      <c r="AG13" s="109" t="str">
        <f t="shared" si="11"/>
        <v/>
      </c>
    </row>
    <row r="14" spans="1:33" s="3" customFormat="1" ht="15.95">
      <c r="A14" s="15">
        <v>5</v>
      </c>
      <c r="B14" s="784"/>
      <c r="C14" s="106"/>
      <c r="D14" s="207"/>
      <c r="E14" s="106"/>
      <c r="F14" s="7"/>
      <c r="G14" s="780"/>
      <c r="H14" s="8"/>
      <c r="I14" s="8"/>
      <c r="J14" s="813" t="str">
        <f t="shared" si="13"/>
        <v/>
      </c>
      <c r="K14" s="913"/>
      <c r="L14" s="22"/>
      <c r="M14" s="22"/>
      <c r="N14" s="7"/>
      <c r="O14" s="186" t="str">
        <f t="shared" si="12"/>
        <v/>
      </c>
      <c r="P14" s="107"/>
      <c r="Q14" s="16" t="str">
        <f t="shared" si="0"/>
        <v/>
      </c>
      <c r="R14" s="36" t="str">
        <f t="shared" si="1"/>
        <v/>
      </c>
      <c r="S14" s="36" t="str">
        <f t="shared" si="2"/>
        <v/>
      </c>
      <c r="T14" s="14" t="str">
        <f t="shared" si="3"/>
        <v/>
      </c>
      <c r="U14" s="176" t="str">
        <f t="shared" si="3"/>
        <v/>
      </c>
      <c r="V14" s="35" t="str">
        <f t="shared" si="4"/>
        <v/>
      </c>
      <c r="W14" s="20" t="str">
        <f t="shared" si="5"/>
        <v/>
      </c>
      <c r="X14" s="813" t="str">
        <f t="shared" si="14"/>
        <v/>
      </c>
      <c r="Y14" s="916" t="str">
        <f t="shared" si="6"/>
        <v/>
      </c>
      <c r="Z14" s="810" t="str">
        <f t="shared" si="7"/>
        <v/>
      </c>
      <c r="AA14" s="282" t="str">
        <f t="shared" si="8"/>
        <v/>
      </c>
      <c r="AB14" s="282" t="str">
        <f t="shared" si="9"/>
        <v/>
      </c>
      <c r="AC14" s="20" t="str">
        <f t="shared" si="10"/>
        <v/>
      </c>
      <c r="AD14" s="186" t="str">
        <f t="shared" si="15"/>
        <v/>
      </c>
      <c r="AE14" s="108"/>
      <c r="AF14" s="215" t="str" cm="1">
        <f t="array" ref="AF14">_xlfn.IFS(O14="","",AD14&gt;O14,"KO : Le montant retenu est supérieur au montant présenté. Merci de revoir la ligne de dépense ou plafonner son montant.",AD14=0,"Attention : montant présenté entièrement écarté",AD14&lt;O14,"Attention : montant présenté partiellement écarté",Y14&lt;15%,"Attention : le taux d'affectation du personnel est inférieur à 15% sur cette ligne. Vérifiez que le total du taux d'affectation du personnel est supérieur ou égal à 15%, sinon le personnel est inéligible",AD14=O14,"OK")</f>
        <v/>
      </c>
      <c r="AG14" s="109" t="str">
        <f t="shared" si="11"/>
        <v/>
      </c>
    </row>
    <row r="15" spans="1:33" s="3" customFormat="1" ht="15.95">
      <c r="A15" s="15">
        <v>6</v>
      </c>
      <c r="B15" s="784"/>
      <c r="C15" s="106"/>
      <c r="D15" s="207"/>
      <c r="E15" s="106"/>
      <c r="F15" s="7"/>
      <c r="G15" s="780"/>
      <c r="H15" s="8"/>
      <c r="I15" s="8"/>
      <c r="J15" s="813" t="str">
        <f t="shared" si="13"/>
        <v/>
      </c>
      <c r="K15" s="913"/>
      <c r="L15" s="22"/>
      <c r="M15" s="22"/>
      <c r="N15" s="7"/>
      <c r="O15" s="186" t="str">
        <f t="shared" si="12"/>
        <v/>
      </c>
      <c r="P15" s="107"/>
      <c r="Q15" s="16" t="str">
        <f t="shared" si="0"/>
        <v/>
      </c>
      <c r="R15" s="36" t="str">
        <f t="shared" si="1"/>
        <v/>
      </c>
      <c r="S15" s="36" t="str">
        <f t="shared" si="2"/>
        <v/>
      </c>
      <c r="T15" s="14" t="str">
        <f t="shared" si="3"/>
        <v/>
      </c>
      <c r="U15" s="176" t="str">
        <f t="shared" si="3"/>
        <v/>
      </c>
      <c r="V15" s="35" t="str">
        <f t="shared" si="4"/>
        <v/>
      </c>
      <c r="W15" s="20" t="str">
        <f t="shared" si="5"/>
        <v/>
      </c>
      <c r="X15" s="813" t="str">
        <f t="shared" si="14"/>
        <v/>
      </c>
      <c r="Y15" s="916" t="str">
        <f t="shared" si="6"/>
        <v/>
      </c>
      <c r="Z15" s="810" t="str">
        <f t="shared" si="7"/>
        <v/>
      </c>
      <c r="AA15" s="282" t="str">
        <f t="shared" si="8"/>
        <v/>
      </c>
      <c r="AB15" s="282" t="str">
        <f t="shared" si="9"/>
        <v/>
      </c>
      <c r="AC15" s="20" t="str">
        <f t="shared" si="10"/>
        <v/>
      </c>
      <c r="AD15" s="186" t="str">
        <f t="shared" si="15"/>
        <v/>
      </c>
      <c r="AE15" s="108"/>
      <c r="AF15" s="215" t="str" cm="1">
        <f t="array" ref="AF15">_xlfn.IFS(O15="","",AD15&gt;O15,"KO : Le montant retenu est supérieur au montant présenté. Merci de revoir la ligne de dépense ou plafonner son montant.",AD15=0,"Attention : montant présenté entièrement écarté",AD15&lt;O15,"Attention : montant présenté partiellement écarté",Y15&lt;15%,"Attention : le taux d'affectation du personnel est inférieur à 15% sur cette ligne. Vérifiez que le total du taux d'affectation du personnel est supérieur ou égal à 15%, sinon le personnel est inéligible",AD15=O15,"OK")</f>
        <v/>
      </c>
      <c r="AG15" s="109" t="str">
        <f t="shared" si="11"/>
        <v/>
      </c>
    </row>
    <row r="16" spans="1:33" s="3" customFormat="1" ht="15.95">
      <c r="A16" s="15">
        <v>7</v>
      </c>
      <c r="B16" s="784"/>
      <c r="C16" s="106"/>
      <c r="D16" s="207"/>
      <c r="E16" s="106"/>
      <c r="F16" s="7"/>
      <c r="G16" s="780"/>
      <c r="H16" s="8"/>
      <c r="I16" s="8"/>
      <c r="J16" s="813" t="str">
        <f t="shared" si="13"/>
        <v/>
      </c>
      <c r="K16" s="913"/>
      <c r="L16" s="22"/>
      <c r="M16" s="22"/>
      <c r="N16" s="7"/>
      <c r="O16" s="186" t="str">
        <f t="shared" si="12"/>
        <v/>
      </c>
      <c r="P16" s="107"/>
      <c r="Q16" s="16" t="str">
        <f t="shared" si="0"/>
        <v/>
      </c>
      <c r="R16" s="36" t="str">
        <f t="shared" si="1"/>
        <v/>
      </c>
      <c r="S16" s="36" t="str">
        <f t="shared" si="2"/>
        <v/>
      </c>
      <c r="T16" s="14" t="str">
        <f t="shared" si="3"/>
        <v/>
      </c>
      <c r="U16" s="176" t="str">
        <f t="shared" si="3"/>
        <v/>
      </c>
      <c r="V16" s="35" t="str">
        <f t="shared" si="4"/>
        <v/>
      </c>
      <c r="W16" s="20" t="str">
        <f t="shared" si="5"/>
        <v/>
      </c>
      <c r="X16" s="813" t="str">
        <f t="shared" si="14"/>
        <v/>
      </c>
      <c r="Y16" s="916" t="str">
        <f t="shared" si="6"/>
        <v/>
      </c>
      <c r="Z16" s="810" t="str">
        <f t="shared" si="7"/>
        <v/>
      </c>
      <c r="AA16" s="282" t="str">
        <f t="shared" si="8"/>
        <v/>
      </c>
      <c r="AB16" s="282" t="str">
        <f t="shared" si="9"/>
        <v/>
      </c>
      <c r="AC16" s="20" t="str">
        <f t="shared" si="10"/>
        <v/>
      </c>
      <c r="AD16" s="186" t="str">
        <f t="shared" si="15"/>
        <v/>
      </c>
      <c r="AE16" s="108"/>
      <c r="AF16" s="215" t="str" cm="1">
        <f t="array" ref="AF16">_xlfn.IFS(O16="","",AD16&gt;O16,"KO : Le montant retenu est supérieur au montant présenté. Merci de revoir la ligne de dépense ou plafonner son montant.",AD16=0,"Attention : montant présenté entièrement écarté",AD16&lt;O16,"Attention : montant présenté partiellement écarté",Y16&lt;15%,"Attention : le taux d'affectation du personnel est inférieur à 15% sur cette ligne. Vérifiez que le total du taux d'affectation du personnel est supérieur ou égal à 15%, sinon le personnel est inéligible",AD16=O16,"OK")</f>
        <v/>
      </c>
      <c r="AG16" s="109" t="str">
        <f t="shared" si="11"/>
        <v/>
      </c>
    </row>
    <row r="17" spans="1:34" s="3" customFormat="1" ht="15.95">
      <c r="A17" s="15">
        <v>8</v>
      </c>
      <c r="B17" s="784"/>
      <c r="C17" s="106"/>
      <c r="D17" s="207"/>
      <c r="E17" s="106"/>
      <c r="F17" s="7"/>
      <c r="G17" s="780"/>
      <c r="H17" s="8"/>
      <c r="I17" s="8"/>
      <c r="J17" s="813" t="str">
        <f t="shared" si="13"/>
        <v/>
      </c>
      <c r="K17" s="913"/>
      <c r="L17" s="22"/>
      <c r="M17" s="22"/>
      <c r="N17" s="7"/>
      <c r="O17" s="186" t="str">
        <f t="shared" si="12"/>
        <v/>
      </c>
      <c r="P17" s="107"/>
      <c r="Q17" s="16" t="str">
        <f t="shared" si="0"/>
        <v/>
      </c>
      <c r="R17" s="36" t="str">
        <f t="shared" si="1"/>
        <v/>
      </c>
      <c r="S17" s="36" t="str">
        <f t="shared" si="2"/>
        <v/>
      </c>
      <c r="T17" s="14" t="str">
        <f t="shared" si="3"/>
        <v/>
      </c>
      <c r="U17" s="176" t="str">
        <f t="shared" si="3"/>
        <v/>
      </c>
      <c r="V17" s="35" t="str">
        <f t="shared" si="4"/>
        <v/>
      </c>
      <c r="W17" s="20" t="str">
        <f t="shared" si="5"/>
        <v/>
      </c>
      <c r="X17" s="813" t="str">
        <f t="shared" si="14"/>
        <v/>
      </c>
      <c r="Y17" s="916" t="str">
        <f t="shared" si="6"/>
        <v/>
      </c>
      <c r="Z17" s="810" t="str">
        <f t="shared" si="7"/>
        <v/>
      </c>
      <c r="AA17" s="282" t="str">
        <f t="shared" si="8"/>
        <v/>
      </c>
      <c r="AB17" s="282" t="str">
        <f t="shared" si="9"/>
        <v/>
      </c>
      <c r="AC17" s="20" t="str">
        <f t="shared" si="10"/>
        <v/>
      </c>
      <c r="AD17" s="186" t="str">
        <f t="shared" si="15"/>
        <v/>
      </c>
      <c r="AE17" s="108"/>
      <c r="AF17" s="215" t="str" cm="1">
        <f t="array" ref="AF17">_xlfn.IFS(O17="","",AD17&gt;O17,"KO : Le montant retenu est supérieur au montant présenté. Merci de revoir la ligne de dépense ou plafonner son montant.",AD17=0,"Attention : montant présenté entièrement écarté",AD17&lt;O17,"Attention : montant présenté partiellement écarté",Y17&lt;15%,"Attention : le taux d'affectation du personnel est inférieur à 15% sur cette ligne. Vérifiez que le total du taux d'affectation du personnel est supérieur ou égal à 15%, sinon le personnel est inéligible",AD17=O17,"OK")</f>
        <v/>
      </c>
      <c r="AG17" s="109" t="str">
        <f t="shared" si="11"/>
        <v/>
      </c>
    </row>
    <row r="18" spans="1:34" s="3" customFormat="1" ht="15.95">
      <c r="A18" s="15">
        <v>9</v>
      </c>
      <c r="B18" s="784"/>
      <c r="C18" s="106"/>
      <c r="D18" s="207"/>
      <c r="E18" s="106"/>
      <c r="F18" s="7"/>
      <c r="G18" s="780"/>
      <c r="H18" s="8"/>
      <c r="I18" s="8"/>
      <c r="J18" s="813" t="str">
        <f t="shared" si="13"/>
        <v/>
      </c>
      <c r="K18" s="913"/>
      <c r="L18" s="22"/>
      <c r="M18" s="22"/>
      <c r="N18" s="7"/>
      <c r="O18" s="186" t="str">
        <f t="shared" si="12"/>
        <v/>
      </c>
      <c r="P18" s="107"/>
      <c r="Q18" s="16" t="str">
        <f t="shared" si="0"/>
        <v/>
      </c>
      <c r="R18" s="36" t="str">
        <f t="shared" si="1"/>
        <v/>
      </c>
      <c r="S18" s="36" t="str">
        <f t="shared" si="2"/>
        <v/>
      </c>
      <c r="T18" s="14" t="str">
        <f t="shared" si="3"/>
        <v/>
      </c>
      <c r="U18" s="176" t="str">
        <f t="shared" si="3"/>
        <v/>
      </c>
      <c r="V18" s="35" t="str">
        <f t="shared" si="4"/>
        <v/>
      </c>
      <c r="W18" s="20" t="str">
        <f t="shared" si="5"/>
        <v/>
      </c>
      <c r="X18" s="813" t="str">
        <f t="shared" si="14"/>
        <v/>
      </c>
      <c r="Y18" s="916" t="str">
        <f t="shared" si="6"/>
        <v/>
      </c>
      <c r="Z18" s="810" t="str">
        <f t="shared" si="7"/>
        <v/>
      </c>
      <c r="AA18" s="282" t="str">
        <f t="shared" si="8"/>
        <v/>
      </c>
      <c r="AB18" s="282" t="str">
        <f t="shared" si="9"/>
        <v/>
      </c>
      <c r="AC18" s="20" t="str">
        <f t="shared" si="10"/>
        <v/>
      </c>
      <c r="AD18" s="186" t="str">
        <f t="shared" si="15"/>
        <v/>
      </c>
      <c r="AE18" s="108"/>
      <c r="AF18" s="215" t="str" cm="1">
        <f t="array" ref="AF18">_xlfn.IFS(O18="","",AD18&gt;O18,"KO : Le montant retenu est supérieur au montant présenté. Merci de revoir la ligne de dépense ou plafonner son montant.",AD18=0,"Attention : montant présenté entièrement écarté",AD18&lt;O18,"Attention : montant présenté partiellement écarté",Y18&lt;15%,"Attention : le taux d'affectation du personnel est inférieur à 15% sur cette ligne. Vérifiez que le total du taux d'affectation du personnel est supérieur ou égal à 15%, sinon le personnel est inéligible",AD18=O18,"OK")</f>
        <v/>
      </c>
      <c r="AG18" s="109" t="str">
        <f t="shared" si="11"/>
        <v/>
      </c>
    </row>
    <row r="19" spans="1:34" s="3" customFormat="1" ht="15.95">
      <c r="A19" s="15">
        <v>10</v>
      </c>
      <c r="B19" s="784"/>
      <c r="C19" s="106"/>
      <c r="D19" s="207"/>
      <c r="E19" s="106"/>
      <c r="F19" s="7"/>
      <c r="G19" s="780"/>
      <c r="H19" s="8"/>
      <c r="I19" s="8"/>
      <c r="J19" s="813" t="str">
        <f t="shared" si="13"/>
        <v/>
      </c>
      <c r="K19" s="913"/>
      <c r="L19" s="22"/>
      <c r="M19" s="22"/>
      <c r="N19" s="7"/>
      <c r="O19" s="186" t="str">
        <f t="shared" si="12"/>
        <v/>
      </c>
      <c r="P19" s="107"/>
      <c r="Q19" s="16" t="str">
        <f t="shared" si="0"/>
        <v/>
      </c>
      <c r="R19" s="36" t="str">
        <f t="shared" si="1"/>
        <v/>
      </c>
      <c r="S19" s="36" t="str">
        <f t="shared" si="2"/>
        <v/>
      </c>
      <c r="T19" s="14" t="str">
        <f t="shared" si="3"/>
        <v/>
      </c>
      <c r="U19" s="176" t="str">
        <f t="shared" si="3"/>
        <v/>
      </c>
      <c r="V19" s="35" t="str">
        <f t="shared" si="4"/>
        <v/>
      </c>
      <c r="W19" s="20" t="str">
        <f t="shared" si="5"/>
        <v/>
      </c>
      <c r="X19" s="813" t="str">
        <f t="shared" si="14"/>
        <v/>
      </c>
      <c r="Y19" s="916" t="str">
        <f t="shared" si="6"/>
        <v/>
      </c>
      <c r="Z19" s="810" t="str">
        <f t="shared" si="7"/>
        <v/>
      </c>
      <c r="AA19" s="282" t="str">
        <f t="shared" si="8"/>
        <v/>
      </c>
      <c r="AB19" s="282" t="str">
        <f t="shared" si="9"/>
        <v/>
      </c>
      <c r="AC19" s="20" t="str">
        <f t="shared" si="10"/>
        <v/>
      </c>
      <c r="AD19" s="186" t="str">
        <f t="shared" si="15"/>
        <v/>
      </c>
      <c r="AE19" s="108"/>
      <c r="AF19" s="215" t="str" cm="1">
        <f t="array" ref="AF19">_xlfn.IFS(O19="","",AD19&gt;O19,"KO : Le montant retenu est supérieur au montant présenté. Merci de revoir la ligne de dépense ou plafonner son montant.",AD19=0,"Attention : montant présenté entièrement écarté",AD19&lt;O19,"Attention : montant présenté partiellement écarté",Y19&lt;15%,"Attention : le taux d'affectation du personnel est inférieur à 15% sur cette ligne. Vérifiez que le total du taux d'affectation du personnel est supérieur ou égal à 15%, sinon le personnel est inéligible",AD19=O19,"OK")</f>
        <v/>
      </c>
      <c r="AG19" s="109" t="str">
        <f t="shared" si="11"/>
        <v/>
      </c>
    </row>
    <row r="20" spans="1:34" s="3" customFormat="1" ht="15" customHeight="1">
      <c r="A20" s="15">
        <v>11</v>
      </c>
      <c r="B20" s="784"/>
      <c r="C20" s="106"/>
      <c r="D20" s="207"/>
      <c r="E20" s="106"/>
      <c r="F20" s="7"/>
      <c r="G20" s="780"/>
      <c r="H20" s="8"/>
      <c r="I20" s="8"/>
      <c r="J20" s="813" t="str">
        <f t="shared" si="13"/>
        <v/>
      </c>
      <c r="K20" s="913"/>
      <c r="L20" s="22"/>
      <c r="M20" s="22"/>
      <c r="N20" s="7"/>
      <c r="O20" s="186" t="str">
        <f t="shared" si="12"/>
        <v/>
      </c>
      <c r="P20" s="107"/>
      <c r="Q20" s="16" t="str">
        <f t="shared" si="0"/>
        <v/>
      </c>
      <c r="R20" s="36" t="str">
        <f t="shared" si="1"/>
        <v/>
      </c>
      <c r="S20" s="36" t="str">
        <f t="shared" si="2"/>
        <v/>
      </c>
      <c r="T20" s="14" t="str">
        <f t="shared" si="3"/>
        <v/>
      </c>
      <c r="U20" s="176" t="str">
        <f t="shared" si="3"/>
        <v/>
      </c>
      <c r="V20" s="35" t="str">
        <f t="shared" si="4"/>
        <v/>
      </c>
      <c r="W20" s="20" t="str">
        <f t="shared" si="5"/>
        <v/>
      </c>
      <c r="X20" s="813" t="str">
        <f t="shared" si="14"/>
        <v/>
      </c>
      <c r="Y20" s="916" t="str">
        <f t="shared" si="6"/>
        <v/>
      </c>
      <c r="Z20" s="810" t="str">
        <f t="shared" si="7"/>
        <v/>
      </c>
      <c r="AA20" s="282" t="str">
        <f t="shared" si="8"/>
        <v/>
      </c>
      <c r="AB20" s="282" t="str">
        <f t="shared" si="9"/>
        <v/>
      </c>
      <c r="AC20" s="20" t="str">
        <f t="shared" si="10"/>
        <v/>
      </c>
      <c r="AD20" s="186" t="str">
        <f t="shared" si="15"/>
        <v/>
      </c>
      <c r="AE20" s="108"/>
      <c r="AF20" s="215" t="str" cm="1">
        <f t="array" ref="AF20">_xlfn.IFS(O20="","",AD20&gt;O20,"KO : Le montant retenu est supérieur au montant présenté. Merci de revoir la ligne de dépense ou plafonner son montant.",AD20=0,"Attention : montant présenté entièrement écarté",AD20&lt;O20,"Attention : montant présenté partiellement écarté",Y20&lt;15%,"Attention : le taux d'affectation du personnel est inférieur à 15% sur cette ligne. Vérifiez que le total du taux d'affectation du personnel est supérieur ou égal à 15%, sinon le personnel est inéligible",AD20=O20,"OK")</f>
        <v/>
      </c>
      <c r="AG20" s="109" t="str">
        <f t="shared" si="11"/>
        <v/>
      </c>
    </row>
    <row r="21" spans="1:34" s="3" customFormat="1" ht="15.95">
      <c r="A21" s="15">
        <v>12</v>
      </c>
      <c r="B21" s="784"/>
      <c r="C21" s="106"/>
      <c r="D21" s="207"/>
      <c r="E21" s="106"/>
      <c r="F21" s="7"/>
      <c r="G21" s="780"/>
      <c r="H21" s="8"/>
      <c r="I21" s="8"/>
      <c r="J21" s="813" t="str">
        <f t="shared" si="13"/>
        <v/>
      </c>
      <c r="K21" s="913"/>
      <c r="L21" s="22"/>
      <c r="M21" s="22"/>
      <c r="N21" s="7"/>
      <c r="O21" s="186" t="str">
        <f t="shared" si="12"/>
        <v/>
      </c>
      <c r="P21" s="107"/>
      <c r="Q21" s="16" t="str">
        <f t="shared" si="0"/>
        <v/>
      </c>
      <c r="R21" s="36" t="str">
        <f t="shared" si="1"/>
        <v/>
      </c>
      <c r="S21" s="36" t="str">
        <f t="shared" si="2"/>
        <v/>
      </c>
      <c r="T21" s="14" t="str">
        <f t="shared" si="3"/>
        <v/>
      </c>
      <c r="U21" s="176" t="str">
        <f t="shared" si="3"/>
        <v/>
      </c>
      <c r="V21" s="35" t="str">
        <f t="shared" si="4"/>
        <v/>
      </c>
      <c r="W21" s="20" t="str">
        <f t="shared" si="5"/>
        <v/>
      </c>
      <c r="X21" s="813" t="str">
        <f t="shared" si="14"/>
        <v/>
      </c>
      <c r="Y21" s="916" t="str">
        <f t="shared" si="6"/>
        <v/>
      </c>
      <c r="Z21" s="810" t="str">
        <f t="shared" si="7"/>
        <v/>
      </c>
      <c r="AA21" s="282" t="str">
        <f t="shared" si="8"/>
        <v/>
      </c>
      <c r="AB21" s="282" t="str">
        <f t="shared" si="9"/>
        <v/>
      </c>
      <c r="AC21" s="20" t="str">
        <f t="shared" si="10"/>
        <v/>
      </c>
      <c r="AD21" s="186" t="str">
        <f t="shared" si="15"/>
        <v/>
      </c>
      <c r="AE21" s="108"/>
      <c r="AF21" s="215" t="str" cm="1">
        <f t="array" ref="AF21">_xlfn.IFS(O21="","",AD21&gt;O21,"KO : Le montant retenu est supérieur au montant présenté. Merci de revoir la ligne de dépense ou plafonner son montant.",AD21=0,"Attention : montant présenté entièrement écarté",AD21&lt;O21,"Attention : montant présenté partiellement écarté",Y21&lt;15%,"Attention : le taux d'affectation du personnel est inférieur à 15% sur cette ligne. Vérifiez que le total du taux d'affectation du personnel est supérieur ou égal à 15%, sinon le personnel est inéligible",AD21=O21,"OK")</f>
        <v/>
      </c>
      <c r="AG21" s="109" t="str">
        <f t="shared" si="11"/>
        <v/>
      </c>
    </row>
    <row r="22" spans="1:34" s="3" customFormat="1" ht="15.95">
      <c r="A22" s="15">
        <v>13</v>
      </c>
      <c r="B22" s="784"/>
      <c r="C22" s="106"/>
      <c r="D22" s="207"/>
      <c r="E22" s="106"/>
      <c r="F22" s="7"/>
      <c r="G22" s="780"/>
      <c r="H22" s="8"/>
      <c r="I22" s="8"/>
      <c r="J22" s="813" t="str">
        <f t="shared" si="13"/>
        <v/>
      </c>
      <c r="K22" s="913"/>
      <c r="L22" s="22"/>
      <c r="M22" s="22"/>
      <c r="N22" s="7"/>
      <c r="O22" s="186" t="str">
        <f t="shared" si="12"/>
        <v/>
      </c>
      <c r="P22" s="107"/>
      <c r="Q22" s="16" t="str">
        <f t="shared" si="0"/>
        <v/>
      </c>
      <c r="R22" s="36" t="str">
        <f t="shared" si="1"/>
        <v/>
      </c>
      <c r="S22" s="36" t="str">
        <f t="shared" si="2"/>
        <v/>
      </c>
      <c r="T22" s="14" t="str">
        <f t="shared" si="3"/>
        <v/>
      </c>
      <c r="U22" s="176" t="str">
        <f t="shared" si="3"/>
        <v/>
      </c>
      <c r="V22" s="35" t="str">
        <f t="shared" si="4"/>
        <v/>
      </c>
      <c r="W22" s="20" t="str">
        <f t="shared" si="5"/>
        <v/>
      </c>
      <c r="X22" s="813" t="str">
        <f t="shared" si="14"/>
        <v/>
      </c>
      <c r="Y22" s="916" t="str">
        <f t="shared" si="6"/>
        <v/>
      </c>
      <c r="Z22" s="810" t="str">
        <f t="shared" si="7"/>
        <v/>
      </c>
      <c r="AA22" s="282" t="str">
        <f t="shared" si="8"/>
        <v/>
      </c>
      <c r="AB22" s="282" t="str">
        <f t="shared" si="9"/>
        <v/>
      </c>
      <c r="AC22" s="20" t="str">
        <f t="shared" si="10"/>
        <v/>
      </c>
      <c r="AD22" s="186" t="str">
        <f t="shared" si="15"/>
        <v/>
      </c>
      <c r="AE22" s="108"/>
      <c r="AF22" s="215" t="str" cm="1">
        <f t="array" ref="AF22">_xlfn.IFS(O22="","",AD22&gt;O22,"KO : Le montant retenu est supérieur au montant présenté. Merci de revoir la ligne de dépense ou plafonner son montant.",AD22=0,"Attention : montant présenté entièrement écarté",AD22&lt;O22,"Attention : montant présenté partiellement écarté",Y22&lt;15%,"Attention : le taux d'affectation du personnel est inférieur à 15% sur cette ligne. Vérifiez que le total du taux d'affectation du personnel est supérieur ou égal à 15%, sinon le personnel est inéligible",AD22=O22,"OK")</f>
        <v/>
      </c>
      <c r="AG22" s="109" t="str">
        <f t="shared" si="11"/>
        <v/>
      </c>
    </row>
    <row r="23" spans="1:34" s="3" customFormat="1" ht="15.95">
      <c r="A23" s="15">
        <v>14</v>
      </c>
      <c r="B23" s="784"/>
      <c r="C23" s="106"/>
      <c r="D23" s="207"/>
      <c r="E23" s="106"/>
      <c r="F23" s="7"/>
      <c r="G23" s="780"/>
      <c r="H23" s="8"/>
      <c r="I23" s="8"/>
      <c r="J23" s="813" t="str">
        <f t="shared" si="13"/>
        <v/>
      </c>
      <c r="K23" s="913"/>
      <c r="L23" s="22"/>
      <c r="M23" s="22"/>
      <c r="N23" s="7"/>
      <c r="O23" s="186" t="str">
        <f t="shared" si="12"/>
        <v/>
      </c>
      <c r="P23" s="107"/>
      <c r="Q23" s="16" t="str">
        <f t="shared" si="0"/>
        <v/>
      </c>
      <c r="R23" s="36" t="str">
        <f t="shared" si="1"/>
        <v/>
      </c>
      <c r="S23" s="36" t="str">
        <f t="shared" si="2"/>
        <v/>
      </c>
      <c r="T23" s="14" t="str">
        <f t="shared" si="3"/>
        <v/>
      </c>
      <c r="U23" s="176" t="str">
        <f t="shared" si="3"/>
        <v/>
      </c>
      <c r="V23" s="35" t="str">
        <f t="shared" si="4"/>
        <v/>
      </c>
      <c r="W23" s="20" t="str">
        <f t="shared" si="5"/>
        <v/>
      </c>
      <c r="X23" s="813" t="str">
        <f t="shared" si="14"/>
        <v/>
      </c>
      <c r="Y23" s="916" t="str">
        <f t="shared" si="6"/>
        <v/>
      </c>
      <c r="Z23" s="810" t="str">
        <f t="shared" si="7"/>
        <v/>
      </c>
      <c r="AA23" s="282" t="str">
        <f t="shared" si="8"/>
        <v/>
      </c>
      <c r="AB23" s="282" t="str">
        <f t="shared" si="9"/>
        <v/>
      </c>
      <c r="AC23" s="20" t="str">
        <f t="shared" si="10"/>
        <v/>
      </c>
      <c r="AD23" s="186" t="str">
        <f t="shared" si="15"/>
        <v/>
      </c>
      <c r="AE23" s="108"/>
      <c r="AF23" s="215" t="str" cm="1">
        <f t="array" ref="AF23">_xlfn.IFS(O23="","",AD23&gt;O23,"KO : Le montant retenu est supérieur au montant présenté. Merci de revoir la ligne de dépense ou plafonner son montant.",AD23=0,"Attention : montant présenté entièrement écarté",AD23&lt;O23,"Attention : montant présenté partiellement écarté",Y23&lt;15%,"Attention : le taux d'affectation du personnel est inférieur à 15% sur cette ligne. Vérifiez que le total du taux d'affectation du personnel est supérieur ou égal à 15%, sinon le personnel est inéligible",AD23=O23,"OK")</f>
        <v/>
      </c>
      <c r="AG23" s="109" t="str">
        <f t="shared" si="11"/>
        <v/>
      </c>
    </row>
    <row r="24" spans="1:34" s="3" customFormat="1" ht="14.45" customHeight="1">
      <c r="A24" s="15">
        <v>15</v>
      </c>
      <c r="B24" s="784"/>
      <c r="C24" s="106"/>
      <c r="D24" s="207"/>
      <c r="E24" s="106"/>
      <c r="F24" s="7"/>
      <c r="G24" s="780"/>
      <c r="H24" s="8"/>
      <c r="I24" s="8"/>
      <c r="J24" s="813" t="str">
        <f t="shared" si="13"/>
        <v/>
      </c>
      <c r="K24" s="913"/>
      <c r="L24" s="22"/>
      <c r="M24" s="22"/>
      <c r="N24" s="7"/>
      <c r="O24" s="186" t="str">
        <f t="shared" si="12"/>
        <v/>
      </c>
      <c r="P24" s="107"/>
      <c r="Q24" s="16" t="str">
        <f t="shared" si="0"/>
        <v/>
      </c>
      <c r="R24" s="36" t="str">
        <f t="shared" si="1"/>
        <v/>
      </c>
      <c r="S24" s="36" t="str">
        <f t="shared" si="2"/>
        <v/>
      </c>
      <c r="T24" s="14" t="str">
        <f t="shared" si="3"/>
        <v/>
      </c>
      <c r="U24" s="176" t="str">
        <f t="shared" si="3"/>
        <v/>
      </c>
      <c r="V24" s="35" t="str">
        <f t="shared" si="4"/>
        <v/>
      </c>
      <c r="W24" s="20" t="str">
        <f t="shared" si="5"/>
        <v/>
      </c>
      <c r="X24" s="813" t="str">
        <f t="shared" si="14"/>
        <v/>
      </c>
      <c r="Y24" s="916" t="str">
        <f t="shared" si="6"/>
        <v/>
      </c>
      <c r="Z24" s="810" t="str">
        <f t="shared" si="7"/>
        <v/>
      </c>
      <c r="AA24" s="282" t="str">
        <f t="shared" si="8"/>
        <v/>
      </c>
      <c r="AB24" s="282" t="str">
        <f t="shared" si="9"/>
        <v/>
      </c>
      <c r="AC24" s="20" t="str">
        <f t="shared" si="10"/>
        <v/>
      </c>
      <c r="AD24" s="186" t="str">
        <f t="shared" si="15"/>
        <v/>
      </c>
      <c r="AE24" s="108"/>
      <c r="AF24" s="215" t="str" cm="1">
        <f t="array" ref="AF24">_xlfn.IFS(O24="","",AD24&gt;O24,"KO : Le montant retenu est supérieur au montant présenté. Merci de revoir la ligne de dépense ou plafonner son montant.",AD24=0,"Attention : montant présenté entièrement écarté",AD24&lt;O24,"Attention : montant présenté partiellement écarté",Y24&lt;15%,"Attention : le taux d'affectation du personnel est inférieur à 15% sur cette ligne. Vérifiez que le total du taux d'affectation du personnel est supérieur ou égal à 15%, sinon le personnel est inéligible",AD24=O24,"OK")</f>
        <v/>
      </c>
      <c r="AG24" s="109" t="str">
        <f t="shared" si="11"/>
        <v/>
      </c>
      <c r="AH24" s="110"/>
    </row>
    <row r="25" spans="1:34" s="3" customFormat="1" ht="14.45" customHeight="1">
      <c r="A25" s="15">
        <v>16</v>
      </c>
      <c r="B25" s="784"/>
      <c r="C25" s="106"/>
      <c r="D25" s="207"/>
      <c r="E25" s="106"/>
      <c r="F25" s="7"/>
      <c r="G25" s="780"/>
      <c r="H25" s="8"/>
      <c r="I25" s="8"/>
      <c r="J25" s="813" t="str">
        <f t="shared" si="13"/>
        <v/>
      </c>
      <c r="K25" s="913"/>
      <c r="L25" s="22"/>
      <c r="M25" s="22"/>
      <c r="N25" s="7"/>
      <c r="O25" s="186" t="str">
        <f t="shared" si="12"/>
        <v/>
      </c>
      <c r="P25" s="107"/>
      <c r="Q25" s="16" t="str">
        <f t="shared" si="0"/>
        <v/>
      </c>
      <c r="R25" s="36" t="str">
        <f t="shared" si="1"/>
        <v/>
      </c>
      <c r="S25" s="36" t="str">
        <f t="shared" si="2"/>
        <v/>
      </c>
      <c r="T25" s="14" t="str">
        <f t="shared" si="3"/>
        <v/>
      </c>
      <c r="U25" s="176" t="str">
        <f t="shared" si="3"/>
        <v/>
      </c>
      <c r="V25" s="35" t="str">
        <f t="shared" si="4"/>
        <v/>
      </c>
      <c r="W25" s="20" t="str">
        <f t="shared" si="5"/>
        <v/>
      </c>
      <c r="X25" s="813" t="str">
        <f t="shared" si="14"/>
        <v/>
      </c>
      <c r="Y25" s="916" t="str">
        <f t="shared" si="6"/>
        <v/>
      </c>
      <c r="Z25" s="810" t="str">
        <f t="shared" si="7"/>
        <v/>
      </c>
      <c r="AA25" s="282" t="str">
        <f t="shared" si="8"/>
        <v/>
      </c>
      <c r="AB25" s="282" t="str">
        <f t="shared" si="9"/>
        <v/>
      </c>
      <c r="AC25" s="20" t="str">
        <f t="shared" si="10"/>
        <v/>
      </c>
      <c r="AD25" s="186" t="str">
        <f t="shared" si="15"/>
        <v/>
      </c>
      <c r="AE25" s="108"/>
      <c r="AF25" s="215" t="str" cm="1">
        <f t="array" ref="AF25">_xlfn.IFS(O25="","",AD25&gt;O25,"KO : Le montant retenu est supérieur au montant présenté. Merci de revoir la ligne de dépense ou plafonner son montant.",AD25=0,"Attention : montant présenté entièrement écarté",AD25&lt;O25,"Attention : montant présenté partiellement écarté",Y25&lt;15%,"Attention : le taux d'affectation du personnel est inférieur à 15% sur cette ligne. Vérifiez que le total du taux d'affectation du personnel est supérieur ou égal à 15%, sinon le personnel est inéligible",AD25=O25,"OK")</f>
        <v/>
      </c>
      <c r="AG25" s="109" t="str">
        <f t="shared" si="11"/>
        <v/>
      </c>
      <c r="AH25" s="110"/>
    </row>
    <row r="26" spans="1:34" s="3" customFormat="1" ht="15.95">
      <c r="A26" s="15">
        <v>17</v>
      </c>
      <c r="B26" s="784"/>
      <c r="C26" s="106"/>
      <c r="D26" s="207"/>
      <c r="E26" s="106"/>
      <c r="F26" s="7"/>
      <c r="G26" s="780"/>
      <c r="H26" s="8"/>
      <c r="I26" s="8"/>
      <c r="J26" s="813" t="str">
        <f t="shared" si="13"/>
        <v/>
      </c>
      <c r="K26" s="913"/>
      <c r="L26" s="22"/>
      <c r="M26" s="22"/>
      <c r="N26" s="7"/>
      <c r="O26" s="186" t="str">
        <f t="shared" si="12"/>
        <v/>
      </c>
      <c r="P26" s="107"/>
      <c r="Q26" s="16" t="str">
        <f t="shared" si="0"/>
        <v/>
      </c>
      <c r="R26" s="36" t="str">
        <f t="shared" si="1"/>
        <v/>
      </c>
      <c r="S26" s="36" t="str">
        <f t="shared" si="2"/>
        <v/>
      </c>
      <c r="T26" s="14" t="str">
        <f t="shared" si="3"/>
        <v/>
      </c>
      <c r="U26" s="176" t="str">
        <f t="shared" si="3"/>
        <v/>
      </c>
      <c r="V26" s="35" t="str">
        <f t="shared" si="4"/>
        <v/>
      </c>
      <c r="W26" s="20" t="str">
        <f t="shared" si="5"/>
        <v/>
      </c>
      <c r="X26" s="813" t="str">
        <f t="shared" si="14"/>
        <v/>
      </c>
      <c r="Y26" s="916" t="str">
        <f t="shared" si="6"/>
        <v/>
      </c>
      <c r="Z26" s="810" t="str">
        <f t="shared" si="7"/>
        <v/>
      </c>
      <c r="AA26" s="282" t="str">
        <f t="shared" si="8"/>
        <v/>
      </c>
      <c r="AB26" s="282" t="str">
        <f t="shared" si="9"/>
        <v/>
      </c>
      <c r="AC26" s="20" t="str">
        <f t="shared" si="10"/>
        <v/>
      </c>
      <c r="AD26" s="186" t="str">
        <f t="shared" si="15"/>
        <v/>
      </c>
      <c r="AE26" s="108"/>
      <c r="AF26" s="215" t="str" cm="1">
        <f t="array" ref="AF26">_xlfn.IFS(O26="","",AD26&gt;O26,"KO : Le montant retenu est supérieur au montant présenté. Merci de revoir la ligne de dépense ou plafonner son montant.",AD26=0,"Attention : montant présenté entièrement écarté",AD26&lt;O26,"Attention : montant présenté partiellement écarté",Y26&lt;15%,"Attention : le taux d'affectation du personnel est inférieur à 15% sur cette ligne. Vérifiez que le total du taux d'affectation du personnel est supérieur ou égal à 15%, sinon le personnel est inéligible",AD26=O26,"OK")</f>
        <v/>
      </c>
      <c r="AG26" s="109" t="str">
        <f t="shared" si="11"/>
        <v/>
      </c>
    </row>
    <row r="27" spans="1:34" s="3" customFormat="1" ht="15.95">
      <c r="A27" s="15">
        <v>18</v>
      </c>
      <c r="B27" s="784"/>
      <c r="C27" s="106"/>
      <c r="D27" s="207"/>
      <c r="E27" s="106"/>
      <c r="F27" s="7"/>
      <c r="G27" s="780"/>
      <c r="H27" s="8"/>
      <c r="I27" s="8"/>
      <c r="J27" s="813" t="str">
        <f t="shared" si="13"/>
        <v/>
      </c>
      <c r="K27" s="913"/>
      <c r="L27" s="22"/>
      <c r="M27" s="22"/>
      <c r="N27" s="7"/>
      <c r="O27" s="186" t="str">
        <f t="shared" si="12"/>
        <v/>
      </c>
      <c r="P27" s="107"/>
      <c r="Q27" s="16" t="str">
        <f t="shared" si="0"/>
        <v/>
      </c>
      <c r="R27" s="36" t="str">
        <f t="shared" si="1"/>
        <v/>
      </c>
      <c r="S27" s="36" t="str">
        <f t="shared" si="2"/>
        <v/>
      </c>
      <c r="T27" s="14" t="str">
        <f t="shared" si="3"/>
        <v/>
      </c>
      <c r="U27" s="176" t="str">
        <f t="shared" si="3"/>
        <v/>
      </c>
      <c r="V27" s="35" t="str">
        <f t="shared" si="4"/>
        <v/>
      </c>
      <c r="W27" s="20" t="str">
        <f t="shared" si="5"/>
        <v/>
      </c>
      <c r="X27" s="813" t="str">
        <f t="shared" si="14"/>
        <v/>
      </c>
      <c r="Y27" s="916" t="str">
        <f t="shared" si="6"/>
        <v/>
      </c>
      <c r="Z27" s="810" t="str">
        <f t="shared" si="7"/>
        <v/>
      </c>
      <c r="AA27" s="282" t="str">
        <f t="shared" si="8"/>
        <v/>
      </c>
      <c r="AB27" s="282" t="str">
        <f t="shared" si="9"/>
        <v/>
      </c>
      <c r="AC27" s="20" t="str">
        <f t="shared" si="10"/>
        <v/>
      </c>
      <c r="AD27" s="186" t="str">
        <f t="shared" si="15"/>
        <v/>
      </c>
      <c r="AE27" s="108"/>
      <c r="AF27" s="215" t="str" cm="1">
        <f t="array" ref="AF27">_xlfn.IFS(O27="","",AD27&gt;O27,"KO : Le montant retenu est supérieur au montant présenté. Merci de revoir la ligne de dépense ou plafonner son montant.",AD27=0,"Attention : montant présenté entièrement écarté",AD27&lt;O27,"Attention : montant présenté partiellement écarté",Y27&lt;15%,"Attention : le taux d'affectation du personnel est inférieur à 15% sur cette ligne. Vérifiez que le total du taux d'affectation du personnel est supérieur ou égal à 15%, sinon le personnel est inéligible",AD27=O27,"OK")</f>
        <v/>
      </c>
      <c r="AG27" s="109" t="str">
        <f t="shared" si="11"/>
        <v/>
      </c>
    </row>
    <row r="28" spans="1:34" s="3" customFormat="1" ht="15.95">
      <c r="A28" s="15">
        <v>19</v>
      </c>
      <c r="B28" s="784"/>
      <c r="C28" s="106"/>
      <c r="D28" s="207"/>
      <c r="E28" s="106"/>
      <c r="F28" s="7"/>
      <c r="G28" s="780"/>
      <c r="H28" s="8"/>
      <c r="I28" s="8"/>
      <c r="J28" s="813" t="str">
        <f t="shared" si="13"/>
        <v/>
      </c>
      <c r="K28" s="913"/>
      <c r="L28" s="22"/>
      <c r="M28" s="22"/>
      <c r="N28" s="7"/>
      <c r="O28" s="186" t="str">
        <f t="shared" si="12"/>
        <v/>
      </c>
      <c r="P28" s="107"/>
      <c r="Q28" s="16" t="str">
        <f t="shared" si="0"/>
        <v/>
      </c>
      <c r="R28" s="36" t="str">
        <f t="shared" si="1"/>
        <v/>
      </c>
      <c r="S28" s="36" t="str">
        <f t="shared" si="2"/>
        <v/>
      </c>
      <c r="T28" s="14" t="str">
        <f t="shared" si="3"/>
        <v/>
      </c>
      <c r="U28" s="176" t="str">
        <f t="shared" si="3"/>
        <v/>
      </c>
      <c r="V28" s="35" t="str">
        <f t="shared" si="4"/>
        <v/>
      </c>
      <c r="W28" s="20" t="str">
        <f t="shared" si="5"/>
        <v/>
      </c>
      <c r="X28" s="813" t="str">
        <f t="shared" si="14"/>
        <v/>
      </c>
      <c r="Y28" s="916" t="str">
        <f t="shared" si="6"/>
        <v/>
      </c>
      <c r="Z28" s="810" t="str">
        <f t="shared" si="7"/>
        <v/>
      </c>
      <c r="AA28" s="282" t="str">
        <f t="shared" si="8"/>
        <v/>
      </c>
      <c r="AB28" s="282" t="str">
        <f t="shared" si="9"/>
        <v/>
      </c>
      <c r="AC28" s="20" t="str">
        <f t="shared" si="10"/>
        <v/>
      </c>
      <c r="AD28" s="186" t="str">
        <f t="shared" si="15"/>
        <v/>
      </c>
      <c r="AE28" s="108"/>
      <c r="AF28" s="215" t="str" cm="1">
        <f t="array" ref="AF28">_xlfn.IFS(O28="","",AD28&gt;O28,"KO : Le montant retenu est supérieur au montant présenté. Merci de revoir la ligne de dépense ou plafonner son montant.",AD28=0,"Attention : montant présenté entièrement écarté",AD28&lt;O28,"Attention : montant présenté partiellement écarté",Y28&lt;15%,"Attention : le taux d'affectation du personnel est inférieur à 15% sur cette ligne. Vérifiez que le total du taux d'affectation du personnel est supérieur ou égal à 15%, sinon le personnel est inéligible",AD28=O28,"OK")</f>
        <v/>
      </c>
      <c r="AG28" s="109" t="str">
        <f t="shared" si="11"/>
        <v/>
      </c>
    </row>
    <row r="29" spans="1:34" s="3" customFormat="1" ht="15.95">
      <c r="A29" s="15">
        <v>20</v>
      </c>
      <c r="B29" s="784"/>
      <c r="C29" s="106"/>
      <c r="D29" s="207"/>
      <c r="E29" s="106"/>
      <c r="F29" s="7"/>
      <c r="G29" s="780"/>
      <c r="H29" s="8"/>
      <c r="I29" s="8"/>
      <c r="J29" s="813" t="str">
        <f t="shared" si="13"/>
        <v/>
      </c>
      <c r="K29" s="913"/>
      <c r="L29" s="22"/>
      <c r="M29" s="22"/>
      <c r="N29" s="7"/>
      <c r="O29" s="186" t="str">
        <f t="shared" si="12"/>
        <v/>
      </c>
      <c r="P29" s="107"/>
      <c r="Q29" s="16" t="str">
        <f t="shared" si="0"/>
        <v/>
      </c>
      <c r="R29" s="36" t="str">
        <f t="shared" si="1"/>
        <v/>
      </c>
      <c r="S29" s="36" t="str">
        <f t="shared" si="2"/>
        <v/>
      </c>
      <c r="T29" s="14" t="str">
        <f t="shared" si="3"/>
        <v/>
      </c>
      <c r="U29" s="176" t="str">
        <f t="shared" si="3"/>
        <v/>
      </c>
      <c r="V29" s="35" t="str">
        <f t="shared" si="4"/>
        <v/>
      </c>
      <c r="W29" s="20" t="str">
        <f t="shared" si="5"/>
        <v/>
      </c>
      <c r="X29" s="813" t="str">
        <f t="shared" si="14"/>
        <v/>
      </c>
      <c r="Y29" s="916" t="str">
        <f t="shared" si="6"/>
        <v/>
      </c>
      <c r="Z29" s="810" t="str">
        <f t="shared" si="7"/>
        <v/>
      </c>
      <c r="AA29" s="282" t="str">
        <f t="shared" si="8"/>
        <v/>
      </c>
      <c r="AB29" s="282" t="str">
        <f t="shared" si="9"/>
        <v/>
      </c>
      <c r="AC29" s="20" t="str">
        <f t="shared" si="10"/>
        <v/>
      </c>
      <c r="AD29" s="186" t="str">
        <f t="shared" si="15"/>
        <v/>
      </c>
      <c r="AE29" s="108"/>
      <c r="AF29" s="215" t="str" cm="1">
        <f t="array" ref="AF29">_xlfn.IFS(O29="","",AD29&gt;O29,"KO : Le montant retenu est supérieur au montant présenté. Merci de revoir la ligne de dépense ou plafonner son montant.",AD29=0,"Attention : montant présenté entièrement écarté",AD29&lt;O29,"Attention : montant présenté partiellement écarté",Y29&lt;15%,"Attention : le taux d'affectation du personnel est inférieur à 15% sur cette ligne. Vérifiez que le total du taux d'affectation du personnel est supérieur ou égal à 15%, sinon le personnel est inéligible",AD29=O29,"OK")</f>
        <v/>
      </c>
      <c r="AG29" s="109" t="str">
        <f t="shared" si="11"/>
        <v/>
      </c>
    </row>
    <row r="30" spans="1:34" s="3" customFormat="1" ht="15.95">
      <c r="A30" s="15">
        <v>21</v>
      </c>
      <c r="B30" s="784"/>
      <c r="C30" s="106"/>
      <c r="D30" s="207"/>
      <c r="E30" s="106"/>
      <c r="F30" s="7"/>
      <c r="G30" s="780"/>
      <c r="H30" s="8"/>
      <c r="I30" s="8"/>
      <c r="J30" s="813" t="str">
        <f t="shared" si="13"/>
        <v/>
      </c>
      <c r="K30" s="913"/>
      <c r="L30" s="22"/>
      <c r="M30" s="22"/>
      <c r="N30" s="7"/>
      <c r="O30" s="186" t="str">
        <f t="shared" si="12"/>
        <v/>
      </c>
      <c r="P30" s="107"/>
      <c r="Q30" s="16" t="str">
        <f t="shared" si="0"/>
        <v/>
      </c>
      <c r="R30" s="36" t="str">
        <f t="shared" si="1"/>
        <v/>
      </c>
      <c r="S30" s="36" t="str">
        <f t="shared" si="2"/>
        <v/>
      </c>
      <c r="T30" s="14" t="str">
        <f t="shared" si="3"/>
        <v/>
      </c>
      <c r="U30" s="176" t="str">
        <f t="shared" si="3"/>
        <v/>
      </c>
      <c r="V30" s="35" t="str">
        <f t="shared" si="4"/>
        <v/>
      </c>
      <c r="W30" s="20" t="str">
        <f t="shared" si="5"/>
        <v/>
      </c>
      <c r="X30" s="813" t="str">
        <f t="shared" si="14"/>
        <v/>
      </c>
      <c r="Y30" s="916" t="str">
        <f t="shared" si="6"/>
        <v/>
      </c>
      <c r="Z30" s="810" t="str">
        <f t="shared" si="7"/>
        <v/>
      </c>
      <c r="AA30" s="282" t="str">
        <f t="shared" si="8"/>
        <v/>
      </c>
      <c r="AB30" s="282" t="str">
        <f t="shared" si="9"/>
        <v/>
      </c>
      <c r="AC30" s="20" t="str">
        <f t="shared" si="10"/>
        <v/>
      </c>
      <c r="AD30" s="186" t="str">
        <f t="shared" si="15"/>
        <v/>
      </c>
      <c r="AE30" s="108"/>
      <c r="AF30" s="215" t="str" cm="1">
        <f t="array" ref="AF30">_xlfn.IFS(O30="","",AD30&gt;O30,"KO : Le montant retenu est supérieur au montant présenté. Merci de revoir la ligne de dépense ou plafonner son montant.",AD30=0,"Attention : montant présenté entièrement écarté",AD30&lt;O30,"Attention : montant présenté partiellement écarté",Y30&lt;15%,"Attention : le taux d'affectation du personnel est inférieur à 15% sur cette ligne. Vérifiez que le total du taux d'affectation du personnel est supérieur ou égal à 15%, sinon le personnel est inéligible",AD30=O30,"OK")</f>
        <v/>
      </c>
      <c r="AG30" s="109" t="str">
        <f t="shared" si="11"/>
        <v/>
      </c>
    </row>
    <row r="31" spans="1:34" s="3" customFormat="1" ht="15.95">
      <c r="A31" s="15">
        <v>22</v>
      </c>
      <c r="B31" s="784"/>
      <c r="C31" s="106"/>
      <c r="D31" s="207"/>
      <c r="E31" s="106"/>
      <c r="F31" s="7"/>
      <c r="G31" s="780"/>
      <c r="H31" s="8"/>
      <c r="I31" s="8"/>
      <c r="J31" s="813" t="str">
        <f t="shared" si="13"/>
        <v/>
      </c>
      <c r="K31" s="913"/>
      <c r="L31" s="22"/>
      <c r="M31" s="22"/>
      <c r="N31" s="7"/>
      <c r="O31" s="186" t="str">
        <f t="shared" si="12"/>
        <v/>
      </c>
      <c r="P31" s="107"/>
      <c r="Q31" s="16" t="str">
        <f t="shared" si="0"/>
        <v/>
      </c>
      <c r="R31" s="36" t="str">
        <f t="shared" si="1"/>
        <v/>
      </c>
      <c r="S31" s="36" t="str">
        <f t="shared" si="2"/>
        <v/>
      </c>
      <c r="T31" s="14" t="str">
        <f t="shared" si="3"/>
        <v/>
      </c>
      <c r="U31" s="176" t="str">
        <f t="shared" si="3"/>
        <v/>
      </c>
      <c r="V31" s="35" t="str">
        <f t="shared" si="4"/>
        <v/>
      </c>
      <c r="W31" s="20" t="str">
        <f t="shared" si="5"/>
        <v/>
      </c>
      <c r="X31" s="813" t="str">
        <f t="shared" si="14"/>
        <v/>
      </c>
      <c r="Y31" s="916" t="str">
        <f t="shared" si="6"/>
        <v/>
      </c>
      <c r="Z31" s="810" t="str">
        <f t="shared" si="7"/>
        <v/>
      </c>
      <c r="AA31" s="282" t="str">
        <f t="shared" si="8"/>
        <v/>
      </c>
      <c r="AB31" s="282" t="str">
        <f t="shared" si="9"/>
        <v/>
      </c>
      <c r="AC31" s="20" t="str">
        <f t="shared" si="10"/>
        <v/>
      </c>
      <c r="AD31" s="186" t="str">
        <f t="shared" si="15"/>
        <v/>
      </c>
      <c r="AE31" s="108"/>
      <c r="AF31" s="215" t="str" cm="1">
        <f t="array" ref="AF31">_xlfn.IFS(O31="","",AD31&gt;O31,"KO : Le montant retenu est supérieur au montant présenté. Merci de revoir la ligne de dépense ou plafonner son montant.",AD31=0,"Attention : montant présenté entièrement écarté",AD31&lt;O31,"Attention : montant présenté partiellement écarté",Y31&lt;15%,"Attention : le taux d'affectation du personnel est inférieur à 15% sur cette ligne. Vérifiez que le total du taux d'affectation du personnel est supérieur ou égal à 15%, sinon le personnel est inéligible",AD31=O31,"OK")</f>
        <v/>
      </c>
      <c r="AG31" s="109" t="str">
        <f t="shared" si="11"/>
        <v/>
      </c>
    </row>
    <row r="32" spans="1:34" s="3" customFormat="1" ht="15.95">
      <c r="A32" s="15">
        <v>23</v>
      </c>
      <c r="B32" s="784"/>
      <c r="C32" s="106"/>
      <c r="D32" s="207"/>
      <c r="E32" s="106"/>
      <c r="F32" s="7"/>
      <c r="G32" s="780"/>
      <c r="H32" s="8"/>
      <c r="I32" s="8"/>
      <c r="J32" s="813" t="str">
        <f t="shared" si="13"/>
        <v/>
      </c>
      <c r="K32" s="913"/>
      <c r="L32" s="22"/>
      <c r="M32" s="22"/>
      <c r="N32" s="7"/>
      <c r="O32" s="186" t="str">
        <f t="shared" si="12"/>
        <v/>
      </c>
      <c r="P32" s="107"/>
      <c r="Q32" s="16" t="str">
        <f t="shared" si="0"/>
        <v/>
      </c>
      <c r="R32" s="36" t="str">
        <f t="shared" si="1"/>
        <v/>
      </c>
      <c r="S32" s="36" t="str">
        <f t="shared" si="2"/>
        <v/>
      </c>
      <c r="T32" s="14" t="str">
        <f t="shared" si="3"/>
        <v/>
      </c>
      <c r="U32" s="176" t="str">
        <f t="shared" si="3"/>
        <v/>
      </c>
      <c r="V32" s="35" t="str">
        <f t="shared" si="4"/>
        <v/>
      </c>
      <c r="W32" s="20" t="str">
        <f t="shared" si="5"/>
        <v/>
      </c>
      <c r="X32" s="813" t="str">
        <f t="shared" si="14"/>
        <v/>
      </c>
      <c r="Y32" s="916" t="str">
        <f t="shared" si="6"/>
        <v/>
      </c>
      <c r="Z32" s="810" t="str">
        <f t="shared" si="7"/>
        <v/>
      </c>
      <c r="AA32" s="282" t="str">
        <f t="shared" si="8"/>
        <v/>
      </c>
      <c r="AB32" s="282" t="str">
        <f t="shared" si="9"/>
        <v/>
      </c>
      <c r="AC32" s="20" t="str">
        <f t="shared" si="10"/>
        <v/>
      </c>
      <c r="AD32" s="186" t="str">
        <f t="shared" si="15"/>
        <v/>
      </c>
      <c r="AE32" s="108"/>
      <c r="AF32" s="215" t="str" cm="1">
        <f t="array" ref="AF32">_xlfn.IFS(O32="","",AD32&gt;O32,"KO : Le montant retenu est supérieur au montant présenté. Merci de revoir la ligne de dépense ou plafonner son montant.",AD32=0,"Attention : montant présenté entièrement écarté",AD32&lt;O32,"Attention : montant présenté partiellement écarté",Y32&lt;15%,"Attention : le taux d'affectation du personnel est inférieur à 15% sur cette ligne. Vérifiez que le total du taux d'affectation du personnel est supérieur ou égal à 15%, sinon le personnel est inéligible",AD32=O32,"OK")</f>
        <v/>
      </c>
      <c r="AG32" s="109" t="str">
        <f t="shared" si="11"/>
        <v/>
      </c>
    </row>
    <row r="33" spans="1:33" s="3" customFormat="1" ht="15.95">
      <c r="A33" s="15">
        <v>24</v>
      </c>
      <c r="B33" s="784"/>
      <c r="C33" s="106"/>
      <c r="D33" s="207"/>
      <c r="E33" s="106"/>
      <c r="F33" s="7"/>
      <c r="G33" s="780"/>
      <c r="H33" s="8"/>
      <c r="I33" s="8"/>
      <c r="J33" s="813" t="str">
        <f t="shared" si="13"/>
        <v/>
      </c>
      <c r="K33" s="913"/>
      <c r="L33" s="22"/>
      <c r="M33" s="22"/>
      <c r="N33" s="7"/>
      <c r="O33" s="186" t="str">
        <f t="shared" si="12"/>
        <v/>
      </c>
      <c r="P33" s="107"/>
      <c r="Q33" s="16" t="str">
        <f t="shared" si="0"/>
        <v/>
      </c>
      <c r="R33" s="36" t="str">
        <f t="shared" si="1"/>
        <v/>
      </c>
      <c r="S33" s="36" t="str">
        <f t="shared" si="2"/>
        <v/>
      </c>
      <c r="T33" s="14" t="str">
        <f t="shared" si="3"/>
        <v/>
      </c>
      <c r="U33" s="176" t="str">
        <f t="shared" si="3"/>
        <v/>
      </c>
      <c r="V33" s="35" t="str">
        <f t="shared" si="4"/>
        <v/>
      </c>
      <c r="W33" s="20" t="str">
        <f t="shared" si="5"/>
        <v/>
      </c>
      <c r="X33" s="813" t="str">
        <f t="shared" si="14"/>
        <v/>
      </c>
      <c r="Y33" s="916" t="str">
        <f t="shared" si="6"/>
        <v/>
      </c>
      <c r="Z33" s="810" t="str">
        <f t="shared" si="7"/>
        <v/>
      </c>
      <c r="AA33" s="282" t="str">
        <f t="shared" si="8"/>
        <v/>
      </c>
      <c r="AB33" s="282" t="str">
        <f t="shared" si="9"/>
        <v/>
      </c>
      <c r="AC33" s="20" t="str">
        <f t="shared" si="10"/>
        <v/>
      </c>
      <c r="AD33" s="186" t="str">
        <f t="shared" si="15"/>
        <v/>
      </c>
      <c r="AE33" s="108"/>
      <c r="AF33" s="215" t="str" cm="1">
        <f t="array" ref="AF33">_xlfn.IFS(O33="","",AD33&gt;O33,"KO : Le montant retenu est supérieur au montant présenté. Merci de revoir la ligne de dépense ou plafonner son montant.",AD33=0,"Attention : montant présenté entièrement écarté",AD33&lt;O33,"Attention : montant présenté partiellement écarté",Y33&lt;15%,"Attention : le taux d'affectation du personnel est inférieur à 15% sur cette ligne. Vérifiez que le total du taux d'affectation du personnel est supérieur ou égal à 15%, sinon le personnel est inéligible",AD33=O33,"OK")</f>
        <v/>
      </c>
      <c r="AG33" s="109" t="str">
        <f t="shared" si="11"/>
        <v/>
      </c>
    </row>
    <row r="34" spans="1:33" s="3" customFormat="1" ht="15.95">
      <c r="A34" s="15">
        <v>25</v>
      </c>
      <c r="B34" s="784"/>
      <c r="C34" s="106"/>
      <c r="D34" s="207"/>
      <c r="E34" s="106"/>
      <c r="F34" s="7"/>
      <c r="G34" s="780"/>
      <c r="H34" s="8"/>
      <c r="I34" s="8"/>
      <c r="J34" s="813" t="str">
        <f t="shared" si="13"/>
        <v/>
      </c>
      <c r="K34" s="913"/>
      <c r="L34" s="22"/>
      <c r="M34" s="22"/>
      <c r="N34" s="7"/>
      <c r="O34" s="186" t="str">
        <f t="shared" si="12"/>
        <v/>
      </c>
      <c r="P34" s="107"/>
      <c r="Q34" s="16" t="str">
        <f t="shared" si="0"/>
        <v/>
      </c>
      <c r="R34" s="36" t="str">
        <f t="shared" si="1"/>
        <v/>
      </c>
      <c r="S34" s="36" t="str">
        <f t="shared" si="2"/>
        <v/>
      </c>
      <c r="T34" s="14" t="str">
        <f t="shared" si="3"/>
        <v/>
      </c>
      <c r="U34" s="176" t="str">
        <f t="shared" si="3"/>
        <v/>
      </c>
      <c r="V34" s="35" t="str">
        <f t="shared" si="4"/>
        <v/>
      </c>
      <c r="W34" s="20" t="str">
        <f t="shared" si="5"/>
        <v/>
      </c>
      <c r="X34" s="813" t="str">
        <f t="shared" si="14"/>
        <v/>
      </c>
      <c r="Y34" s="916" t="str">
        <f t="shared" si="6"/>
        <v/>
      </c>
      <c r="Z34" s="810" t="str">
        <f t="shared" si="7"/>
        <v/>
      </c>
      <c r="AA34" s="282" t="str">
        <f t="shared" si="8"/>
        <v/>
      </c>
      <c r="AB34" s="282" t="str">
        <f t="shared" si="9"/>
        <v/>
      </c>
      <c r="AC34" s="20" t="str">
        <f t="shared" si="10"/>
        <v/>
      </c>
      <c r="AD34" s="186" t="str">
        <f t="shared" si="15"/>
        <v/>
      </c>
      <c r="AE34" s="108"/>
      <c r="AF34" s="215" t="str" cm="1">
        <f t="array" ref="AF34">_xlfn.IFS(O34="","",AD34&gt;O34,"KO : Le montant retenu est supérieur au montant présenté. Merci de revoir la ligne de dépense ou plafonner son montant.",AD34=0,"Attention : montant présenté entièrement écarté",AD34&lt;O34,"Attention : montant présenté partiellement écarté",Y34&lt;15%,"Attention : le taux d'affectation du personnel est inférieur à 15% sur cette ligne. Vérifiez que le total du taux d'affectation du personnel est supérieur ou égal à 15%, sinon le personnel est inéligible",AD34=O34,"OK")</f>
        <v/>
      </c>
      <c r="AG34" s="109" t="str">
        <f t="shared" si="11"/>
        <v/>
      </c>
    </row>
    <row r="35" spans="1:33" s="3" customFormat="1" ht="15.95">
      <c r="A35" s="15">
        <v>26</v>
      </c>
      <c r="B35" s="784"/>
      <c r="C35" s="106"/>
      <c r="D35" s="207"/>
      <c r="E35" s="106"/>
      <c r="F35" s="7"/>
      <c r="G35" s="780"/>
      <c r="H35" s="8"/>
      <c r="I35" s="8"/>
      <c r="J35" s="813" t="str">
        <f t="shared" si="13"/>
        <v/>
      </c>
      <c r="K35" s="913"/>
      <c r="L35" s="22"/>
      <c r="M35" s="22"/>
      <c r="N35" s="7"/>
      <c r="O35" s="186" t="str">
        <f t="shared" si="12"/>
        <v/>
      </c>
      <c r="P35" s="107"/>
      <c r="Q35" s="16" t="str">
        <f t="shared" si="0"/>
        <v/>
      </c>
      <c r="R35" s="36" t="str">
        <f t="shared" si="1"/>
        <v/>
      </c>
      <c r="S35" s="36" t="str">
        <f t="shared" si="2"/>
        <v/>
      </c>
      <c r="T35" s="14" t="str">
        <f t="shared" si="3"/>
        <v/>
      </c>
      <c r="U35" s="176" t="str">
        <f t="shared" si="3"/>
        <v/>
      </c>
      <c r="V35" s="35" t="str">
        <f t="shared" si="4"/>
        <v/>
      </c>
      <c r="W35" s="20" t="str">
        <f t="shared" si="5"/>
        <v/>
      </c>
      <c r="X35" s="813" t="str">
        <f t="shared" si="14"/>
        <v/>
      </c>
      <c r="Y35" s="916" t="str">
        <f t="shared" si="6"/>
        <v/>
      </c>
      <c r="Z35" s="810" t="str">
        <f t="shared" si="7"/>
        <v/>
      </c>
      <c r="AA35" s="282" t="str">
        <f t="shared" si="8"/>
        <v/>
      </c>
      <c r="AB35" s="282" t="str">
        <f t="shared" si="9"/>
        <v/>
      </c>
      <c r="AC35" s="20" t="str">
        <f t="shared" si="10"/>
        <v/>
      </c>
      <c r="AD35" s="186" t="str">
        <f t="shared" si="15"/>
        <v/>
      </c>
      <c r="AE35" s="108"/>
      <c r="AF35" s="215" t="str" cm="1">
        <f t="array" ref="AF35">_xlfn.IFS(O35="","",AD35&gt;O35,"KO : Le montant retenu est supérieur au montant présenté. Merci de revoir la ligne de dépense ou plafonner son montant.",AD35=0,"Attention : montant présenté entièrement écarté",AD35&lt;O35,"Attention : montant présenté partiellement écarté",Y35&lt;15%,"Attention : le taux d'affectation du personnel est inférieur à 15% sur cette ligne. Vérifiez que le total du taux d'affectation du personnel est supérieur ou égal à 15%, sinon le personnel est inéligible",AD35=O35,"OK")</f>
        <v/>
      </c>
      <c r="AG35" s="109" t="str">
        <f t="shared" si="11"/>
        <v/>
      </c>
    </row>
    <row r="36" spans="1:33" s="3" customFormat="1" ht="15.95">
      <c r="A36" s="15">
        <v>27</v>
      </c>
      <c r="B36" s="784"/>
      <c r="C36" s="106"/>
      <c r="D36" s="207"/>
      <c r="E36" s="106"/>
      <c r="F36" s="7"/>
      <c r="G36" s="780"/>
      <c r="H36" s="8"/>
      <c r="I36" s="8"/>
      <c r="J36" s="813" t="str">
        <f t="shared" si="13"/>
        <v/>
      </c>
      <c r="K36" s="913"/>
      <c r="L36" s="22"/>
      <c r="M36" s="22"/>
      <c r="N36" s="7"/>
      <c r="O36" s="186" t="str">
        <f t="shared" si="12"/>
        <v/>
      </c>
      <c r="P36" s="107"/>
      <c r="Q36" s="16" t="str">
        <f t="shared" si="0"/>
        <v/>
      </c>
      <c r="R36" s="36" t="str">
        <f t="shared" si="1"/>
        <v/>
      </c>
      <c r="S36" s="36" t="str">
        <f t="shared" si="2"/>
        <v/>
      </c>
      <c r="T36" s="14" t="str">
        <f t="shared" si="3"/>
        <v/>
      </c>
      <c r="U36" s="176" t="str">
        <f t="shared" si="3"/>
        <v/>
      </c>
      <c r="V36" s="35" t="str">
        <f t="shared" si="4"/>
        <v/>
      </c>
      <c r="W36" s="20" t="str">
        <f t="shared" si="5"/>
        <v/>
      </c>
      <c r="X36" s="813" t="str">
        <f t="shared" si="14"/>
        <v/>
      </c>
      <c r="Y36" s="916" t="str">
        <f t="shared" si="6"/>
        <v/>
      </c>
      <c r="Z36" s="810" t="str">
        <f t="shared" si="7"/>
        <v/>
      </c>
      <c r="AA36" s="282" t="str">
        <f t="shared" si="8"/>
        <v/>
      </c>
      <c r="AB36" s="282" t="str">
        <f t="shared" si="9"/>
        <v/>
      </c>
      <c r="AC36" s="20" t="str">
        <f t="shared" si="10"/>
        <v/>
      </c>
      <c r="AD36" s="186" t="str">
        <f t="shared" si="15"/>
        <v/>
      </c>
      <c r="AE36" s="108"/>
      <c r="AF36" s="215" t="str" cm="1">
        <f t="array" ref="AF36">_xlfn.IFS(O36="","",AD36&gt;O36,"KO : Le montant retenu est supérieur au montant présenté. Merci de revoir la ligne de dépense ou plafonner son montant.",AD36=0,"Attention : montant présenté entièrement écarté",AD36&lt;O36,"Attention : montant présenté partiellement écarté",Y36&lt;15%,"Attention : le taux d'affectation du personnel est inférieur à 15% sur cette ligne. Vérifiez que le total du taux d'affectation du personnel est supérieur ou égal à 15%, sinon le personnel est inéligible",AD36=O36,"OK")</f>
        <v/>
      </c>
      <c r="AG36" s="109" t="str">
        <f t="shared" si="11"/>
        <v/>
      </c>
    </row>
    <row r="37" spans="1:33" s="3" customFormat="1" ht="15.95">
      <c r="A37" s="15">
        <v>28</v>
      </c>
      <c r="B37" s="784"/>
      <c r="C37" s="106"/>
      <c r="D37" s="207"/>
      <c r="E37" s="106"/>
      <c r="F37" s="7"/>
      <c r="G37" s="780"/>
      <c r="H37" s="8"/>
      <c r="I37" s="8"/>
      <c r="J37" s="813" t="str">
        <f t="shared" si="13"/>
        <v/>
      </c>
      <c r="K37" s="913"/>
      <c r="L37" s="22"/>
      <c r="M37" s="22"/>
      <c r="N37" s="7"/>
      <c r="O37" s="186" t="str">
        <f t="shared" si="12"/>
        <v/>
      </c>
      <c r="P37" s="107"/>
      <c r="Q37" s="16" t="str">
        <f t="shared" si="0"/>
        <v/>
      </c>
      <c r="R37" s="36" t="str">
        <f t="shared" si="1"/>
        <v/>
      </c>
      <c r="S37" s="36" t="str">
        <f t="shared" si="2"/>
        <v/>
      </c>
      <c r="T37" s="14" t="str">
        <f t="shared" si="3"/>
        <v/>
      </c>
      <c r="U37" s="176" t="str">
        <f t="shared" si="3"/>
        <v/>
      </c>
      <c r="V37" s="35" t="str">
        <f t="shared" si="4"/>
        <v/>
      </c>
      <c r="W37" s="20" t="str">
        <f t="shared" si="5"/>
        <v/>
      </c>
      <c r="X37" s="813" t="str">
        <f t="shared" si="14"/>
        <v/>
      </c>
      <c r="Y37" s="916" t="str">
        <f t="shared" si="6"/>
        <v/>
      </c>
      <c r="Z37" s="810" t="str">
        <f t="shared" si="7"/>
        <v/>
      </c>
      <c r="AA37" s="282" t="str">
        <f t="shared" si="8"/>
        <v/>
      </c>
      <c r="AB37" s="282" t="str">
        <f t="shared" si="9"/>
        <v/>
      </c>
      <c r="AC37" s="20" t="str">
        <f t="shared" si="10"/>
        <v/>
      </c>
      <c r="AD37" s="186" t="str">
        <f t="shared" si="15"/>
        <v/>
      </c>
      <c r="AE37" s="108"/>
      <c r="AF37" s="215" t="str" cm="1">
        <f t="array" ref="AF37">_xlfn.IFS(O37="","",AD37&gt;O37,"KO : Le montant retenu est supérieur au montant présenté. Merci de revoir la ligne de dépense ou plafonner son montant.",AD37=0,"Attention : montant présenté entièrement écarté",AD37&lt;O37,"Attention : montant présenté partiellement écarté",Y37&lt;15%,"Attention : le taux d'affectation du personnel est inférieur à 15% sur cette ligne. Vérifiez que le total du taux d'affectation du personnel est supérieur ou égal à 15%, sinon le personnel est inéligible",AD37=O37,"OK")</f>
        <v/>
      </c>
      <c r="AG37" s="109" t="str">
        <f t="shared" si="11"/>
        <v/>
      </c>
    </row>
    <row r="38" spans="1:33" s="3" customFormat="1" ht="15.95">
      <c r="A38" s="15">
        <v>29</v>
      </c>
      <c r="B38" s="784"/>
      <c r="C38" s="106"/>
      <c r="D38" s="207"/>
      <c r="E38" s="106"/>
      <c r="F38" s="7"/>
      <c r="G38" s="780"/>
      <c r="H38" s="8"/>
      <c r="I38" s="8"/>
      <c r="J38" s="813" t="str">
        <f t="shared" si="13"/>
        <v/>
      </c>
      <c r="K38" s="913"/>
      <c r="L38" s="22"/>
      <c r="M38" s="22"/>
      <c r="N38" s="7"/>
      <c r="O38" s="186" t="str">
        <f t="shared" si="12"/>
        <v/>
      </c>
      <c r="P38" s="107"/>
      <c r="Q38" s="16" t="str">
        <f t="shared" si="0"/>
        <v/>
      </c>
      <c r="R38" s="36" t="str">
        <f t="shared" si="1"/>
        <v/>
      </c>
      <c r="S38" s="36" t="str">
        <f t="shared" si="2"/>
        <v/>
      </c>
      <c r="T38" s="14" t="str">
        <f t="shared" si="3"/>
        <v/>
      </c>
      <c r="U38" s="176" t="str">
        <f t="shared" si="3"/>
        <v/>
      </c>
      <c r="V38" s="35" t="str">
        <f t="shared" si="4"/>
        <v/>
      </c>
      <c r="W38" s="20" t="str">
        <f t="shared" si="5"/>
        <v/>
      </c>
      <c r="X38" s="813" t="str">
        <f t="shared" si="14"/>
        <v/>
      </c>
      <c r="Y38" s="916" t="str">
        <f t="shared" si="6"/>
        <v/>
      </c>
      <c r="Z38" s="810" t="str">
        <f t="shared" si="7"/>
        <v/>
      </c>
      <c r="AA38" s="282" t="str">
        <f t="shared" si="8"/>
        <v/>
      </c>
      <c r="AB38" s="282" t="str">
        <f t="shared" si="9"/>
        <v/>
      </c>
      <c r="AC38" s="20" t="str">
        <f t="shared" si="10"/>
        <v/>
      </c>
      <c r="AD38" s="186" t="str">
        <f t="shared" si="15"/>
        <v/>
      </c>
      <c r="AE38" s="108"/>
      <c r="AF38" s="215" t="str" cm="1">
        <f t="array" ref="AF38">_xlfn.IFS(O38="","",AD38&gt;O38,"KO : Le montant retenu est supérieur au montant présenté. Merci de revoir la ligne de dépense ou plafonner son montant.",AD38=0,"Attention : montant présenté entièrement écarté",AD38&lt;O38,"Attention : montant présenté partiellement écarté",Y38&lt;15%,"Attention : le taux d'affectation du personnel est inférieur à 15% sur cette ligne. Vérifiez que le total du taux d'affectation du personnel est supérieur ou égal à 15%, sinon le personnel est inéligible",AD38=O38,"OK")</f>
        <v/>
      </c>
      <c r="AG38" s="109" t="str">
        <f t="shared" si="11"/>
        <v/>
      </c>
    </row>
    <row r="39" spans="1:33" s="3" customFormat="1" ht="15.95">
      <c r="A39" s="15">
        <v>30</v>
      </c>
      <c r="B39" s="784"/>
      <c r="C39" s="106"/>
      <c r="D39" s="207"/>
      <c r="E39" s="106"/>
      <c r="F39" s="7"/>
      <c r="G39" s="780"/>
      <c r="H39" s="8"/>
      <c r="I39" s="8"/>
      <c r="J39" s="813" t="str">
        <f t="shared" si="13"/>
        <v/>
      </c>
      <c r="K39" s="913"/>
      <c r="L39" s="22"/>
      <c r="M39" s="22"/>
      <c r="N39" s="7"/>
      <c r="O39" s="186" t="str">
        <f t="shared" si="12"/>
        <v/>
      </c>
      <c r="P39" s="107"/>
      <c r="Q39" s="16" t="str">
        <f t="shared" si="0"/>
        <v/>
      </c>
      <c r="R39" s="36" t="str">
        <f t="shared" si="1"/>
        <v/>
      </c>
      <c r="S39" s="36" t="str">
        <f t="shared" si="2"/>
        <v/>
      </c>
      <c r="T39" s="14" t="str">
        <f t="shared" si="3"/>
        <v/>
      </c>
      <c r="U39" s="176" t="str">
        <f t="shared" si="3"/>
        <v/>
      </c>
      <c r="V39" s="35" t="str">
        <f t="shared" si="4"/>
        <v/>
      </c>
      <c r="W39" s="20" t="str">
        <f t="shared" si="5"/>
        <v/>
      </c>
      <c r="X39" s="813" t="str">
        <f t="shared" si="14"/>
        <v/>
      </c>
      <c r="Y39" s="916" t="str">
        <f t="shared" si="6"/>
        <v/>
      </c>
      <c r="Z39" s="810" t="str">
        <f t="shared" si="7"/>
        <v/>
      </c>
      <c r="AA39" s="282" t="str">
        <f t="shared" si="8"/>
        <v/>
      </c>
      <c r="AB39" s="282" t="str">
        <f t="shared" si="9"/>
        <v/>
      </c>
      <c r="AC39" s="20" t="str">
        <f t="shared" si="10"/>
        <v/>
      </c>
      <c r="AD39" s="186" t="str">
        <f t="shared" si="15"/>
        <v/>
      </c>
      <c r="AE39" s="108"/>
      <c r="AF39" s="215" t="str" cm="1">
        <f t="array" ref="AF39">_xlfn.IFS(O39="","",AD39&gt;O39,"KO : Le montant retenu est supérieur au montant présenté. Merci de revoir la ligne de dépense ou plafonner son montant.",AD39=0,"Attention : montant présenté entièrement écarté",AD39&lt;O39,"Attention : montant présenté partiellement écarté",Y39&lt;15%,"Attention : le taux d'affectation du personnel est inférieur à 15% sur cette ligne. Vérifiez que le total du taux d'affectation du personnel est supérieur ou égal à 15%, sinon le personnel est inéligible",AD39=O39,"OK")</f>
        <v/>
      </c>
      <c r="AG39" s="109" t="str">
        <f t="shared" si="11"/>
        <v/>
      </c>
    </row>
    <row r="40" spans="1:33" s="3" customFormat="1" ht="15.95">
      <c r="A40" s="15">
        <v>31</v>
      </c>
      <c r="B40" s="784"/>
      <c r="C40" s="106"/>
      <c r="D40" s="207"/>
      <c r="E40" s="106"/>
      <c r="F40" s="7"/>
      <c r="G40" s="780"/>
      <c r="H40" s="8"/>
      <c r="I40" s="8"/>
      <c r="J40" s="813" t="str">
        <f t="shared" si="13"/>
        <v/>
      </c>
      <c r="K40" s="913"/>
      <c r="L40" s="22"/>
      <c r="M40" s="22"/>
      <c r="N40" s="7"/>
      <c r="O40" s="186" t="str">
        <f t="shared" si="12"/>
        <v/>
      </c>
      <c r="P40" s="107"/>
      <c r="Q40" s="16" t="str">
        <f t="shared" si="0"/>
        <v/>
      </c>
      <c r="R40" s="36" t="str">
        <f t="shared" si="1"/>
        <v/>
      </c>
      <c r="S40" s="36" t="str">
        <f t="shared" si="2"/>
        <v/>
      </c>
      <c r="T40" s="14" t="str">
        <f t="shared" si="3"/>
        <v/>
      </c>
      <c r="U40" s="176" t="str">
        <f t="shared" si="3"/>
        <v/>
      </c>
      <c r="V40" s="35" t="str">
        <f t="shared" si="4"/>
        <v/>
      </c>
      <c r="W40" s="20" t="str">
        <f t="shared" si="5"/>
        <v/>
      </c>
      <c r="X40" s="813" t="str">
        <f t="shared" si="14"/>
        <v/>
      </c>
      <c r="Y40" s="916" t="str">
        <f t="shared" si="6"/>
        <v/>
      </c>
      <c r="Z40" s="810" t="str">
        <f t="shared" si="7"/>
        <v/>
      </c>
      <c r="AA40" s="282" t="str">
        <f t="shared" si="8"/>
        <v/>
      </c>
      <c r="AB40" s="282" t="str">
        <f t="shared" si="9"/>
        <v/>
      </c>
      <c r="AC40" s="20" t="str">
        <f t="shared" si="10"/>
        <v/>
      </c>
      <c r="AD40" s="186" t="str">
        <f t="shared" si="15"/>
        <v/>
      </c>
      <c r="AE40" s="108"/>
      <c r="AF40" s="215" t="str" cm="1">
        <f t="array" ref="AF40">_xlfn.IFS(O40="","",AD40&gt;O40,"KO : Le montant retenu est supérieur au montant présenté. Merci de revoir la ligne de dépense ou plafonner son montant.",AD40=0,"Attention : montant présenté entièrement écarté",AD40&lt;O40,"Attention : montant présenté partiellement écarté",Y40&lt;15%,"Attention : le taux d'affectation du personnel est inférieur à 15% sur cette ligne. Vérifiez que le total du taux d'affectation du personnel est supérieur ou égal à 15%, sinon le personnel est inéligible",AD40=O40,"OK")</f>
        <v/>
      </c>
      <c r="AG40" s="109" t="str">
        <f t="shared" si="11"/>
        <v/>
      </c>
    </row>
    <row r="41" spans="1:33" s="3" customFormat="1" ht="15.95">
      <c r="A41" s="15">
        <v>32</v>
      </c>
      <c r="B41" s="784"/>
      <c r="C41" s="106"/>
      <c r="D41" s="207"/>
      <c r="E41" s="106"/>
      <c r="F41" s="7"/>
      <c r="G41" s="780"/>
      <c r="H41" s="8"/>
      <c r="I41" s="8"/>
      <c r="J41" s="813" t="str">
        <f t="shared" si="13"/>
        <v/>
      </c>
      <c r="K41" s="913"/>
      <c r="L41" s="22"/>
      <c r="M41" s="22"/>
      <c r="N41" s="7"/>
      <c r="O41" s="186" t="str">
        <f t="shared" si="12"/>
        <v/>
      </c>
      <c r="P41" s="107"/>
      <c r="Q41" s="16" t="str">
        <f t="shared" si="0"/>
        <v/>
      </c>
      <c r="R41" s="36" t="str">
        <f t="shared" si="1"/>
        <v/>
      </c>
      <c r="S41" s="36" t="str">
        <f t="shared" si="2"/>
        <v/>
      </c>
      <c r="T41" s="14" t="str">
        <f t="shared" si="3"/>
        <v/>
      </c>
      <c r="U41" s="176" t="str">
        <f t="shared" si="3"/>
        <v/>
      </c>
      <c r="V41" s="35" t="str">
        <f t="shared" si="4"/>
        <v/>
      </c>
      <c r="W41" s="20" t="str">
        <f t="shared" si="5"/>
        <v/>
      </c>
      <c r="X41" s="813" t="str">
        <f t="shared" si="14"/>
        <v/>
      </c>
      <c r="Y41" s="916" t="str">
        <f t="shared" si="6"/>
        <v/>
      </c>
      <c r="Z41" s="810" t="str">
        <f t="shared" si="7"/>
        <v/>
      </c>
      <c r="AA41" s="282" t="str">
        <f t="shared" si="8"/>
        <v/>
      </c>
      <c r="AB41" s="282" t="str">
        <f t="shared" si="9"/>
        <v/>
      </c>
      <c r="AC41" s="20" t="str">
        <f t="shared" si="10"/>
        <v/>
      </c>
      <c r="AD41" s="186" t="str">
        <f t="shared" si="15"/>
        <v/>
      </c>
      <c r="AE41" s="108"/>
      <c r="AF41" s="215" t="str" cm="1">
        <f t="array" ref="AF41">_xlfn.IFS(O41="","",AD41&gt;O41,"KO : Le montant retenu est supérieur au montant présenté. Merci de revoir la ligne de dépense ou plafonner son montant.",AD41=0,"Attention : montant présenté entièrement écarté",AD41&lt;O41,"Attention : montant présenté partiellement écarté",Y41&lt;15%,"Attention : le taux d'affectation du personnel est inférieur à 15% sur cette ligne. Vérifiez que le total du taux d'affectation du personnel est supérieur ou égal à 15%, sinon le personnel est inéligible",AD41=O41,"OK")</f>
        <v/>
      </c>
      <c r="AG41" s="109" t="str">
        <f t="shared" si="11"/>
        <v/>
      </c>
    </row>
    <row r="42" spans="1:33" s="3" customFormat="1" ht="15.95">
      <c r="A42" s="15">
        <v>33</v>
      </c>
      <c r="B42" s="784"/>
      <c r="C42" s="106"/>
      <c r="D42" s="207"/>
      <c r="E42" s="106"/>
      <c r="F42" s="7"/>
      <c r="G42" s="780"/>
      <c r="H42" s="8"/>
      <c r="I42" s="8"/>
      <c r="J42" s="813" t="str">
        <f t="shared" si="13"/>
        <v/>
      </c>
      <c r="K42" s="913"/>
      <c r="L42" s="22"/>
      <c r="M42" s="22"/>
      <c r="N42" s="7"/>
      <c r="O42" s="186" t="str">
        <f t="shared" ref="O42:O73" si="16">IF(J42="","",IF(K42&lt;15%,0,J42*K42))</f>
        <v/>
      </c>
      <c r="P42" s="107"/>
      <c r="Q42" s="16" t="str">
        <f t="shared" ref="Q42:Q73" si="17">IF(C42="","",C42)</f>
        <v/>
      </c>
      <c r="R42" s="36" t="str">
        <f t="shared" ref="R42:R73" si="18">IF(D42="","",D42)</f>
        <v/>
      </c>
      <c r="S42" s="36" t="str">
        <f t="shared" ref="S42:S73" si="19">IF(E42="","",E42)</f>
        <v/>
      </c>
      <c r="T42" s="14" t="str">
        <f t="shared" ref="T42:U73" si="20">IF(F42="","",F42)</f>
        <v/>
      </c>
      <c r="U42" s="176" t="str">
        <f t="shared" si="20"/>
        <v/>
      </c>
      <c r="V42" s="35" t="str">
        <f t="shared" ref="V42:V73" si="21">IF(H42="","",H42)</f>
        <v/>
      </c>
      <c r="W42" s="20" t="str">
        <f t="shared" ref="W42:W73" si="22">IF(I42="","",I42)</f>
        <v/>
      </c>
      <c r="X42" s="813" t="str">
        <f t="shared" si="14"/>
        <v/>
      </c>
      <c r="Y42" s="916" t="str">
        <f t="shared" ref="Y42:Y73" si="23">IF(K42="","",K42)</f>
        <v/>
      </c>
      <c r="Z42" s="810" t="str">
        <f t="shared" ref="Z42:Z73" si="24">IF(L42="","",L42)</f>
        <v/>
      </c>
      <c r="AA42" s="282" t="str">
        <f t="shared" ref="AA42:AA73" si="25">IF(M42="","",M42)</f>
        <v/>
      </c>
      <c r="AB42" s="282" t="str">
        <f t="shared" ref="AB42:AB73" si="26">IF(N42="","",N42)</f>
        <v/>
      </c>
      <c r="AC42" s="20" t="str">
        <f t="shared" ref="AC42:AC73" si="27">IF(O42="","",O42)</f>
        <v/>
      </c>
      <c r="AD42" s="186" t="str">
        <f t="shared" si="15"/>
        <v/>
      </c>
      <c r="AE42" s="108"/>
      <c r="AF42" s="215" t="str" cm="1">
        <f t="array" ref="AF42">_xlfn.IFS(O42="","",AD42&gt;O42,"KO : Le montant retenu est supérieur au montant présenté. Merci de revoir la ligne de dépense ou plafonner son montant.",AD42=0,"Attention : montant présenté entièrement écarté",AD42&lt;O42,"Attention : montant présenté partiellement écarté",Y42&lt;15%,"Attention : le taux d'affectation du personnel est inférieur à 15% sur cette ligne. Vérifiez que le total du taux d'affectation du personnel est supérieur ou égal à 15%, sinon le personnel est inéligible",AD42=O42,"OK")</f>
        <v/>
      </c>
      <c r="AG42" s="109" t="str">
        <f t="shared" ref="AG42:AG73" si="28">IF(OR(O42="",AD42=""),"",(IFERROR(VALUE(TRIM(SUBSTITUTE(O42,CHAR(160),""))),0))-(IFERROR(VALUE(TRIM(SUBSTITUTE(AD42,CHAR(160),""))),0)))</f>
        <v/>
      </c>
    </row>
    <row r="43" spans="1:33" s="3" customFormat="1" ht="15.95">
      <c r="A43" s="15">
        <v>34</v>
      </c>
      <c r="B43" s="784"/>
      <c r="C43" s="106"/>
      <c r="D43" s="207"/>
      <c r="E43" s="106"/>
      <c r="F43" s="7"/>
      <c r="G43" s="780"/>
      <c r="H43" s="8"/>
      <c r="I43" s="8"/>
      <c r="J43" s="813" t="str">
        <f t="shared" si="13"/>
        <v/>
      </c>
      <c r="K43" s="913"/>
      <c r="L43" s="22"/>
      <c r="M43" s="22"/>
      <c r="N43" s="7"/>
      <c r="O43" s="186" t="str">
        <f t="shared" si="16"/>
        <v/>
      </c>
      <c r="P43" s="107"/>
      <c r="Q43" s="16" t="str">
        <f t="shared" si="17"/>
        <v/>
      </c>
      <c r="R43" s="36" t="str">
        <f t="shared" si="18"/>
        <v/>
      </c>
      <c r="S43" s="36" t="str">
        <f t="shared" si="19"/>
        <v/>
      </c>
      <c r="T43" s="14" t="str">
        <f t="shared" si="20"/>
        <v/>
      </c>
      <c r="U43" s="176" t="str">
        <f t="shared" si="20"/>
        <v/>
      </c>
      <c r="V43" s="35" t="str">
        <f t="shared" si="21"/>
        <v/>
      </c>
      <c r="W43" s="20" t="str">
        <f t="shared" si="22"/>
        <v/>
      </c>
      <c r="X43" s="813" t="str">
        <f t="shared" si="14"/>
        <v/>
      </c>
      <c r="Y43" s="916" t="str">
        <f t="shared" si="23"/>
        <v/>
      </c>
      <c r="Z43" s="810" t="str">
        <f t="shared" si="24"/>
        <v/>
      </c>
      <c r="AA43" s="282" t="str">
        <f t="shared" si="25"/>
        <v/>
      </c>
      <c r="AB43" s="282" t="str">
        <f t="shared" si="26"/>
        <v/>
      </c>
      <c r="AC43" s="20" t="str">
        <f t="shared" si="27"/>
        <v/>
      </c>
      <c r="AD43" s="186" t="str">
        <f t="shared" si="15"/>
        <v/>
      </c>
      <c r="AE43" s="108"/>
      <c r="AF43" s="215" t="str" cm="1">
        <f t="array" ref="AF43">_xlfn.IFS(O43="","",AD43&gt;O43,"KO : Le montant retenu est supérieur au montant présenté. Merci de revoir la ligne de dépense ou plafonner son montant.",AD43=0,"Attention : montant présenté entièrement écarté",AD43&lt;O43,"Attention : montant présenté partiellement écarté",Y43&lt;15%,"Attention : le taux d'affectation du personnel est inférieur à 15% sur cette ligne. Vérifiez que le total du taux d'affectation du personnel est supérieur ou égal à 15%, sinon le personnel est inéligible",AD43=O43,"OK")</f>
        <v/>
      </c>
      <c r="AG43" s="109" t="str">
        <f t="shared" si="28"/>
        <v/>
      </c>
    </row>
    <row r="44" spans="1:33" s="3" customFormat="1" ht="15.95">
      <c r="A44" s="15">
        <v>35</v>
      </c>
      <c r="B44" s="784"/>
      <c r="C44" s="106"/>
      <c r="D44" s="207"/>
      <c r="E44" s="106"/>
      <c r="F44" s="7"/>
      <c r="G44" s="780"/>
      <c r="H44" s="8"/>
      <c r="I44" s="8"/>
      <c r="J44" s="813" t="str">
        <f t="shared" si="13"/>
        <v/>
      </c>
      <c r="K44" s="913"/>
      <c r="L44" s="22"/>
      <c r="M44" s="22"/>
      <c r="N44" s="7"/>
      <c r="O44" s="186" t="str">
        <f t="shared" si="16"/>
        <v/>
      </c>
      <c r="P44" s="107"/>
      <c r="Q44" s="16" t="str">
        <f t="shared" si="17"/>
        <v/>
      </c>
      <c r="R44" s="36" t="str">
        <f t="shared" si="18"/>
        <v/>
      </c>
      <c r="S44" s="36" t="str">
        <f t="shared" si="19"/>
        <v/>
      </c>
      <c r="T44" s="14" t="str">
        <f t="shared" si="20"/>
        <v/>
      </c>
      <c r="U44" s="176" t="str">
        <f t="shared" si="20"/>
        <v/>
      </c>
      <c r="V44" s="35" t="str">
        <f t="shared" si="21"/>
        <v/>
      </c>
      <c r="W44" s="20" t="str">
        <f t="shared" si="22"/>
        <v/>
      </c>
      <c r="X44" s="813" t="str">
        <f t="shared" si="14"/>
        <v/>
      </c>
      <c r="Y44" s="916" t="str">
        <f t="shared" si="23"/>
        <v/>
      </c>
      <c r="Z44" s="810" t="str">
        <f t="shared" si="24"/>
        <v/>
      </c>
      <c r="AA44" s="282" t="str">
        <f t="shared" si="25"/>
        <v/>
      </c>
      <c r="AB44" s="282" t="str">
        <f t="shared" si="26"/>
        <v/>
      </c>
      <c r="AC44" s="20" t="str">
        <f t="shared" si="27"/>
        <v/>
      </c>
      <c r="AD44" s="186" t="str">
        <f t="shared" si="15"/>
        <v/>
      </c>
      <c r="AE44" s="108"/>
      <c r="AF44" s="215" t="str" cm="1">
        <f t="array" ref="AF44">_xlfn.IFS(O44="","",AD44&gt;O44,"KO : Le montant retenu est supérieur au montant présenté. Merci de revoir la ligne de dépense ou plafonner son montant.",AD44=0,"Attention : montant présenté entièrement écarté",AD44&lt;O44,"Attention : montant présenté partiellement écarté",Y44&lt;15%,"Attention : le taux d'affectation du personnel est inférieur à 15% sur cette ligne. Vérifiez que le total du taux d'affectation du personnel est supérieur ou égal à 15%, sinon le personnel est inéligible",AD44=O44,"OK")</f>
        <v/>
      </c>
      <c r="AG44" s="109" t="str">
        <f t="shared" si="28"/>
        <v/>
      </c>
    </row>
    <row r="45" spans="1:33" s="3" customFormat="1" ht="15.95">
      <c r="A45" s="15">
        <v>36</v>
      </c>
      <c r="B45" s="784"/>
      <c r="C45" s="106"/>
      <c r="D45" s="207"/>
      <c r="E45" s="106"/>
      <c r="F45" s="7"/>
      <c r="G45" s="780"/>
      <c r="H45" s="8"/>
      <c r="I45" s="8"/>
      <c r="J45" s="813" t="str">
        <f t="shared" si="13"/>
        <v/>
      </c>
      <c r="K45" s="913"/>
      <c r="L45" s="22"/>
      <c r="M45" s="22"/>
      <c r="N45" s="7"/>
      <c r="O45" s="186" t="str">
        <f t="shared" si="16"/>
        <v/>
      </c>
      <c r="P45" s="107"/>
      <c r="Q45" s="16" t="str">
        <f t="shared" si="17"/>
        <v/>
      </c>
      <c r="R45" s="36" t="str">
        <f t="shared" si="18"/>
        <v/>
      </c>
      <c r="S45" s="36" t="str">
        <f t="shared" si="19"/>
        <v/>
      </c>
      <c r="T45" s="14" t="str">
        <f t="shared" si="20"/>
        <v/>
      </c>
      <c r="U45" s="176" t="str">
        <f t="shared" si="20"/>
        <v/>
      </c>
      <c r="V45" s="35" t="str">
        <f t="shared" si="21"/>
        <v/>
      </c>
      <c r="W45" s="20" t="str">
        <f t="shared" si="22"/>
        <v/>
      </c>
      <c r="X45" s="813" t="str">
        <f t="shared" si="14"/>
        <v/>
      </c>
      <c r="Y45" s="916" t="str">
        <f t="shared" si="23"/>
        <v/>
      </c>
      <c r="Z45" s="810" t="str">
        <f t="shared" si="24"/>
        <v/>
      </c>
      <c r="AA45" s="282" t="str">
        <f t="shared" si="25"/>
        <v/>
      </c>
      <c r="AB45" s="282" t="str">
        <f t="shared" si="26"/>
        <v/>
      </c>
      <c r="AC45" s="20" t="str">
        <f t="shared" si="27"/>
        <v/>
      </c>
      <c r="AD45" s="186" t="str">
        <f t="shared" si="15"/>
        <v/>
      </c>
      <c r="AE45" s="108"/>
      <c r="AF45" s="215" t="str" cm="1">
        <f t="array" ref="AF45">_xlfn.IFS(O45="","",AD45&gt;O45,"KO : Le montant retenu est supérieur au montant présenté. Merci de revoir la ligne de dépense ou plafonner son montant.",AD45=0,"Attention : montant présenté entièrement écarté",AD45&lt;O45,"Attention : montant présenté partiellement écarté",Y45&lt;15%,"Attention : le taux d'affectation du personnel est inférieur à 15% sur cette ligne. Vérifiez que le total du taux d'affectation du personnel est supérieur ou égal à 15%, sinon le personnel est inéligible",AD45=O45,"OK")</f>
        <v/>
      </c>
      <c r="AG45" s="109" t="str">
        <f t="shared" si="28"/>
        <v/>
      </c>
    </row>
    <row r="46" spans="1:33" s="3" customFormat="1" ht="15.95">
      <c r="A46" s="15">
        <v>37</v>
      </c>
      <c r="B46" s="784"/>
      <c r="C46" s="106"/>
      <c r="D46" s="207"/>
      <c r="E46" s="106"/>
      <c r="F46" s="7"/>
      <c r="G46" s="780"/>
      <c r="H46" s="8"/>
      <c r="I46" s="8"/>
      <c r="J46" s="813" t="str">
        <f t="shared" si="13"/>
        <v/>
      </c>
      <c r="K46" s="913"/>
      <c r="L46" s="22"/>
      <c r="M46" s="22"/>
      <c r="N46" s="7"/>
      <c r="O46" s="186" t="str">
        <f t="shared" si="16"/>
        <v/>
      </c>
      <c r="P46" s="107"/>
      <c r="Q46" s="16" t="str">
        <f t="shared" si="17"/>
        <v/>
      </c>
      <c r="R46" s="36" t="str">
        <f t="shared" si="18"/>
        <v/>
      </c>
      <c r="S46" s="36" t="str">
        <f t="shared" si="19"/>
        <v/>
      </c>
      <c r="T46" s="14" t="str">
        <f t="shared" si="20"/>
        <v/>
      </c>
      <c r="U46" s="176" t="str">
        <f t="shared" si="20"/>
        <v/>
      </c>
      <c r="V46" s="35" t="str">
        <f t="shared" si="21"/>
        <v/>
      </c>
      <c r="W46" s="20" t="str">
        <f t="shared" si="22"/>
        <v/>
      </c>
      <c r="X46" s="813" t="str">
        <f t="shared" si="14"/>
        <v/>
      </c>
      <c r="Y46" s="916" t="str">
        <f t="shared" si="23"/>
        <v/>
      </c>
      <c r="Z46" s="810" t="str">
        <f t="shared" si="24"/>
        <v/>
      </c>
      <c r="AA46" s="282" t="str">
        <f t="shared" si="25"/>
        <v/>
      </c>
      <c r="AB46" s="282" t="str">
        <f t="shared" si="26"/>
        <v/>
      </c>
      <c r="AC46" s="20" t="str">
        <f t="shared" si="27"/>
        <v/>
      </c>
      <c r="AD46" s="186" t="str">
        <f t="shared" si="15"/>
        <v/>
      </c>
      <c r="AE46" s="108"/>
      <c r="AF46" s="215" t="str" cm="1">
        <f t="array" ref="AF46">_xlfn.IFS(O46="","",AD46&gt;O46,"KO : Le montant retenu est supérieur au montant présenté. Merci de revoir la ligne de dépense ou plafonner son montant.",AD46=0,"Attention : montant présenté entièrement écarté",AD46&lt;O46,"Attention : montant présenté partiellement écarté",Y46&lt;15%,"Attention : le taux d'affectation du personnel est inférieur à 15% sur cette ligne. Vérifiez que le total du taux d'affectation du personnel est supérieur ou égal à 15%, sinon le personnel est inéligible",AD46=O46,"OK")</f>
        <v/>
      </c>
      <c r="AG46" s="109" t="str">
        <f t="shared" si="28"/>
        <v/>
      </c>
    </row>
    <row r="47" spans="1:33" s="3" customFormat="1" ht="15.95">
      <c r="A47" s="15">
        <v>38</v>
      </c>
      <c r="B47" s="784"/>
      <c r="C47" s="106"/>
      <c r="D47" s="207"/>
      <c r="E47" s="106"/>
      <c r="F47" s="7"/>
      <c r="G47" s="780"/>
      <c r="H47" s="8"/>
      <c r="I47" s="8"/>
      <c r="J47" s="813" t="str">
        <f t="shared" si="13"/>
        <v/>
      </c>
      <c r="K47" s="913"/>
      <c r="L47" s="22"/>
      <c r="M47" s="22"/>
      <c r="N47" s="7"/>
      <c r="O47" s="186" t="str">
        <f t="shared" si="16"/>
        <v/>
      </c>
      <c r="P47" s="107"/>
      <c r="Q47" s="16" t="str">
        <f t="shared" si="17"/>
        <v/>
      </c>
      <c r="R47" s="36" t="str">
        <f t="shared" si="18"/>
        <v/>
      </c>
      <c r="S47" s="36" t="str">
        <f t="shared" si="19"/>
        <v/>
      </c>
      <c r="T47" s="14" t="str">
        <f t="shared" si="20"/>
        <v/>
      </c>
      <c r="U47" s="176" t="str">
        <f t="shared" si="20"/>
        <v/>
      </c>
      <c r="V47" s="35" t="str">
        <f t="shared" si="21"/>
        <v/>
      </c>
      <c r="W47" s="20" t="str">
        <f t="shared" si="22"/>
        <v/>
      </c>
      <c r="X47" s="813" t="str">
        <f t="shared" si="14"/>
        <v/>
      </c>
      <c r="Y47" s="916" t="str">
        <f t="shared" si="23"/>
        <v/>
      </c>
      <c r="Z47" s="810" t="str">
        <f t="shared" si="24"/>
        <v/>
      </c>
      <c r="AA47" s="282" t="str">
        <f t="shared" si="25"/>
        <v/>
      </c>
      <c r="AB47" s="282" t="str">
        <f t="shared" si="26"/>
        <v/>
      </c>
      <c r="AC47" s="20" t="str">
        <f t="shared" si="27"/>
        <v/>
      </c>
      <c r="AD47" s="186" t="str">
        <f t="shared" si="15"/>
        <v/>
      </c>
      <c r="AE47" s="108"/>
      <c r="AF47" s="215" t="str" cm="1">
        <f t="array" ref="AF47">_xlfn.IFS(O47="","",AD47&gt;O47,"KO : Le montant retenu est supérieur au montant présenté. Merci de revoir la ligne de dépense ou plafonner son montant.",AD47=0,"Attention : montant présenté entièrement écarté",AD47&lt;O47,"Attention : montant présenté partiellement écarté",Y47&lt;15%,"Attention : le taux d'affectation du personnel est inférieur à 15% sur cette ligne. Vérifiez que le total du taux d'affectation du personnel est supérieur ou égal à 15%, sinon le personnel est inéligible",AD47=O47,"OK")</f>
        <v/>
      </c>
      <c r="AG47" s="109" t="str">
        <f t="shared" si="28"/>
        <v/>
      </c>
    </row>
    <row r="48" spans="1:33" s="3" customFormat="1" ht="15.95">
      <c r="A48" s="15">
        <v>39</v>
      </c>
      <c r="B48" s="784"/>
      <c r="C48" s="106"/>
      <c r="D48" s="207"/>
      <c r="E48" s="106"/>
      <c r="F48" s="7"/>
      <c r="G48" s="780"/>
      <c r="H48" s="8"/>
      <c r="I48" s="8"/>
      <c r="J48" s="813" t="str">
        <f t="shared" si="13"/>
        <v/>
      </c>
      <c r="K48" s="913"/>
      <c r="L48" s="22"/>
      <c r="M48" s="22"/>
      <c r="N48" s="7"/>
      <c r="O48" s="186" t="str">
        <f t="shared" si="16"/>
        <v/>
      </c>
      <c r="P48" s="107"/>
      <c r="Q48" s="16" t="str">
        <f t="shared" si="17"/>
        <v/>
      </c>
      <c r="R48" s="36" t="str">
        <f t="shared" si="18"/>
        <v/>
      </c>
      <c r="S48" s="36" t="str">
        <f t="shared" si="19"/>
        <v/>
      </c>
      <c r="T48" s="14" t="str">
        <f t="shared" si="20"/>
        <v/>
      </c>
      <c r="U48" s="176" t="str">
        <f t="shared" si="20"/>
        <v/>
      </c>
      <c r="V48" s="35" t="str">
        <f t="shared" si="21"/>
        <v/>
      </c>
      <c r="W48" s="20" t="str">
        <f t="shared" si="22"/>
        <v/>
      </c>
      <c r="X48" s="813" t="str">
        <f t="shared" si="14"/>
        <v/>
      </c>
      <c r="Y48" s="916" t="str">
        <f t="shared" si="23"/>
        <v/>
      </c>
      <c r="Z48" s="810" t="str">
        <f t="shared" si="24"/>
        <v/>
      </c>
      <c r="AA48" s="282" t="str">
        <f t="shared" si="25"/>
        <v/>
      </c>
      <c r="AB48" s="282" t="str">
        <f t="shared" si="26"/>
        <v/>
      </c>
      <c r="AC48" s="20" t="str">
        <f t="shared" si="27"/>
        <v/>
      </c>
      <c r="AD48" s="186" t="str">
        <f t="shared" si="15"/>
        <v/>
      </c>
      <c r="AE48" s="108"/>
      <c r="AF48" s="215" t="str" cm="1">
        <f t="array" ref="AF48">_xlfn.IFS(O48="","",AD48&gt;O48,"KO : Le montant retenu est supérieur au montant présenté. Merci de revoir la ligne de dépense ou plafonner son montant.",AD48=0,"Attention : montant présenté entièrement écarté",AD48&lt;O48,"Attention : montant présenté partiellement écarté",Y48&lt;15%,"Attention : le taux d'affectation du personnel est inférieur à 15% sur cette ligne. Vérifiez que le total du taux d'affectation du personnel est supérieur ou égal à 15%, sinon le personnel est inéligible",AD48=O48,"OK")</f>
        <v/>
      </c>
      <c r="AG48" s="109" t="str">
        <f t="shared" si="28"/>
        <v/>
      </c>
    </row>
    <row r="49" spans="1:33" s="3" customFormat="1" ht="15.95">
      <c r="A49" s="15">
        <v>40</v>
      </c>
      <c r="B49" s="784"/>
      <c r="C49" s="106"/>
      <c r="D49" s="207"/>
      <c r="E49" s="106"/>
      <c r="F49" s="7"/>
      <c r="G49" s="780"/>
      <c r="H49" s="8"/>
      <c r="I49" s="8"/>
      <c r="J49" s="813" t="str">
        <f t="shared" si="13"/>
        <v/>
      </c>
      <c r="K49" s="913"/>
      <c r="L49" s="22"/>
      <c r="M49" s="22"/>
      <c r="N49" s="7"/>
      <c r="O49" s="186" t="str">
        <f t="shared" si="16"/>
        <v/>
      </c>
      <c r="P49" s="107"/>
      <c r="Q49" s="16" t="str">
        <f t="shared" si="17"/>
        <v/>
      </c>
      <c r="R49" s="36" t="str">
        <f t="shared" si="18"/>
        <v/>
      </c>
      <c r="S49" s="36" t="str">
        <f t="shared" si="19"/>
        <v/>
      </c>
      <c r="T49" s="14" t="str">
        <f t="shared" si="20"/>
        <v/>
      </c>
      <c r="U49" s="176" t="str">
        <f t="shared" si="20"/>
        <v/>
      </c>
      <c r="V49" s="35" t="str">
        <f t="shared" si="21"/>
        <v/>
      </c>
      <c r="W49" s="20" t="str">
        <f t="shared" si="22"/>
        <v/>
      </c>
      <c r="X49" s="813" t="str">
        <f t="shared" si="14"/>
        <v/>
      </c>
      <c r="Y49" s="916" t="str">
        <f t="shared" si="23"/>
        <v/>
      </c>
      <c r="Z49" s="810" t="str">
        <f t="shared" si="24"/>
        <v/>
      </c>
      <c r="AA49" s="282" t="str">
        <f t="shared" si="25"/>
        <v/>
      </c>
      <c r="AB49" s="282" t="str">
        <f t="shared" si="26"/>
        <v/>
      </c>
      <c r="AC49" s="20" t="str">
        <f t="shared" si="27"/>
        <v/>
      </c>
      <c r="AD49" s="186" t="str">
        <f t="shared" si="15"/>
        <v/>
      </c>
      <c r="AE49" s="108"/>
      <c r="AF49" s="215" t="str" cm="1">
        <f t="array" ref="AF49">_xlfn.IFS(O49="","",AD49&gt;O49,"KO : Le montant retenu est supérieur au montant présenté. Merci de revoir la ligne de dépense ou plafonner son montant.",AD49=0,"Attention : montant présenté entièrement écarté",AD49&lt;O49,"Attention : montant présenté partiellement écarté",Y49&lt;15%,"Attention : le taux d'affectation du personnel est inférieur à 15% sur cette ligne. Vérifiez que le total du taux d'affectation du personnel est supérieur ou égal à 15%, sinon le personnel est inéligible",AD49=O49,"OK")</f>
        <v/>
      </c>
      <c r="AG49" s="109" t="str">
        <f t="shared" si="28"/>
        <v/>
      </c>
    </row>
    <row r="50" spans="1:33" s="3" customFormat="1" ht="15.95">
      <c r="A50" s="15">
        <v>41</v>
      </c>
      <c r="B50" s="784"/>
      <c r="C50" s="106"/>
      <c r="D50" s="207"/>
      <c r="E50" s="106"/>
      <c r="F50" s="7"/>
      <c r="G50" s="780"/>
      <c r="H50" s="8"/>
      <c r="I50" s="8"/>
      <c r="J50" s="813" t="str">
        <f t="shared" si="13"/>
        <v/>
      </c>
      <c r="K50" s="913"/>
      <c r="L50" s="22"/>
      <c r="M50" s="22"/>
      <c r="N50" s="7"/>
      <c r="O50" s="186" t="str">
        <f t="shared" si="16"/>
        <v/>
      </c>
      <c r="P50" s="107"/>
      <c r="Q50" s="16" t="str">
        <f t="shared" si="17"/>
        <v/>
      </c>
      <c r="R50" s="36" t="str">
        <f t="shared" si="18"/>
        <v/>
      </c>
      <c r="S50" s="36" t="str">
        <f t="shared" si="19"/>
        <v/>
      </c>
      <c r="T50" s="14" t="str">
        <f t="shared" si="20"/>
        <v/>
      </c>
      <c r="U50" s="176" t="str">
        <f t="shared" si="20"/>
        <v/>
      </c>
      <c r="V50" s="35" t="str">
        <f t="shared" si="21"/>
        <v/>
      </c>
      <c r="W50" s="20" t="str">
        <f t="shared" si="22"/>
        <v/>
      </c>
      <c r="X50" s="813" t="str">
        <f t="shared" si="14"/>
        <v/>
      </c>
      <c r="Y50" s="916" t="str">
        <f t="shared" si="23"/>
        <v/>
      </c>
      <c r="Z50" s="810" t="str">
        <f t="shared" si="24"/>
        <v/>
      </c>
      <c r="AA50" s="282" t="str">
        <f t="shared" si="25"/>
        <v/>
      </c>
      <c r="AB50" s="282" t="str">
        <f t="shared" si="26"/>
        <v/>
      </c>
      <c r="AC50" s="20" t="str">
        <f t="shared" si="27"/>
        <v/>
      </c>
      <c r="AD50" s="186" t="str">
        <f t="shared" si="15"/>
        <v/>
      </c>
      <c r="AE50" s="108"/>
      <c r="AF50" s="215" t="str" cm="1">
        <f t="array" ref="AF50">_xlfn.IFS(O50="","",AD50&gt;O50,"KO : Le montant retenu est supérieur au montant présenté. Merci de revoir la ligne de dépense ou plafonner son montant.",AD50=0,"Attention : montant présenté entièrement écarté",AD50&lt;O50,"Attention : montant présenté partiellement écarté",Y50&lt;15%,"Attention : le taux d'affectation du personnel est inférieur à 15% sur cette ligne. Vérifiez que le total du taux d'affectation du personnel est supérieur ou égal à 15%, sinon le personnel est inéligible",AD50=O50,"OK")</f>
        <v/>
      </c>
      <c r="AG50" s="109" t="str">
        <f t="shared" si="28"/>
        <v/>
      </c>
    </row>
    <row r="51" spans="1:33" s="3" customFormat="1" ht="15.95">
      <c r="A51" s="15">
        <v>42</v>
      </c>
      <c r="B51" s="784"/>
      <c r="C51" s="106"/>
      <c r="D51" s="207"/>
      <c r="E51" s="106"/>
      <c r="F51" s="7"/>
      <c r="G51" s="780"/>
      <c r="H51" s="8"/>
      <c r="I51" s="8"/>
      <c r="J51" s="813" t="str">
        <f t="shared" si="13"/>
        <v/>
      </c>
      <c r="K51" s="913"/>
      <c r="L51" s="22"/>
      <c r="M51" s="22"/>
      <c r="N51" s="7"/>
      <c r="O51" s="186" t="str">
        <f t="shared" si="16"/>
        <v/>
      </c>
      <c r="P51" s="107"/>
      <c r="Q51" s="16" t="str">
        <f t="shared" si="17"/>
        <v/>
      </c>
      <c r="R51" s="36" t="str">
        <f t="shared" si="18"/>
        <v/>
      </c>
      <c r="S51" s="36" t="str">
        <f t="shared" si="19"/>
        <v/>
      </c>
      <c r="T51" s="14" t="str">
        <f t="shared" si="20"/>
        <v/>
      </c>
      <c r="U51" s="176" t="str">
        <f t="shared" si="20"/>
        <v/>
      </c>
      <c r="V51" s="35" t="str">
        <f t="shared" si="21"/>
        <v/>
      </c>
      <c r="W51" s="20" t="str">
        <f t="shared" si="22"/>
        <v/>
      </c>
      <c r="X51" s="813" t="str">
        <f t="shared" si="14"/>
        <v/>
      </c>
      <c r="Y51" s="916" t="str">
        <f t="shared" si="23"/>
        <v/>
      </c>
      <c r="Z51" s="810" t="str">
        <f t="shared" si="24"/>
        <v/>
      </c>
      <c r="AA51" s="282" t="str">
        <f t="shared" si="25"/>
        <v/>
      </c>
      <c r="AB51" s="282" t="str">
        <f t="shared" si="26"/>
        <v/>
      </c>
      <c r="AC51" s="20" t="str">
        <f t="shared" si="27"/>
        <v/>
      </c>
      <c r="AD51" s="186" t="str">
        <f t="shared" si="15"/>
        <v/>
      </c>
      <c r="AE51" s="108"/>
      <c r="AF51" s="215" t="str" cm="1">
        <f t="array" ref="AF51">_xlfn.IFS(O51="","",AD51&gt;O51,"KO : Le montant retenu est supérieur au montant présenté. Merci de revoir la ligne de dépense ou plafonner son montant.",AD51=0,"Attention : montant présenté entièrement écarté",AD51&lt;O51,"Attention : montant présenté partiellement écarté",Y51&lt;15%,"Attention : le taux d'affectation du personnel est inférieur à 15% sur cette ligne. Vérifiez que le total du taux d'affectation du personnel est supérieur ou égal à 15%, sinon le personnel est inéligible",AD51=O51,"OK")</f>
        <v/>
      </c>
      <c r="AG51" s="109" t="str">
        <f t="shared" si="28"/>
        <v/>
      </c>
    </row>
    <row r="52" spans="1:33" s="3" customFormat="1" ht="15.95">
      <c r="A52" s="15">
        <v>43</v>
      </c>
      <c r="B52" s="784"/>
      <c r="C52" s="106"/>
      <c r="D52" s="207"/>
      <c r="E52" s="106"/>
      <c r="F52" s="7"/>
      <c r="G52" s="780"/>
      <c r="H52" s="8"/>
      <c r="I52" s="8"/>
      <c r="J52" s="813" t="str">
        <f t="shared" si="13"/>
        <v/>
      </c>
      <c r="K52" s="913"/>
      <c r="L52" s="22"/>
      <c r="M52" s="22"/>
      <c r="N52" s="7"/>
      <c r="O52" s="186" t="str">
        <f t="shared" si="16"/>
        <v/>
      </c>
      <c r="P52" s="107"/>
      <c r="Q52" s="16" t="str">
        <f t="shared" si="17"/>
        <v/>
      </c>
      <c r="R52" s="36" t="str">
        <f t="shared" si="18"/>
        <v/>
      </c>
      <c r="S52" s="36" t="str">
        <f t="shared" si="19"/>
        <v/>
      </c>
      <c r="T52" s="14" t="str">
        <f t="shared" si="20"/>
        <v/>
      </c>
      <c r="U52" s="176" t="str">
        <f t="shared" si="20"/>
        <v/>
      </c>
      <c r="V52" s="35" t="str">
        <f t="shared" si="21"/>
        <v/>
      </c>
      <c r="W52" s="20" t="str">
        <f t="shared" si="22"/>
        <v/>
      </c>
      <c r="X52" s="813" t="str">
        <f t="shared" si="14"/>
        <v/>
      </c>
      <c r="Y52" s="916" t="str">
        <f t="shared" si="23"/>
        <v/>
      </c>
      <c r="Z52" s="810" t="str">
        <f t="shared" si="24"/>
        <v/>
      </c>
      <c r="AA52" s="282" t="str">
        <f t="shared" si="25"/>
        <v/>
      </c>
      <c r="AB52" s="282" t="str">
        <f t="shared" si="26"/>
        <v/>
      </c>
      <c r="AC52" s="20" t="str">
        <f t="shared" si="27"/>
        <v/>
      </c>
      <c r="AD52" s="186" t="str">
        <f t="shared" si="15"/>
        <v/>
      </c>
      <c r="AE52" s="108"/>
      <c r="AF52" s="215" t="str" cm="1">
        <f t="array" ref="AF52">_xlfn.IFS(O52="","",AD52&gt;O52,"KO : Le montant retenu est supérieur au montant présenté. Merci de revoir la ligne de dépense ou plafonner son montant.",AD52=0,"Attention : montant présenté entièrement écarté",AD52&lt;O52,"Attention : montant présenté partiellement écarté",Y52&lt;15%,"Attention : le taux d'affectation du personnel est inférieur à 15% sur cette ligne. Vérifiez que le total du taux d'affectation du personnel est supérieur ou égal à 15%, sinon le personnel est inéligible",AD52=O52,"OK")</f>
        <v/>
      </c>
      <c r="AG52" s="109" t="str">
        <f t="shared" si="28"/>
        <v/>
      </c>
    </row>
    <row r="53" spans="1:33" s="3" customFormat="1" ht="15.95">
      <c r="A53" s="15">
        <v>44</v>
      </c>
      <c r="B53" s="784"/>
      <c r="C53" s="106"/>
      <c r="D53" s="207"/>
      <c r="E53" s="106"/>
      <c r="F53" s="7"/>
      <c r="G53" s="780"/>
      <c r="H53" s="8"/>
      <c r="I53" s="8"/>
      <c r="J53" s="813" t="str">
        <f t="shared" si="13"/>
        <v/>
      </c>
      <c r="K53" s="913"/>
      <c r="L53" s="22"/>
      <c r="M53" s="22"/>
      <c r="N53" s="7"/>
      <c r="O53" s="186" t="str">
        <f t="shared" si="16"/>
        <v/>
      </c>
      <c r="P53" s="107"/>
      <c r="Q53" s="16" t="str">
        <f t="shared" si="17"/>
        <v/>
      </c>
      <c r="R53" s="36" t="str">
        <f t="shared" si="18"/>
        <v/>
      </c>
      <c r="S53" s="36" t="str">
        <f t="shared" si="19"/>
        <v/>
      </c>
      <c r="T53" s="14" t="str">
        <f t="shared" si="20"/>
        <v/>
      </c>
      <c r="U53" s="176" t="str">
        <f t="shared" si="20"/>
        <v/>
      </c>
      <c r="V53" s="35" t="str">
        <f t="shared" si="21"/>
        <v/>
      </c>
      <c r="W53" s="20" t="str">
        <f t="shared" si="22"/>
        <v/>
      </c>
      <c r="X53" s="813" t="str">
        <f t="shared" si="14"/>
        <v/>
      </c>
      <c r="Y53" s="916" t="str">
        <f t="shared" si="23"/>
        <v/>
      </c>
      <c r="Z53" s="810" t="str">
        <f t="shared" si="24"/>
        <v/>
      </c>
      <c r="AA53" s="282" t="str">
        <f t="shared" si="25"/>
        <v/>
      </c>
      <c r="AB53" s="282" t="str">
        <f t="shared" si="26"/>
        <v/>
      </c>
      <c r="AC53" s="20" t="str">
        <f t="shared" si="27"/>
        <v/>
      </c>
      <c r="AD53" s="186" t="str">
        <f t="shared" si="15"/>
        <v/>
      </c>
      <c r="AE53" s="108"/>
      <c r="AF53" s="215" t="str" cm="1">
        <f t="array" ref="AF53">_xlfn.IFS(O53="","",AD53&gt;O53,"KO : Le montant retenu est supérieur au montant présenté. Merci de revoir la ligne de dépense ou plafonner son montant.",AD53=0,"Attention : montant présenté entièrement écarté",AD53&lt;O53,"Attention : montant présenté partiellement écarté",Y53&lt;15%,"Attention : le taux d'affectation du personnel est inférieur à 15% sur cette ligne. Vérifiez que le total du taux d'affectation du personnel est supérieur ou égal à 15%, sinon le personnel est inéligible",AD53=O53,"OK")</f>
        <v/>
      </c>
      <c r="AG53" s="109" t="str">
        <f t="shared" si="28"/>
        <v/>
      </c>
    </row>
    <row r="54" spans="1:33" s="3" customFormat="1" ht="15.95">
      <c r="A54" s="15">
        <v>45</v>
      </c>
      <c r="B54" s="784"/>
      <c r="C54" s="106"/>
      <c r="D54" s="207"/>
      <c r="E54" s="106"/>
      <c r="F54" s="7"/>
      <c r="G54" s="780"/>
      <c r="H54" s="8"/>
      <c r="I54" s="8"/>
      <c r="J54" s="813" t="str">
        <f t="shared" si="13"/>
        <v/>
      </c>
      <c r="K54" s="913"/>
      <c r="L54" s="22"/>
      <c r="M54" s="22"/>
      <c r="N54" s="7"/>
      <c r="O54" s="186" t="str">
        <f t="shared" si="16"/>
        <v/>
      </c>
      <c r="P54" s="107"/>
      <c r="Q54" s="16" t="str">
        <f t="shared" si="17"/>
        <v/>
      </c>
      <c r="R54" s="36" t="str">
        <f t="shared" si="18"/>
        <v/>
      </c>
      <c r="S54" s="36" t="str">
        <f t="shared" si="19"/>
        <v/>
      </c>
      <c r="T54" s="14" t="str">
        <f t="shared" si="20"/>
        <v/>
      </c>
      <c r="U54" s="176" t="str">
        <f t="shared" si="20"/>
        <v/>
      </c>
      <c r="V54" s="35" t="str">
        <f t="shared" si="21"/>
        <v/>
      </c>
      <c r="W54" s="20" t="str">
        <f t="shared" si="22"/>
        <v/>
      </c>
      <c r="X54" s="813" t="str">
        <f t="shared" si="14"/>
        <v/>
      </c>
      <c r="Y54" s="916" t="str">
        <f t="shared" si="23"/>
        <v/>
      </c>
      <c r="Z54" s="810" t="str">
        <f t="shared" si="24"/>
        <v/>
      </c>
      <c r="AA54" s="282" t="str">
        <f t="shared" si="25"/>
        <v/>
      </c>
      <c r="AB54" s="282" t="str">
        <f t="shared" si="26"/>
        <v/>
      </c>
      <c r="AC54" s="20" t="str">
        <f t="shared" si="27"/>
        <v/>
      </c>
      <c r="AD54" s="186" t="str">
        <f t="shared" si="15"/>
        <v/>
      </c>
      <c r="AE54" s="108"/>
      <c r="AF54" s="215" t="str" cm="1">
        <f t="array" ref="AF54">_xlfn.IFS(O54="","",AD54&gt;O54,"KO : Le montant retenu est supérieur au montant présenté. Merci de revoir la ligne de dépense ou plafonner son montant.",AD54=0,"Attention : montant présenté entièrement écarté",AD54&lt;O54,"Attention : montant présenté partiellement écarté",Y54&lt;15%,"Attention : le taux d'affectation du personnel est inférieur à 15% sur cette ligne. Vérifiez que le total du taux d'affectation du personnel est supérieur ou égal à 15%, sinon le personnel est inéligible",AD54=O54,"OK")</f>
        <v/>
      </c>
      <c r="AG54" s="109" t="str">
        <f t="shared" si="28"/>
        <v/>
      </c>
    </row>
    <row r="55" spans="1:33" s="3" customFormat="1" ht="15.95">
      <c r="A55" s="15">
        <v>46</v>
      </c>
      <c r="B55" s="784"/>
      <c r="C55" s="106"/>
      <c r="D55" s="207"/>
      <c r="E55" s="106"/>
      <c r="F55" s="7"/>
      <c r="G55" s="780"/>
      <c r="H55" s="8"/>
      <c r="I55" s="8"/>
      <c r="J55" s="813" t="str">
        <f t="shared" si="13"/>
        <v/>
      </c>
      <c r="K55" s="913"/>
      <c r="L55" s="22"/>
      <c r="M55" s="22"/>
      <c r="N55" s="7"/>
      <c r="O55" s="186" t="str">
        <f t="shared" si="16"/>
        <v/>
      </c>
      <c r="P55" s="107"/>
      <c r="Q55" s="16" t="str">
        <f t="shared" si="17"/>
        <v/>
      </c>
      <c r="R55" s="36" t="str">
        <f t="shared" si="18"/>
        <v/>
      </c>
      <c r="S55" s="36" t="str">
        <f t="shared" si="19"/>
        <v/>
      </c>
      <c r="T55" s="14" t="str">
        <f t="shared" si="20"/>
        <v/>
      </c>
      <c r="U55" s="176" t="str">
        <f t="shared" si="20"/>
        <v/>
      </c>
      <c r="V55" s="35" t="str">
        <f t="shared" si="21"/>
        <v/>
      </c>
      <c r="W55" s="20" t="str">
        <f t="shared" si="22"/>
        <v/>
      </c>
      <c r="X55" s="813" t="str">
        <f t="shared" si="14"/>
        <v/>
      </c>
      <c r="Y55" s="916" t="str">
        <f t="shared" si="23"/>
        <v/>
      </c>
      <c r="Z55" s="810" t="str">
        <f t="shared" si="24"/>
        <v/>
      </c>
      <c r="AA55" s="282" t="str">
        <f t="shared" si="25"/>
        <v/>
      </c>
      <c r="AB55" s="282" t="str">
        <f t="shared" si="26"/>
        <v/>
      </c>
      <c r="AC55" s="20" t="str">
        <f t="shared" si="27"/>
        <v/>
      </c>
      <c r="AD55" s="186" t="str">
        <f t="shared" si="15"/>
        <v/>
      </c>
      <c r="AE55" s="108"/>
      <c r="AF55" s="215" t="str" cm="1">
        <f t="array" ref="AF55">_xlfn.IFS(O55="","",AD55&gt;O55,"KO : Le montant retenu est supérieur au montant présenté. Merci de revoir la ligne de dépense ou plafonner son montant.",AD55=0,"Attention : montant présenté entièrement écarté",AD55&lt;O55,"Attention : montant présenté partiellement écarté",Y55&lt;15%,"Attention : le taux d'affectation du personnel est inférieur à 15% sur cette ligne. Vérifiez que le total du taux d'affectation du personnel est supérieur ou égal à 15%, sinon le personnel est inéligible",AD55=O55,"OK")</f>
        <v/>
      </c>
      <c r="AG55" s="109" t="str">
        <f t="shared" si="28"/>
        <v/>
      </c>
    </row>
    <row r="56" spans="1:33" s="3" customFormat="1" ht="15.95">
      <c r="A56" s="15">
        <v>47</v>
      </c>
      <c r="B56" s="784"/>
      <c r="C56" s="106"/>
      <c r="D56" s="207"/>
      <c r="E56" s="106"/>
      <c r="F56" s="7"/>
      <c r="G56" s="780"/>
      <c r="H56" s="8"/>
      <c r="I56" s="8"/>
      <c r="J56" s="813" t="str">
        <f t="shared" si="13"/>
        <v/>
      </c>
      <c r="K56" s="913"/>
      <c r="L56" s="22"/>
      <c r="M56" s="22"/>
      <c r="N56" s="7"/>
      <c r="O56" s="186" t="str">
        <f t="shared" si="16"/>
        <v/>
      </c>
      <c r="P56" s="107"/>
      <c r="Q56" s="16" t="str">
        <f t="shared" si="17"/>
        <v/>
      </c>
      <c r="R56" s="36" t="str">
        <f t="shared" si="18"/>
        <v/>
      </c>
      <c r="S56" s="36" t="str">
        <f t="shared" si="19"/>
        <v/>
      </c>
      <c r="T56" s="14" t="str">
        <f t="shared" si="20"/>
        <v/>
      </c>
      <c r="U56" s="176" t="str">
        <f t="shared" si="20"/>
        <v/>
      </c>
      <c r="V56" s="35" t="str">
        <f t="shared" si="21"/>
        <v/>
      </c>
      <c r="W56" s="20" t="str">
        <f t="shared" si="22"/>
        <v/>
      </c>
      <c r="X56" s="813" t="str">
        <f t="shared" si="14"/>
        <v/>
      </c>
      <c r="Y56" s="916" t="str">
        <f t="shared" si="23"/>
        <v/>
      </c>
      <c r="Z56" s="810" t="str">
        <f t="shared" si="24"/>
        <v/>
      </c>
      <c r="AA56" s="282" t="str">
        <f t="shared" si="25"/>
        <v/>
      </c>
      <c r="AB56" s="282" t="str">
        <f t="shared" si="26"/>
        <v/>
      </c>
      <c r="AC56" s="20" t="str">
        <f t="shared" si="27"/>
        <v/>
      </c>
      <c r="AD56" s="186" t="str">
        <f t="shared" si="15"/>
        <v/>
      </c>
      <c r="AE56" s="108"/>
      <c r="AF56" s="215" t="str" cm="1">
        <f t="array" ref="AF56">_xlfn.IFS(O56="","",AD56&gt;O56,"KO : Le montant retenu est supérieur au montant présenté. Merci de revoir la ligne de dépense ou plafonner son montant.",AD56=0,"Attention : montant présenté entièrement écarté",AD56&lt;O56,"Attention : montant présenté partiellement écarté",Y56&lt;15%,"Attention : le taux d'affectation du personnel est inférieur à 15% sur cette ligne. Vérifiez que le total du taux d'affectation du personnel est supérieur ou égal à 15%, sinon le personnel est inéligible",AD56=O56,"OK")</f>
        <v/>
      </c>
      <c r="AG56" s="109" t="str">
        <f t="shared" si="28"/>
        <v/>
      </c>
    </row>
    <row r="57" spans="1:33" s="3" customFormat="1" ht="15.95">
      <c r="A57" s="15">
        <v>48</v>
      </c>
      <c r="B57" s="784"/>
      <c r="C57" s="106"/>
      <c r="D57" s="207"/>
      <c r="E57" s="106"/>
      <c r="F57" s="7"/>
      <c r="G57" s="780"/>
      <c r="H57" s="8"/>
      <c r="I57" s="8"/>
      <c r="J57" s="813" t="str">
        <f t="shared" si="13"/>
        <v/>
      </c>
      <c r="K57" s="913"/>
      <c r="L57" s="22"/>
      <c r="M57" s="22"/>
      <c r="N57" s="7"/>
      <c r="O57" s="186" t="str">
        <f t="shared" si="16"/>
        <v/>
      </c>
      <c r="P57" s="107"/>
      <c r="Q57" s="16" t="str">
        <f t="shared" si="17"/>
        <v/>
      </c>
      <c r="R57" s="36" t="str">
        <f t="shared" si="18"/>
        <v/>
      </c>
      <c r="S57" s="36" t="str">
        <f t="shared" si="19"/>
        <v/>
      </c>
      <c r="T57" s="14" t="str">
        <f t="shared" si="20"/>
        <v/>
      </c>
      <c r="U57" s="176" t="str">
        <f t="shared" si="20"/>
        <v/>
      </c>
      <c r="V57" s="35" t="str">
        <f t="shared" si="21"/>
        <v/>
      </c>
      <c r="W57" s="20" t="str">
        <f t="shared" si="22"/>
        <v/>
      </c>
      <c r="X57" s="813" t="str">
        <f t="shared" si="14"/>
        <v/>
      </c>
      <c r="Y57" s="916" t="str">
        <f t="shared" si="23"/>
        <v/>
      </c>
      <c r="Z57" s="810" t="str">
        <f t="shared" si="24"/>
        <v/>
      </c>
      <c r="AA57" s="282" t="str">
        <f t="shared" si="25"/>
        <v/>
      </c>
      <c r="AB57" s="282" t="str">
        <f t="shared" si="26"/>
        <v/>
      </c>
      <c r="AC57" s="20" t="str">
        <f t="shared" si="27"/>
        <v/>
      </c>
      <c r="AD57" s="186" t="str">
        <f t="shared" si="15"/>
        <v/>
      </c>
      <c r="AE57" s="108"/>
      <c r="AF57" s="215" t="str" cm="1">
        <f t="array" ref="AF57">_xlfn.IFS(O57="","",AD57&gt;O57,"KO : Le montant retenu est supérieur au montant présenté. Merci de revoir la ligne de dépense ou plafonner son montant.",AD57=0,"Attention : montant présenté entièrement écarté",AD57&lt;O57,"Attention : montant présenté partiellement écarté",Y57&lt;15%,"Attention : le taux d'affectation du personnel est inférieur à 15% sur cette ligne. Vérifiez que le total du taux d'affectation du personnel est supérieur ou égal à 15%, sinon le personnel est inéligible",AD57=O57,"OK")</f>
        <v/>
      </c>
      <c r="AG57" s="109" t="str">
        <f t="shared" si="28"/>
        <v/>
      </c>
    </row>
    <row r="58" spans="1:33" s="3" customFormat="1" ht="15.95">
      <c r="A58" s="15">
        <v>49</v>
      </c>
      <c r="B58" s="784"/>
      <c r="C58" s="106"/>
      <c r="D58" s="207"/>
      <c r="E58" s="106"/>
      <c r="F58" s="7"/>
      <c r="G58" s="780"/>
      <c r="H58" s="8"/>
      <c r="I58" s="8"/>
      <c r="J58" s="813" t="str">
        <f t="shared" si="13"/>
        <v/>
      </c>
      <c r="K58" s="913"/>
      <c r="L58" s="22"/>
      <c r="M58" s="22"/>
      <c r="N58" s="7"/>
      <c r="O58" s="186" t="str">
        <f t="shared" si="16"/>
        <v/>
      </c>
      <c r="P58" s="107"/>
      <c r="Q58" s="16" t="str">
        <f t="shared" si="17"/>
        <v/>
      </c>
      <c r="R58" s="36" t="str">
        <f t="shared" si="18"/>
        <v/>
      </c>
      <c r="S58" s="36" t="str">
        <f t="shared" si="19"/>
        <v/>
      </c>
      <c r="T58" s="14" t="str">
        <f t="shared" si="20"/>
        <v/>
      </c>
      <c r="U58" s="176" t="str">
        <f t="shared" si="20"/>
        <v/>
      </c>
      <c r="V58" s="35" t="str">
        <f t="shared" si="21"/>
        <v/>
      </c>
      <c r="W58" s="20" t="str">
        <f t="shared" si="22"/>
        <v/>
      </c>
      <c r="X58" s="813" t="str">
        <f t="shared" si="14"/>
        <v/>
      </c>
      <c r="Y58" s="916" t="str">
        <f t="shared" si="23"/>
        <v/>
      </c>
      <c r="Z58" s="810" t="str">
        <f t="shared" si="24"/>
        <v/>
      </c>
      <c r="AA58" s="282" t="str">
        <f t="shared" si="25"/>
        <v/>
      </c>
      <c r="AB58" s="282" t="str">
        <f t="shared" si="26"/>
        <v/>
      </c>
      <c r="AC58" s="20" t="str">
        <f t="shared" si="27"/>
        <v/>
      </c>
      <c r="AD58" s="186" t="str">
        <f t="shared" si="15"/>
        <v/>
      </c>
      <c r="AE58" s="108"/>
      <c r="AF58" s="215" t="str" cm="1">
        <f t="array" ref="AF58">_xlfn.IFS(O58="","",AD58&gt;O58,"KO : Le montant retenu est supérieur au montant présenté. Merci de revoir la ligne de dépense ou plafonner son montant.",AD58=0,"Attention : montant présenté entièrement écarté",AD58&lt;O58,"Attention : montant présenté partiellement écarté",Y58&lt;15%,"Attention : le taux d'affectation du personnel est inférieur à 15% sur cette ligne. Vérifiez que le total du taux d'affectation du personnel est supérieur ou égal à 15%, sinon le personnel est inéligible",AD58=O58,"OK")</f>
        <v/>
      </c>
      <c r="AG58" s="109" t="str">
        <f t="shared" si="28"/>
        <v/>
      </c>
    </row>
    <row r="59" spans="1:33" s="3" customFormat="1" ht="15.95">
      <c r="A59" s="15">
        <v>50</v>
      </c>
      <c r="B59" s="784"/>
      <c r="C59" s="106"/>
      <c r="D59" s="207"/>
      <c r="E59" s="106"/>
      <c r="F59" s="7"/>
      <c r="G59" s="780"/>
      <c r="H59" s="8"/>
      <c r="I59" s="8"/>
      <c r="J59" s="813" t="str">
        <f t="shared" si="13"/>
        <v/>
      </c>
      <c r="K59" s="913"/>
      <c r="L59" s="22"/>
      <c r="M59" s="22"/>
      <c r="N59" s="7"/>
      <c r="O59" s="186" t="str">
        <f t="shared" si="16"/>
        <v/>
      </c>
      <c r="P59" s="107"/>
      <c r="Q59" s="16" t="str">
        <f t="shared" si="17"/>
        <v/>
      </c>
      <c r="R59" s="36" t="str">
        <f t="shared" si="18"/>
        <v/>
      </c>
      <c r="S59" s="36" t="str">
        <f t="shared" si="19"/>
        <v/>
      </c>
      <c r="T59" s="14" t="str">
        <f t="shared" si="20"/>
        <v/>
      </c>
      <c r="U59" s="176" t="str">
        <f t="shared" si="20"/>
        <v/>
      </c>
      <c r="V59" s="35" t="str">
        <f t="shared" si="21"/>
        <v/>
      </c>
      <c r="W59" s="20" t="str">
        <f t="shared" si="22"/>
        <v/>
      </c>
      <c r="X59" s="813" t="str">
        <f t="shared" si="14"/>
        <v/>
      </c>
      <c r="Y59" s="916" t="str">
        <f t="shared" si="23"/>
        <v/>
      </c>
      <c r="Z59" s="810" t="str">
        <f t="shared" si="24"/>
        <v/>
      </c>
      <c r="AA59" s="282" t="str">
        <f t="shared" si="25"/>
        <v/>
      </c>
      <c r="AB59" s="282" t="str">
        <f t="shared" si="26"/>
        <v/>
      </c>
      <c r="AC59" s="20" t="str">
        <f t="shared" si="27"/>
        <v/>
      </c>
      <c r="AD59" s="186" t="str">
        <f t="shared" si="15"/>
        <v/>
      </c>
      <c r="AE59" s="108"/>
      <c r="AF59" s="215" t="str" cm="1">
        <f t="array" ref="AF59">_xlfn.IFS(O59="","",AD59&gt;O59,"KO : Le montant retenu est supérieur au montant présenté. Merci de revoir la ligne de dépense ou plafonner son montant.",AD59=0,"Attention : montant présenté entièrement écarté",AD59&lt;O59,"Attention : montant présenté partiellement écarté",Y59&lt;15%,"Attention : le taux d'affectation du personnel est inférieur à 15% sur cette ligne. Vérifiez que le total du taux d'affectation du personnel est supérieur ou égal à 15%, sinon le personnel est inéligible",AD59=O59,"OK")</f>
        <v/>
      </c>
      <c r="AG59" s="109" t="str">
        <f t="shared" si="28"/>
        <v/>
      </c>
    </row>
    <row r="60" spans="1:33" s="3" customFormat="1" ht="15.95">
      <c r="A60" s="15">
        <v>51</v>
      </c>
      <c r="B60" s="784"/>
      <c r="C60" s="106"/>
      <c r="D60" s="207"/>
      <c r="E60" s="106"/>
      <c r="F60" s="7"/>
      <c r="G60" s="780"/>
      <c r="H60" s="8"/>
      <c r="I60" s="8"/>
      <c r="J60" s="813" t="str">
        <f t="shared" si="13"/>
        <v/>
      </c>
      <c r="K60" s="913"/>
      <c r="L60" s="22"/>
      <c r="M60" s="22"/>
      <c r="N60" s="7"/>
      <c r="O60" s="186" t="str">
        <f t="shared" si="16"/>
        <v/>
      </c>
      <c r="P60" s="107"/>
      <c r="Q60" s="16" t="str">
        <f t="shared" si="17"/>
        <v/>
      </c>
      <c r="R60" s="36" t="str">
        <f t="shared" si="18"/>
        <v/>
      </c>
      <c r="S60" s="36" t="str">
        <f t="shared" si="19"/>
        <v/>
      </c>
      <c r="T60" s="14" t="str">
        <f t="shared" si="20"/>
        <v/>
      </c>
      <c r="U60" s="176" t="str">
        <f t="shared" si="20"/>
        <v/>
      </c>
      <c r="V60" s="35" t="str">
        <f t="shared" si="21"/>
        <v/>
      </c>
      <c r="W60" s="20" t="str">
        <f t="shared" si="22"/>
        <v/>
      </c>
      <c r="X60" s="813" t="str">
        <f t="shared" si="14"/>
        <v/>
      </c>
      <c r="Y60" s="916" t="str">
        <f t="shared" si="23"/>
        <v/>
      </c>
      <c r="Z60" s="810" t="str">
        <f t="shared" si="24"/>
        <v/>
      </c>
      <c r="AA60" s="282" t="str">
        <f t="shared" si="25"/>
        <v/>
      </c>
      <c r="AB60" s="282" t="str">
        <f t="shared" si="26"/>
        <v/>
      </c>
      <c r="AC60" s="20" t="str">
        <f t="shared" si="27"/>
        <v/>
      </c>
      <c r="AD60" s="186" t="str">
        <f t="shared" si="15"/>
        <v/>
      </c>
      <c r="AE60" s="108"/>
      <c r="AF60" s="215" t="str" cm="1">
        <f t="array" ref="AF60">_xlfn.IFS(O60="","",AD60&gt;O60,"KO : Le montant retenu est supérieur au montant présenté. Merci de revoir la ligne de dépense ou plafonner son montant.",AD60=0,"Attention : montant présenté entièrement écarté",AD60&lt;O60,"Attention : montant présenté partiellement écarté",Y60&lt;15%,"Attention : le taux d'affectation du personnel est inférieur à 15% sur cette ligne. Vérifiez que le total du taux d'affectation du personnel est supérieur ou égal à 15%, sinon le personnel est inéligible",AD60=O60,"OK")</f>
        <v/>
      </c>
      <c r="AG60" s="109" t="str">
        <f t="shared" si="28"/>
        <v/>
      </c>
    </row>
    <row r="61" spans="1:33" s="3" customFormat="1" ht="15.95">
      <c r="A61" s="15">
        <v>52</v>
      </c>
      <c r="B61" s="784"/>
      <c r="C61" s="106"/>
      <c r="D61" s="207"/>
      <c r="E61" s="106"/>
      <c r="F61" s="7"/>
      <c r="G61" s="780"/>
      <c r="H61" s="8"/>
      <c r="I61" s="8"/>
      <c r="J61" s="813" t="str">
        <f t="shared" si="13"/>
        <v/>
      </c>
      <c r="K61" s="913"/>
      <c r="L61" s="22"/>
      <c r="M61" s="22"/>
      <c r="N61" s="7"/>
      <c r="O61" s="186" t="str">
        <f t="shared" si="16"/>
        <v/>
      </c>
      <c r="P61" s="107"/>
      <c r="Q61" s="16" t="str">
        <f t="shared" si="17"/>
        <v/>
      </c>
      <c r="R61" s="36" t="str">
        <f t="shared" si="18"/>
        <v/>
      </c>
      <c r="S61" s="36" t="str">
        <f t="shared" si="19"/>
        <v/>
      </c>
      <c r="T61" s="14" t="str">
        <f t="shared" si="20"/>
        <v/>
      </c>
      <c r="U61" s="176" t="str">
        <f t="shared" si="20"/>
        <v/>
      </c>
      <c r="V61" s="35" t="str">
        <f t="shared" si="21"/>
        <v/>
      </c>
      <c r="W61" s="20" t="str">
        <f t="shared" si="22"/>
        <v/>
      </c>
      <c r="X61" s="813" t="str">
        <f t="shared" si="14"/>
        <v/>
      </c>
      <c r="Y61" s="916" t="str">
        <f t="shared" si="23"/>
        <v/>
      </c>
      <c r="Z61" s="810" t="str">
        <f t="shared" si="24"/>
        <v/>
      </c>
      <c r="AA61" s="282" t="str">
        <f t="shared" si="25"/>
        <v/>
      </c>
      <c r="AB61" s="282" t="str">
        <f t="shared" si="26"/>
        <v/>
      </c>
      <c r="AC61" s="20" t="str">
        <f t="shared" si="27"/>
        <v/>
      </c>
      <c r="AD61" s="186" t="str">
        <f t="shared" si="15"/>
        <v/>
      </c>
      <c r="AE61" s="108"/>
      <c r="AF61" s="215" t="str" cm="1">
        <f t="array" ref="AF61">_xlfn.IFS(O61="","",AD61&gt;O61,"KO : Le montant retenu est supérieur au montant présenté. Merci de revoir la ligne de dépense ou plafonner son montant.",AD61=0,"Attention : montant présenté entièrement écarté",AD61&lt;O61,"Attention : montant présenté partiellement écarté",Y61&lt;15%,"Attention : le taux d'affectation du personnel est inférieur à 15% sur cette ligne. Vérifiez que le total du taux d'affectation du personnel est supérieur ou égal à 15%, sinon le personnel est inéligible",AD61=O61,"OK")</f>
        <v/>
      </c>
      <c r="AG61" s="109" t="str">
        <f t="shared" si="28"/>
        <v/>
      </c>
    </row>
    <row r="62" spans="1:33" s="3" customFormat="1" ht="15.95">
      <c r="A62" s="15">
        <v>53</v>
      </c>
      <c r="B62" s="784"/>
      <c r="C62" s="106"/>
      <c r="D62" s="207"/>
      <c r="E62" s="106"/>
      <c r="F62" s="7"/>
      <c r="G62" s="780"/>
      <c r="H62" s="8"/>
      <c r="I62" s="8"/>
      <c r="J62" s="813" t="str">
        <f t="shared" si="13"/>
        <v/>
      </c>
      <c r="K62" s="913"/>
      <c r="L62" s="22"/>
      <c r="M62" s="22"/>
      <c r="N62" s="7"/>
      <c r="O62" s="186" t="str">
        <f t="shared" si="16"/>
        <v/>
      </c>
      <c r="P62" s="107"/>
      <c r="Q62" s="16" t="str">
        <f t="shared" si="17"/>
        <v/>
      </c>
      <c r="R62" s="36" t="str">
        <f t="shared" si="18"/>
        <v/>
      </c>
      <c r="S62" s="36" t="str">
        <f t="shared" si="19"/>
        <v/>
      </c>
      <c r="T62" s="14" t="str">
        <f t="shared" si="20"/>
        <v/>
      </c>
      <c r="U62" s="176" t="str">
        <f t="shared" si="20"/>
        <v/>
      </c>
      <c r="V62" s="35" t="str">
        <f t="shared" si="21"/>
        <v/>
      </c>
      <c r="W62" s="20" t="str">
        <f t="shared" si="22"/>
        <v/>
      </c>
      <c r="X62" s="813" t="str">
        <f t="shared" si="14"/>
        <v/>
      </c>
      <c r="Y62" s="916" t="str">
        <f t="shared" si="23"/>
        <v/>
      </c>
      <c r="Z62" s="810" t="str">
        <f t="shared" si="24"/>
        <v/>
      </c>
      <c r="AA62" s="282" t="str">
        <f t="shared" si="25"/>
        <v/>
      </c>
      <c r="AB62" s="282" t="str">
        <f t="shared" si="26"/>
        <v/>
      </c>
      <c r="AC62" s="20" t="str">
        <f t="shared" si="27"/>
        <v/>
      </c>
      <c r="AD62" s="186" t="str">
        <f t="shared" si="15"/>
        <v/>
      </c>
      <c r="AE62" s="108"/>
      <c r="AF62" s="215" t="str" cm="1">
        <f t="array" ref="AF62">_xlfn.IFS(O62="","",AD62&gt;O62,"KO : Le montant retenu est supérieur au montant présenté. Merci de revoir la ligne de dépense ou plafonner son montant.",AD62=0,"Attention : montant présenté entièrement écarté",AD62&lt;O62,"Attention : montant présenté partiellement écarté",Y62&lt;15%,"Attention : le taux d'affectation du personnel est inférieur à 15% sur cette ligne. Vérifiez que le total du taux d'affectation du personnel est supérieur ou égal à 15%, sinon le personnel est inéligible",AD62=O62,"OK")</f>
        <v/>
      </c>
      <c r="AG62" s="109" t="str">
        <f t="shared" si="28"/>
        <v/>
      </c>
    </row>
    <row r="63" spans="1:33" s="3" customFormat="1" ht="15.95">
      <c r="A63" s="15">
        <v>54</v>
      </c>
      <c r="B63" s="784"/>
      <c r="C63" s="106"/>
      <c r="D63" s="207"/>
      <c r="E63" s="106"/>
      <c r="F63" s="7"/>
      <c r="G63" s="780"/>
      <c r="H63" s="8"/>
      <c r="I63" s="8"/>
      <c r="J63" s="813" t="str">
        <f t="shared" si="13"/>
        <v/>
      </c>
      <c r="K63" s="913"/>
      <c r="L63" s="22"/>
      <c r="M63" s="22"/>
      <c r="N63" s="7"/>
      <c r="O63" s="186" t="str">
        <f t="shared" si="16"/>
        <v/>
      </c>
      <c r="P63" s="107"/>
      <c r="Q63" s="16" t="str">
        <f t="shared" si="17"/>
        <v/>
      </c>
      <c r="R63" s="36" t="str">
        <f t="shared" si="18"/>
        <v/>
      </c>
      <c r="S63" s="36" t="str">
        <f t="shared" si="19"/>
        <v/>
      </c>
      <c r="T63" s="14" t="str">
        <f t="shared" si="20"/>
        <v/>
      </c>
      <c r="U63" s="176" t="str">
        <f t="shared" si="20"/>
        <v/>
      </c>
      <c r="V63" s="35" t="str">
        <f t="shared" si="21"/>
        <v/>
      </c>
      <c r="W63" s="20" t="str">
        <f t="shared" si="22"/>
        <v/>
      </c>
      <c r="X63" s="813" t="str">
        <f t="shared" si="14"/>
        <v/>
      </c>
      <c r="Y63" s="916" t="str">
        <f t="shared" si="23"/>
        <v/>
      </c>
      <c r="Z63" s="810" t="str">
        <f t="shared" si="24"/>
        <v/>
      </c>
      <c r="AA63" s="282" t="str">
        <f t="shared" si="25"/>
        <v/>
      </c>
      <c r="AB63" s="282" t="str">
        <f t="shared" si="26"/>
        <v/>
      </c>
      <c r="AC63" s="20" t="str">
        <f t="shared" si="27"/>
        <v/>
      </c>
      <c r="AD63" s="186" t="str">
        <f t="shared" si="15"/>
        <v/>
      </c>
      <c r="AE63" s="108"/>
      <c r="AF63" s="215" t="str" cm="1">
        <f t="array" ref="AF63">_xlfn.IFS(O63="","",AD63&gt;O63,"KO : Le montant retenu est supérieur au montant présenté. Merci de revoir la ligne de dépense ou plafonner son montant.",AD63=0,"Attention : montant présenté entièrement écarté",AD63&lt;O63,"Attention : montant présenté partiellement écarté",Y63&lt;15%,"Attention : le taux d'affectation du personnel est inférieur à 15% sur cette ligne. Vérifiez que le total du taux d'affectation du personnel est supérieur ou égal à 15%, sinon le personnel est inéligible",AD63=O63,"OK")</f>
        <v/>
      </c>
      <c r="AG63" s="109" t="str">
        <f t="shared" si="28"/>
        <v/>
      </c>
    </row>
    <row r="64" spans="1:33" s="3" customFormat="1" ht="15.95">
      <c r="A64" s="15">
        <v>55</v>
      </c>
      <c r="B64" s="784"/>
      <c r="C64" s="106"/>
      <c r="D64" s="207"/>
      <c r="E64" s="106"/>
      <c r="F64" s="7"/>
      <c r="G64" s="780"/>
      <c r="H64" s="8"/>
      <c r="I64" s="8"/>
      <c r="J64" s="813" t="str">
        <f t="shared" si="13"/>
        <v/>
      </c>
      <c r="K64" s="913"/>
      <c r="L64" s="22"/>
      <c r="M64" s="22"/>
      <c r="N64" s="7"/>
      <c r="O64" s="186" t="str">
        <f t="shared" si="16"/>
        <v/>
      </c>
      <c r="P64" s="107"/>
      <c r="Q64" s="16" t="str">
        <f t="shared" si="17"/>
        <v/>
      </c>
      <c r="R64" s="36" t="str">
        <f t="shared" si="18"/>
        <v/>
      </c>
      <c r="S64" s="36" t="str">
        <f t="shared" si="19"/>
        <v/>
      </c>
      <c r="T64" s="14" t="str">
        <f t="shared" si="20"/>
        <v/>
      </c>
      <c r="U64" s="176" t="str">
        <f t="shared" si="20"/>
        <v/>
      </c>
      <c r="V64" s="35" t="str">
        <f t="shared" si="21"/>
        <v/>
      </c>
      <c r="W64" s="20" t="str">
        <f t="shared" si="22"/>
        <v/>
      </c>
      <c r="X64" s="813" t="str">
        <f t="shared" si="14"/>
        <v/>
      </c>
      <c r="Y64" s="916" t="str">
        <f t="shared" si="23"/>
        <v/>
      </c>
      <c r="Z64" s="810" t="str">
        <f t="shared" si="24"/>
        <v/>
      </c>
      <c r="AA64" s="282" t="str">
        <f t="shared" si="25"/>
        <v/>
      </c>
      <c r="AB64" s="282" t="str">
        <f t="shared" si="26"/>
        <v/>
      </c>
      <c r="AC64" s="20" t="str">
        <f t="shared" si="27"/>
        <v/>
      </c>
      <c r="AD64" s="186" t="str">
        <f t="shared" si="15"/>
        <v/>
      </c>
      <c r="AE64" s="108"/>
      <c r="AF64" s="215" t="str" cm="1">
        <f t="array" ref="AF64">_xlfn.IFS(O64="","",AD64&gt;O64,"KO : Le montant retenu est supérieur au montant présenté. Merci de revoir la ligne de dépense ou plafonner son montant.",AD64=0,"Attention : montant présenté entièrement écarté",AD64&lt;O64,"Attention : montant présenté partiellement écarté",Y64&lt;15%,"Attention : le taux d'affectation du personnel est inférieur à 15% sur cette ligne. Vérifiez que le total du taux d'affectation du personnel est supérieur ou égal à 15%, sinon le personnel est inéligible",AD64=O64,"OK")</f>
        <v/>
      </c>
      <c r="AG64" s="109" t="str">
        <f t="shared" si="28"/>
        <v/>
      </c>
    </row>
    <row r="65" spans="1:33" s="3" customFormat="1" ht="15.95">
      <c r="A65" s="15">
        <v>56</v>
      </c>
      <c r="B65" s="784"/>
      <c r="C65" s="106"/>
      <c r="D65" s="207"/>
      <c r="E65" s="106"/>
      <c r="F65" s="7"/>
      <c r="G65" s="780"/>
      <c r="H65" s="8"/>
      <c r="I65" s="8"/>
      <c r="J65" s="813" t="str">
        <f t="shared" si="13"/>
        <v/>
      </c>
      <c r="K65" s="913"/>
      <c r="L65" s="22"/>
      <c r="M65" s="22"/>
      <c r="N65" s="7"/>
      <c r="O65" s="186" t="str">
        <f t="shared" si="16"/>
        <v/>
      </c>
      <c r="P65" s="107"/>
      <c r="Q65" s="16" t="str">
        <f t="shared" si="17"/>
        <v/>
      </c>
      <c r="R65" s="36" t="str">
        <f t="shared" si="18"/>
        <v/>
      </c>
      <c r="S65" s="36" t="str">
        <f t="shared" si="19"/>
        <v/>
      </c>
      <c r="T65" s="14" t="str">
        <f t="shared" si="20"/>
        <v/>
      </c>
      <c r="U65" s="176" t="str">
        <f t="shared" si="20"/>
        <v/>
      </c>
      <c r="V65" s="35" t="str">
        <f t="shared" si="21"/>
        <v/>
      </c>
      <c r="W65" s="20" t="str">
        <f t="shared" si="22"/>
        <v/>
      </c>
      <c r="X65" s="813" t="str">
        <f t="shared" si="14"/>
        <v/>
      </c>
      <c r="Y65" s="916" t="str">
        <f t="shared" si="23"/>
        <v/>
      </c>
      <c r="Z65" s="810" t="str">
        <f t="shared" si="24"/>
        <v/>
      </c>
      <c r="AA65" s="282" t="str">
        <f t="shared" si="25"/>
        <v/>
      </c>
      <c r="AB65" s="282" t="str">
        <f t="shared" si="26"/>
        <v/>
      </c>
      <c r="AC65" s="20" t="str">
        <f t="shared" si="27"/>
        <v/>
      </c>
      <c r="AD65" s="186" t="str">
        <f t="shared" si="15"/>
        <v/>
      </c>
      <c r="AE65" s="108"/>
      <c r="AF65" s="215" t="str" cm="1">
        <f t="array" ref="AF65">_xlfn.IFS(O65="","",AD65&gt;O65,"KO : Le montant retenu est supérieur au montant présenté. Merci de revoir la ligne de dépense ou plafonner son montant.",AD65=0,"Attention : montant présenté entièrement écarté",AD65&lt;O65,"Attention : montant présenté partiellement écarté",Y65&lt;15%,"Attention : le taux d'affectation du personnel est inférieur à 15% sur cette ligne. Vérifiez que le total du taux d'affectation du personnel est supérieur ou égal à 15%, sinon le personnel est inéligible",AD65=O65,"OK")</f>
        <v/>
      </c>
      <c r="AG65" s="109" t="str">
        <f t="shared" si="28"/>
        <v/>
      </c>
    </row>
    <row r="66" spans="1:33" s="3" customFormat="1" ht="15.95">
      <c r="A66" s="15">
        <v>57</v>
      </c>
      <c r="B66" s="784"/>
      <c r="C66" s="106"/>
      <c r="D66" s="207"/>
      <c r="E66" s="106"/>
      <c r="F66" s="7"/>
      <c r="G66" s="780"/>
      <c r="H66" s="8"/>
      <c r="I66" s="8"/>
      <c r="J66" s="813" t="str">
        <f t="shared" si="13"/>
        <v/>
      </c>
      <c r="K66" s="913"/>
      <c r="L66" s="22"/>
      <c r="M66" s="22"/>
      <c r="N66" s="7"/>
      <c r="O66" s="186" t="str">
        <f t="shared" si="16"/>
        <v/>
      </c>
      <c r="P66" s="107"/>
      <c r="Q66" s="16" t="str">
        <f t="shared" si="17"/>
        <v/>
      </c>
      <c r="R66" s="36" t="str">
        <f t="shared" si="18"/>
        <v/>
      </c>
      <c r="S66" s="36" t="str">
        <f t="shared" si="19"/>
        <v/>
      </c>
      <c r="T66" s="14" t="str">
        <f t="shared" si="20"/>
        <v/>
      </c>
      <c r="U66" s="176" t="str">
        <f t="shared" si="20"/>
        <v/>
      </c>
      <c r="V66" s="35" t="str">
        <f t="shared" si="21"/>
        <v/>
      </c>
      <c r="W66" s="20" t="str">
        <f t="shared" si="22"/>
        <v/>
      </c>
      <c r="X66" s="813" t="str">
        <f t="shared" si="14"/>
        <v/>
      </c>
      <c r="Y66" s="916" t="str">
        <f t="shared" si="23"/>
        <v/>
      </c>
      <c r="Z66" s="810" t="str">
        <f t="shared" si="24"/>
        <v/>
      </c>
      <c r="AA66" s="282" t="str">
        <f t="shared" si="25"/>
        <v/>
      </c>
      <c r="AB66" s="282" t="str">
        <f t="shared" si="26"/>
        <v/>
      </c>
      <c r="AC66" s="20" t="str">
        <f t="shared" si="27"/>
        <v/>
      </c>
      <c r="AD66" s="186" t="str">
        <f t="shared" si="15"/>
        <v/>
      </c>
      <c r="AE66" s="108"/>
      <c r="AF66" s="215" t="str" cm="1">
        <f t="array" ref="AF66">_xlfn.IFS(O66="","",AD66&gt;O66,"KO : Le montant retenu est supérieur au montant présenté. Merci de revoir la ligne de dépense ou plafonner son montant.",AD66=0,"Attention : montant présenté entièrement écarté",AD66&lt;O66,"Attention : montant présenté partiellement écarté",Y66&lt;15%,"Attention : le taux d'affectation du personnel est inférieur à 15% sur cette ligne. Vérifiez que le total du taux d'affectation du personnel est supérieur ou égal à 15%, sinon le personnel est inéligible",AD66=O66,"OK")</f>
        <v/>
      </c>
      <c r="AG66" s="109" t="str">
        <f t="shared" si="28"/>
        <v/>
      </c>
    </row>
    <row r="67" spans="1:33" s="3" customFormat="1" ht="15.95">
      <c r="A67" s="15">
        <v>58</v>
      </c>
      <c r="B67" s="784"/>
      <c r="C67" s="106"/>
      <c r="D67" s="207"/>
      <c r="E67" s="106"/>
      <c r="F67" s="7"/>
      <c r="G67" s="780"/>
      <c r="H67" s="8"/>
      <c r="I67" s="8"/>
      <c r="J67" s="813" t="str">
        <f t="shared" si="13"/>
        <v/>
      </c>
      <c r="K67" s="913"/>
      <c r="L67" s="22"/>
      <c r="M67" s="22"/>
      <c r="N67" s="7"/>
      <c r="O67" s="186" t="str">
        <f t="shared" si="16"/>
        <v/>
      </c>
      <c r="P67" s="107"/>
      <c r="Q67" s="16" t="str">
        <f t="shared" si="17"/>
        <v/>
      </c>
      <c r="R67" s="36" t="str">
        <f t="shared" si="18"/>
        <v/>
      </c>
      <c r="S67" s="36" t="str">
        <f t="shared" si="19"/>
        <v/>
      </c>
      <c r="T67" s="14" t="str">
        <f t="shared" si="20"/>
        <v/>
      </c>
      <c r="U67" s="176" t="str">
        <f t="shared" si="20"/>
        <v/>
      </c>
      <c r="V67" s="35" t="str">
        <f t="shared" si="21"/>
        <v/>
      </c>
      <c r="W67" s="20" t="str">
        <f t="shared" si="22"/>
        <v/>
      </c>
      <c r="X67" s="813" t="str">
        <f t="shared" si="14"/>
        <v/>
      </c>
      <c r="Y67" s="916" t="str">
        <f t="shared" si="23"/>
        <v/>
      </c>
      <c r="Z67" s="810" t="str">
        <f t="shared" si="24"/>
        <v/>
      </c>
      <c r="AA67" s="282" t="str">
        <f t="shared" si="25"/>
        <v/>
      </c>
      <c r="AB67" s="282" t="str">
        <f t="shared" si="26"/>
        <v/>
      </c>
      <c r="AC67" s="20" t="str">
        <f t="shared" si="27"/>
        <v/>
      </c>
      <c r="AD67" s="186" t="str">
        <f t="shared" si="15"/>
        <v/>
      </c>
      <c r="AE67" s="108"/>
      <c r="AF67" s="215" t="str" cm="1">
        <f t="array" ref="AF67">_xlfn.IFS(O67="","",AD67&gt;O67,"KO : Le montant retenu est supérieur au montant présenté. Merci de revoir la ligne de dépense ou plafonner son montant.",AD67=0,"Attention : montant présenté entièrement écarté",AD67&lt;O67,"Attention : montant présenté partiellement écarté",Y67&lt;15%,"Attention : le taux d'affectation du personnel est inférieur à 15% sur cette ligne. Vérifiez que le total du taux d'affectation du personnel est supérieur ou égal à 15%, sinon le personnel est inéligible",AD67=O67,"OK")</f>
        <v/>
      </c>
      <c r="AG67" s="109" t="str">
        <f t="shared" si="28"/>
        <v/>
      </c>
    </row>
    <row r="68" spans="1:33" s="3" customFormat="1" ht="15.95">
      <c r="A68" s="15">
        <v>59</v>
      </c>
      <c r="B68" s="784"/>
      <c r="C68" s="106"/>
      <c r="D68" s="207"/>
      <c r="E68" s="106"/>
      <c r="F68" s="7"/>
      <c r="G68" s="780"/>
      <c r="H68" s="8"/>
      <c r="I68" s="8"/>
      <c r="J68" s="813" t="str">
        <f t="shared" si="13"/>
        <v/>
      </c>
      <c r="K68" s="913"/>
      <c r="L68" s="22"/>
      <c r="M68" s="22"/>
      <c r="N68" s="7"/>
      <c r="O68" s="186" t="str">
        <f t="shared" si="16"/>
        <v/>
      </c>
      <c r="P68" s="107"/>
      <c r="Q68" s="16" t="str">
        <f t="shared" si="17"/>
        <v/>
      </c>
      <c r="R68" s="36" t="str">
        <f t="shared" si="18"/>
        <v/>
      </c>
      <c r="S68" s="36" t="str">
        <f t="shared" si="19"/>
        <v/>
      </c>
      <c r="T68" s="14" t="str">
        <f t="shared" si="20"/>
        <v/>
      </c>
      <c r="U68" s="176" t="str">
        <f t="shared" si="20"/>
        <v/>
      </c>
      <c r="V68" s="35" t="str">
        <f t="shared" si="21"/>
        <v/>
      </c>
      <c r="W68" s="20" t="str">
        <f t="shared" si="22"/>
        <v/>
      </c>
      <c r="X68" s="813" t="str">
        <f t="shared" si="14"/>
        <v/>
      </c>
      <c r="Y68" s="916" t="str">
        <f t="shared" si="23"/>
        <v/>
      </c>
      <c r="Z68" s="810" t="str">
        <f t="shared" si="24"/>
        <v/>
      </c>
      <c r="AA68" s="282" t="str">
        <f t="shared" si="25"/>
        <v/>
      </c>
      <c r="AB68" s="282" t="str">
        <f t="shared" si="26"/>
        <v/>
      </c>
      <c r="AC68" s="20" t="str">
        <f t="shared" si="27"/>
        <v/>
      </c>
      <c r="AD68" s="186" t="str">
        <f t="shared" si="15"/>
        <v/>
      </c>
      <c r="AE68" s="108"/>
      <c r="AF68" s="215" t="str" cm="1">
        <f t="array" ref="AF68">_xlfn.IFS(O68="","",AD68&gt;O68,"KO : Le montant retenu est supérieur au montant présenté. Merci de revoir la ligne de dépense ou plafonner son montant.",AD68=0,"Attention : montant présenté entièrement écarté",AD68&lt;O68,"Attention : montant présenté partiellement écarté",Y68&lt;15%,"Attention : le taux d'affectation du personnel est inférieur à 15% sur cette ligne. Vérifiez que le total du taux d'affectation du personnel est supérieur ou égal à 15%, sinon le personnel est inéligible",AD68=O68,"OK")</f>
        <v/>
      </c>
      <c r="AG68" s="109" t="str">
        <f t="shared" si="28"/>
        <v/>
      </c>
    </row>
    <row r="69" spans="1:33" s="3" customFormat="1" ht="15.95">
      <c r="A69" s="15">
        <v>60</v>
      </c>
      <c r="B69" s="784"/>
      <c r="C69" s="106"/>
      <c r="D69" s="207"/>
      <c r="E69" s="106"/>
      <c r="F69" s="7"/>
      <c r="G69" s="780"/>
      <c r="H69" s="8"/>
      <c r="I69" s="8"/>
      <c r="J69" s="813" t="str">
        <f t="shared" si="13"/>
        <v/>
      </c>
      <c r="K69" s="913"/>
      <c r="L69" s="22"/>
      <c r="M69" s="22"/>
      <c r="N69" s="7"/>
      <c r="O69" s="186" t="str">
        <f t="shared" si="16"/>
        <v/>
      </c>
      <c r="P69" s="107"/>
      <c r="Q69" s="16" t="str">
        <f t="shared" si="17"/>
        <v/>
      </c>
      <c r="R69" s="36" t="str">
        <f t="shared" si="18"/>
        <v/>
      </c>
      <c r="S69" s="36" t="str">
        <f t="shared" si="19"/>
        <v/>
      </c>
      <c r="T69" s="14" t="str">
        <f t="shared" si="20"/>
        <v/>
      </c>
      <c r="U69" s="176" t="str">
        <f t="shared" si="20"/>
        <v/>
      </c>
      <c r="V69" s="35" t="str">
        <f t="shared" si="21"/>
        <v/>
      </c>
      <c r="W69" s="20" t="str">
        <f t="shared" si="22"/>
        <v/>
      </c>
      <c r="X69" s="813" t="str">
        <f t="shared" si="14"/>
        <v/>
      </c>
      <c r="Y69" s="916" t="str">
        <f t="shared" si="23"/>
        <v/>
      </c>
      <c r="Z69" s="810" t="str">
        <f t="shared" si="24"/>
        <v/>
      </c>
      <c r="AA69" s="282" t="str">
        <f t="shared" si="25"/>
        <v/>
      </c>
      <c r="AB69" s="282" t="str">
        <f t="shared" si="26"/>
        <v/>
      </c>
      <c r="AC69" s="20" t="str">
        <f t="shared" si="27"/>
        <v/>
      </c>
      <c r="AD69" s="186" t="str">
        <f t="shared" si="15"/>
        <v/>
      </c>
      <c r="AE69" s="108"/>
      <c r="AF69" s="215" t="str" cm="1">
        <f t="array" ref="AF69">_xlfn.IFS(O69="","",AD69&gt;O69,"KO : Le montant retenu est supérieur au montant présenté. Merci de revoir la ligne de dépense ou plafonner son montant.",AD69=0,"Attention : montant présenté entièrement écarté",AD69&lt;O69,"Attention : montant présenté partiellement écarté",Y69&lt;15%,"Attention : le taux d'affectation du personnel est inférieur à 15% sur cette ligne. Vérifiez que le total du taux d'affectation du personnel est supérieur ou égal à 15%, sinon le personnel est inéligible",AD69=O69,"OK")</f>
        <v/>
      </c>
      <c r="AG69" s="109" t="str">
        <f t="shared" si="28"/>
        <v/>
      </c>
    </row>
    <row r="70" spans="1:33" s="3" customFormat="1" ht="15.95">
      <c r="A70" s="15">
        <v>61</v>
      </c>
      <c r="B70" s="784"/>
      <c r="C70" s="106"/>
      <c r="D70" s="207"/>
      <c r="E70" s="106"/>
      <c r="F70" s="7"/>
      <c r="G70" s="780"/>
      <c r="H70" s="8"/>
      <c r="I70" s="8"/>
      <c r="J70" s="813" t="str">
        <f t="shared" si="13"/>
        <v/>
      </c>
      <c r="K70" s="913"/>
      <c r="L70" s="22"/>
      <c r="M70" s="22"/>
      <c r="N70" s="7"/>
      <c r="O70" s="186" t="str">
        <f t="shared" si="16"/>
        <v/>
      </c>
      <c r="P70" s="107"/>
      <c r="Q70" s="16" t="str">
        <f t="shared" si="17"/>
        <v/>
      </c>
      <c r="R70" s="36" t="str">
        <f t="shared" si="18"/>
        <v/>
      </c>
      <c r="S70" s="36" t="str">
        <f t="shared" si="19"/>
        <v/>
      </c>
      <c r="T70" s="14" t="str">
        <f t="shared" si="20"/>
        <v/>
      </c>
      <c r="U70" s="176" t="str">
        <f t="shared" si="20"/>
        <v/>
      </c>
      <c r="V70" s="35" t="str">
        <f t="shared" si="21"/>
        <v/>
      </c>
      <c r="W70" s="20" t="str">
        <f t="shared" si="22"/>
        <v/>
      </c>
      <c r="X70" s="813" t="str">
        <f t="shared" si="14"/>
        <v/>
      </c>
      <c r="Y70" s="916" t="str">
        <f t="shared" si="23"/>
        <v/>
      </c>
      <c r="Z70" s="810" t="str">
        <f t="shared" si="24"/>
        <v/>
      </c>
      <c r="AA70" s="282" t="str">
        <f t="shared" si="25"/>
        <v/>
      </c>
      <c r="AB70" s="282" t="str">
        <f t="shared" si="26"/>
        <v/>
      </c>
      <c r="AC70" s="20" t="str">
        <f t="shared" si="27"/>
        <v/>
      </c>
      <c r="AD70" s="186" t="str">
        <f t="shared" si="15"/>
        <v/>
      </c>
      <c r="AE70" s="108"/>
      <c r="AF70" s="215" t="str" cm="1">
        <f t="array" ref="AF70">_xlfn.IFS(O70="","",AD70&gt;O70,"KO : Le montant retenu est supérieur au montant présenté. Merci de revoir la ligne de dépense ou plafonner son montant.",AD70=0,"Attention : montant présenté entièrement écarté",AD70&lt;O70,"Attention : montant présenté partiellement écarté",Y70&lt;15%,"Attention : le taux d'affectation du personnel est inférieur à 15% sur cette ligne. Vérifiez que le total du taux d'affectation du personnel est supérieur ou égal à 15%, sinon le personnel est inéligible",AD70=O70,"OK")</f>
        <v/>
      </c>
      <c r="AG70" s="109" t="str">
        <f t="shared" si="28"/>
        <v/>
      </c>
    </row>
    <row r="71" spans="1:33" s="3" customFormat="1" ht="15.95">
      <c r="A71" s="15">
        <v>62</v>
      </c>
      <c r="B71" s="784"/>
      <c r="C71" s="106"/>
      <c r="D71" s="207"/>
      <c r="E71" s="106"/>
      <c r="F71" s="7"/>
      <c r="G71" s="780"/>
      <c r="H71" s="8"/>
      <c r="I71" s="8"/>
      <c r="J71" s="813" t="str">
        <f t="shared" si="13"/>
        <v/>
      </c>
      <c r="K71" s="913"/>
      <c r="L71" s="22"/>
      <c r="M71" s="22"/>
      <c r="N71" s="7"/>
      <c r="O71" s="186" t="str">
        <f t="shared" si="16"/>
        <v/>
      </c>
      <c r="P71" s="107"/>
      <c r="Q71" s="16" t="str">
        <f t="shared" si="17"/>
        <v/>
      </c>
      <c r="R71" s="36" t="str">
        <f t="shared" si="18"/>
        <v/>
      </c>
      <c r="S71" s="36" t="str">
        <f t="shared" si="19"/>
        <v/>
      </c>
      <c r="T71" s="14" t="str">
        <f t="shared" si="20"/>
        <v/>
      </c>
      <c r="U71" s="176" t="str">
        <f t="shared" si="20"/>
        <v/>
      </c>
      <c r="V71" s="35" t="str">
        <f t="shared" si="21"/>
        <v/>
      </c>
      <c r="W71" s="20" t="str">
        <f t="shared" si="22"/>
        <v/>
      </c>
      <c r="X71" s="813" t="str">
        <f t="shared" si="14"/>
        <v/>
      </c>
      <c r="Y71" s="916" t="str">
        <f t="shared" si="23"/>
        <v/>
      </c>
      <c r="Z71" s="810" t="str">
        <f t="shared" si="24"/>
        <v/>
      </c>
      <c r="AA71" s="282" t="str">
        <f t="shared" si="25"/>
        <v/>
      </c>
      <c r="AB71" s="282" t="str">
        <f t="shared" si="26"/>
        <v/>
      </c>
      <c r="AC71" s="20" t="str">
        <f t="shared" si="27"/>
        <v/>
      </c>
      <c r="AD71" s="186" t="str">
        <f t="shared" si="15"/>
        <v/>
      </c>
      <c r="AE71" s="108"/>
      <c r="AF71" s="215" t="str" cm="1">
        <f t="array" ref="AF71">_xlfn.IFS(O71="","",AD71&gt;O71,"KO : Le montant retenu est supérieur au montant présenté. Merci de revoir la ligne de dépense ou plafonner son montant.",AD71=0,"Attention : montant présenté entièrement écarté",AD71&lt;O71,"Attention : montant présenté partiellement écarté",Y71&lt;15%,"Attention : le taux d'affectation du personnel est inférieur à 15% sur cette ligne. Vérifiez que le total du taux d'affectation du personnel est supérieur ou égal à 15%, sinon le personnel est inéligible",AD71=O71,"OK")</f>
        <v/>
      </c>
      <c r="AG71" s="109" t="str">
        <f t="shared" si="28"/>
        <v/>
      </c>
    </row>
    <row r="72" spans="1:33" s="3" customFormat="1" ht="15.95">
      <c r="A72" s="15">
        <v>63</v>
      </c>
      <c r="B72" s="784"/>
      <c r="C72" s="106"/>
      <c r="D72" s="207"/>
      <c r="E72" s="106"/>
      <c r="F72" s="7"/>
      <c r="G72" s="780"/>
      <c r="H72" s="8"/>
      <c r="I72" s="8"/>
      <c r="J72" s="813" t="str">
        <f t="shared" si="13"/>
        <v/>
      </c>
      <c r="K72" s="913"/>
      <c r="L72" s="22"/>
      <c r="M72" s="22"/>
      <c r="N72" s="7"/>
      <c r="O72" s="186" t="str">
        <f t="shared" si="16"/>
        <v/>
      </c>
      <c r="P72" s="107"/>
      <c r="Q72" s="16" t="str">
        <f t="shared" si="17"/>
        <v/>
      </c>
      <c r="R72" s="36" t="str">
        <f t="shared" si="18"/>
        <v/>
      </c>
      <c r="S72" s="36" t="str">
        <f t="shared" si="19"/>
        <v/>
      </c>
      <c r="T72" s="14" t="str">
        <f t="shared" si="20"/>
        <v/>
      </c>
      <c r="U72" s="176" t="str">
        <f t="shared" si="20"/>
        <v/>
      </c>
      <c r="V72" s="35" t="str">
        <f t="shared" si="21"/>
        <v/>
      </c>
      <c r="W72" s="20" t="str">
        <f t="shared" si="22"/>
        <v/>
      </c>
      <c r="X72" s="813" t="str">
        <f t="shared" si="14"/>
        <v/>
      </c>
      <c r="Y72" s="916" t="str">
        <f t="shared" si="23"/>
        <v/>
      </c>
      <c r="Z72" s="810" t="str">
        <f t="shared" si="24"/>
        <v/>
      </c>
      <c r="AA72" s="282" t="str">
        <f t="shared" si="25"/>
        <v/>
      </c>
      <c r="AB72" s="282" t="str">
        <f t="shared" si="26"/>
        <v/>
      </c>
      <c r="AC72" s="20" t="str">
        <f t="shared" si="27"/>
        <v/>
      </c>
      <c r="AD72" s="186" t="str">
        <f t="shared" si="15"/>
        <v/>
      </c>
      <c r="AE72" s="108"/>
      <c r="AF72" s="215" t="str" cm="1">
        <f t="array" ref="AF72">_xlfn.IFS(O72="","",AD72&gt;O72,"KO : Le montant retenu est supérieur au montant présenté. Merci de revoir la ligne de dépense ou plafonner son montant.",AD72=0,"Attention : montant présenté entièrement écarté",AD72&lt;O72,"Attention : montant présenté partiellement écarté",Y72&lt;15%,"Attention : le taux d'affectation du personnel est inférieur à 15% sur cette ligne. Vérifiez que le total du taux d'affectation du personnel est supérieur ou égal à 15%, sinon le personnel est inéligible",AD72=O72,"OK")</f>
        <v/>
      </c>
      <c r="AG72" s="109" t="str">
        <f t="shared" si="28"/>
        <v/>
      </c>
    </row>
    <row r="73" spans="1:33" s="3" customFormat="1" ht="15.95">
      <c r="A73" s="15">
        <v>64</v>
      </c>
      <c r="B73" s="784"/>
      <c r="C73" s="106"/>
      <c r="D73" s="207"/>
      <c r="E73" s="106"/>
      <c r="F73" s="7"/>
      <c r="G73" s="780"/>
      <c r="H73" s="8"/>
      <c r="I73" s="8"/>
      <c r="J73" s="813" t="str">
        <f t="shared" si="13"/>
        <v/>
      </c>
      <c r="K73" s="913"/>
      <c r="L73" s="22"/>
      <c r="M73" s="22"/>
      <c r="N73" s="7"/>
      <c r="O73" s="186" t="str">
        <f t="shared" si="16"/>
        <v/>
      </c>
      <c r="P73" s="107"/>
      <c r="Q73" s="16" t="str">
        <f t="shared" si="17"/>
        <v/>
      </c>
      <c r="R73" s="36" t="str">
        <f t="shared" si="18"/>
        <v/>
      </c>
      <c r="S73" s="36" t="str">
        <f t="shared" si="19"/>
        <v/>
      </c>
      <c r="T73" s="14" t="str">
        <f t="shared" si="20"/>
        <v/>
      </c>
      <c r="U73" s="176" t="str">
        <f t="shared" si="20"/>
        <v/>
      </c>
      <c r="V73" s="35" t="str">
        <f t="shared" si="21"/>
        <v/>
      </c>
      <c r="W73" s="20" t="str">
        <f t="shared" si="22"/>
        <v/>
      </c>
      <c r="X73" s="813" t="str">
        <f t="shared" si="14"/>
        <v/>
      </c>
      <c r="Y73" s="916" t="str">
        <f t="shared" si="23"/>
        <v/>
      </c>
      <c r="Z73" s="810" t="str">
        <f t="shared" si="24"/>
        <v/>
      </c>
      <c r="AA73" s="282" t="str">
        <f t="shared" si="25"/>
        <v/>
      </c>
      <c r="AB73" s="282" t="str">
        <f t="shared" si="26"/>
        <v/>
      </c>
      <c r="AC73" s="20" t="str">
        <f t="shared" si="27"/>
        <v/>
      </c>
      <c r="AD73" s="186" t="str">
        <f t="shared" si="15"/>
        <v/>
      </c>
      <c r="AE73" s="108"/>
      <c r="AF73" s="215" t="str" cm="1">
        <f t="array" ref="AF73">_xlfn.IFS(O73="","",AD73&gt;O73,"KO : Le montant retenu est supérieur au montant présenté. Merci de revoir la ligne de dépense ou plafonner son montant.",AD73=0,"Attention : montant présenté entièrement écarté",AD73&lt;O73,"Attention : montant présenté partiellement écarté",Y73&lt;15%,"Attention : le taux d'affectation du personnel est inférieur à 15% sur cette ligne. Vérifiez que le total du taux d'affectation du personnel est supérieur ou égal à 15%, sinon le personnel est inéligible",AD73=O73,"OK")</f>
        <v/>
      </c>
      <c r="AG73" s="109" t="str">
        <f t="shared" si="28"/>
        <v/>
      </c>
    </row>
    <row r="74" spans="1:33" s="3" customFormat="1" ht="15.95">
      <c r="A74" s="15">
        <v>65</v>
      </c>
      <c r="B74" s="784"/>
      <c r="C74" s="106"/>
      <c r="D74" s="207"/>
      <c r="E74" s="106"/>
      <c r="F74" s="7"/>
      <c r="G74" s="780"/>
      <c r="H74" s="8"/>
      <c r="I74" s="8"/>
      <c r="J74" s="813" t="str">
        <f t="shared" si="13"/>
        <v/>
      </c>
      <c r="K74" s="913"/>
      <c r="L74" s="22"/>
      <c r="M74" s="22"/>
      <c r="N74" s="7"/>
      <c r="O74" s="186" t="str">
        <f t="shared" ref="O74:O109" si="29">IF(J74="","",IF(K74&lt;15%,0,J74*K74))</f>
        <v/>
      </c>
      <c r="P74" s="107"/>
      <c r="Q74" s="16" t="str">
        <f t="shared" ref="Q74:Q93" si="30">IF(C74="","",C74)</f>
        <v/>
      </c>
      <c r="R74" s="36" t="str">
        <f t="shared" ref="R74:R93" si="31">IF(D74="","",D74)</f>
        <v/>
      </c>
      <c r="S74" s="36" t="str">
        <f t="shared" ref="S74:S93" si="32">IF(E74="","",E74)</f>
        <v/>
      </c>
      <c r="T74" s="14" t="str">
        <f t="shared" ref="T74:U93" si="33">IF(F74="","",F74)</f>
        <v/>
      </c>
      <c r="U74" s="176" t="str">
        <f t="shared" si="33"/>
        <v/>
      </c>
      <c r="V74" s="35" t="str">
        <f t="shared" ref="V74:V93" si="34">IF(H74="","",H74)</f>
        <v/>
      </c>
      <c r="W74" s="20" t="str">
        <f t="shared" ref="W74:W93" si="35">IF(I74="","",I74)</f>
        <v/>
      </c>
      <c r="X74" s="813" t="str">
        <f t="shared" si="14"/>
        <v/>
      </c>
      <c r="Y74" s="916" t="str">
        <f t="shared" ref="Y74:Y109" si="36">IF(K74="","",K74)</f>
        <v/>
      </c>
      <c r="Z74" s="810" t="str">
        <f t="shared" ref="Z74:Z109" si="37">IF(L74="","",L74)</f>
        <v/>
      </c>
      <c r="AA74" s="282" t="str">
        <f t="shared" ref="AA74:AA109" si="38">IF(M74="","",M74)</f>
        <v/>
      </c>
      <c r="AB74" s="282" t="str">
        <f t="shared" ref="AB74:AB109" si="39">IF(N74="","",N74)</f>
        <v/>
      </c>
      <c r="AC74" s="20" t="str">
        <f t="shared" ref="AC74:AC109" si="40">IF(O74="","",O74)</f>
        <v/>
      </c>
      <c r="AD74" s="186" t="str">
        <f t="shared" si="15"/>
        <v/>
      </c>
      <c r="AE74" s="108"/>
      <c r="AF74" s="215" t="str" cm="1">
        <f t="array" ref="AF74">_xlfn.IFS(O74="","",AD74&gt;O74,"KO : Le montant retenu est supérieur au montant présenté. Merci de revoir la ligne de dépense ou plafonner son montant.",AD74=0,"Attention : montant présenté entièrement écarté",AD74&lt;O74,"Attention : montant présenté partiellement écarté",Y74&lt;15%,"Attention : le taux d'affectation du personnel est inférieur à 15% sur cette ligne. Vérifiez que le total du taux d'affectation du personnel est supérieur ou égal à 15%, sinon le personnel est inéligible",AD74=O74,"OK")</f>
        <v/>
      </c>
      <c r="AG74" s="109" t="str">
        <f t="shared" ref="AG74:AG109" si="41">IF(OR(O74="",AD74=""),"",(IFERROR(VALUE(TRIM(SUBSTITUTE(O74,CHAR(160),""))),0))-(IFERROR(VALUE(TRIM(SUBSTITUTE(AD74,CHAR(160),""))),0)))</f>
        <v/>
      </c>
    </row>
    <row r="75" spans="1:33" s="3" customFormat="1" ht="15.95">
      <c r="A75" s="15">
        <v>66</v>
      </c>
      <c r="B75" s="784"/>
      <c r="C75" s="106"/>
      <c r="D75" s="207"/>
      <c r="E75" s="106"/>
      <c r="F75" s="7"/>
      <c r="G75" s="780"/>
      <c r="H75" s="8"/>
      <c r="I75" s="8"/>
      <c r="J75" s="813" t="str">
        <f t="shared" ref="J75:J109" si="42">IF(OR(H75="",I75=""),"",MIN(IFERROR(VALUE(TRIM(SUBSTITUTE(H75,CHAR(160),""))),0)+IFERROR(VALUE(TRIM(SUBSTITUTE(I75,CHAR(160),""))),0),IF(G75="Directeur chercheur",92000,IF(G75="Ingénieur",61000,IF(G75="Technicien",49000,IFERROR(VALUE(TRIM(SUBSTITUTE(H75,CHAR(160),""))),0)+IFERROR(VALUE(TRIM(SUBSTITUTE(I75,CHAR(160),""))),0))))))</f>
        <v/>
      </c>
      <c r="K75" s="913"/>
      <c r="L75" s="22"/>
      <c r="M75" s="22"/>
      <c r="N75" s="7"/>
      <c r="O75" s="186" t="str">
        <f t="shared" si="29"/>
        <v/>
      </c>
      <c r="P75" s="107"/>
      <c r="Q75" s="16" t="str">
        <f t="shared" si="30"/>
        <v/>
      </c>
      <c r="R75" s="36" t="str">
        <f t="shared" si="31"/>
        <v/>
      </c>
      <c r="S75" s="36" t="str">
        <f t="shared" si="32"/>
        <v/>
      </c>
      <c r="T75" s="14" t="str">
        <f t="shared" si="33"/>
        <v/>
      </c>
      <c r="U75" s="176" t="str">
        <f t="shared" si="33"/>
        <v/>
      </c>
      <c r="V75" s="35" t="str">
        <f t="shared" si="34"/>
        <v/>
      </c>
      <c r="W75" s="20" t="str">
        <f t="shared" si="35"/>
        <v/>
      </c>
      <c r="X75" s="813" t="str">
        <f t="shared" ref="X75:X109" si="43">IF(OR(V75="",W75=""),"",MIN(IFERROR(VALUE(TRIM(SUBSTITUTE(V75,CHAR(160),""))),0)+IFERROR(VALUE(TRIM(SUBSTITUTE(W75,CHAR(160),""))),0),IF(U75="Directeur chercheur",92000,IF(U75="Ingénieur",61000,IF(U75="Technicien",49000,IFERROR(VALUE(TRIM(SUBSTITUTE(V75,CHAR(160),""))),0)+IFERROR(VALUE(TRIM(SUBSTITUTE(W75,CHAR(160),""))),0))))))</f>
        <v/>
      </c>
      <c r="Y75" s="916" t="str">
        <f t="shared" si="36"/>
        <v/>
      </c>
      <c r="Z75" s="810" t="str">
        <f t="shared" si="37"/>
        <v/>
      </c>
      <c r="AA75" s="282" t="str">
        <f t="shared" si="38"/>
        <v/>
      </c>
      <c r="AB75" s="282" t="str">
        <f t="shared" si="39"/>
        <v/>
      </c>
      <c r="AC75" s="20" t="str">
        <f t="shared" si="40"/>
        <v/>
      </c>
      <c r="AD75" s="186" t="str">
        <f t="shared" ref="AD75:AD109" si="44">IF(X75="","",X75*Y75)</f>
        <v/>
      </c>
      <c r="AE75" s="108"/>
      <c r="AF75" s="215" t="str" cm="1">
        <f t="array" ref="AF75">_xlfn.IFS(O75="","",AD75&gt;O75,"KO : Le montant retenu est supérieur au montant présenté. Merci de revoir la ligne de dépense ou plafonner son montant.",AD75=0,"Attention : montant présenté entièrement écarté",AD75&lt;O75,"Attention : montant présenté partiellement écarté",Y75&lt;15%,"Attention : le taux d'affectation du personnel est inférieur à 15% sur cette ligne. Vérifiez que le total du taux d'affectation du personnel est supérieur ou égal à 15%, sinon le personnel est inéligible",AD75=O75,"OK")</f>
        <v/>
      </c>
      <c r="AG75" s="109" t="str">
        <f t="shared" si="41"/>
        <v/>
      </c>
    </row>
    <row r="76" spans="1:33" s="3" customFormat="1" ht="15.95">
      <c r="A76" s="15">
        <v>67</v>
      </c>
      <c r="B76" s="784"/>
      <c r="C76" s="106"/>
      <c r="D76" s="207"/>
      <c r="E76" s="106"/>
      <c r="F76" s="7"/>
      <c r="G76" s="780"/>
      <c r="H76" s="8"/>
      <c r="I76" s="8"/>
      <c r="J76" s="813" t="str">
        <f t="shared" si="42"/>
        <v/>
      </c>
      <c r="K76" s="913"/>
      <c r="L76" s="22"/>
      <c r="M76" s="22"/>
      <c r="N76" s="7"/>
      <c r="O76" s="186" t="str">
        <f t="shared" si="29"/>
        <v/>
      </c>
      <c r="P76" s="107"/>
      <c r="Q76" s="16" t="str">
        <f t="shared" si="30"/>
        <v/>
      </c>
      <c r="R76" s="36" t="str">
        <f t="shared" si="31"/>
        <v/>
      </c>
      <c r="S76" s="36" t="str">
        <f t="shared" si="32"/>
        <v/>
      </c>
      <c r="T76" s="14" t="str">
        <f t="shared" si="33"/>
        <v/>
      </c>
      <c r="U76" s="176" t="str">
        <f t="shared" si="33"/>
        <v/>
      </c>
      <c r="V76" s="35" t="str">
        <f t="shared" si="34"/>
        <v/>
      </c>
      <c r="W76" s="20" t="str">
        <f t="shared" si="35"/>
        <v/>
      </c>
      <c r="X76" s="813" t="str">
        <f t="shared" si="43"/>
        <v/>
      </c>
      <c r="Y76" s="916" t="str">
        <f t="shared" si="36"/>
        <v/>
      </c>
      <c r="Z76" s="810" t="str">
        <f t="shared" si="37"/>
        <v/>
      </c>
      <c r="AA76" s="282" t="str">
        <f t="shared" si="38"/>
        <v/>
      </c>
      <c r="AB76" s="282" t="str">
        <f t="shared" si="39"/>
        <v/>
      </c>
      <c r="AC76" s="20" t="str">
        <f t="shared" si="40"/>
        <v/>
      </c>
      <c r="AD76" s="186" t="str">
        <f t="shared" si="44"/>
        <v/>
      </c>
      <c r="AE76" s="108"/>
      <c r="AF76" s="215" t="str" cm="1">
        <f t="array" ref="AF76">_xlfn.IFS(O76="","",AD76&gt;O76,"KO : Le montant retenu est supérieur au montant présenté. Merci de revoir la ligne de dépense ou plafonner son montant.",AD76=0,"Attention : montant présenté entièrement écarté",AD76&lt;O76,"Attention : montant présenté partiellement écarté",Y76&lt;15%,"Attention : le taux d'affectation du personnel est inférieur à 15% sur cette ligne. Vérifiez que le total du taux d'affectation du personnel est supérieur ou égal à 15%, sinon le personnel est inéligible",AD76=O76,"OK")</f>
        <v/>
      </c>
      <c r="AG76" s="109" t="str">
        <f t="shared" si="41"/>
        <v/>
      </c>
    </row>
    <row r="77" spans="1:33" s="3" customFormat="1" ht="15.95">
      <c r="A77" s="15">
        <v>68</v>
      </c>
      <c r="B77" s="784"/>
      <c r="C77" s="106"/>
      <c r="D77" s="207"/>
      <c r="E77" s="106"/>
      <c r="F77" s="7"/>
      <c r="G77" s="780"/>
      <c r="H77" s="8"/>
      <c r="I77" s="8"/>
      <c r="J77" s="813" t="str">
        <f t="shared" si="42"/>
        <v/>
      </c>
      <c r="K77" s="913"/>
      <c r="L77" s="22"/>
      <c r="M77" s="22"/>
      <c r="N77" s="7"/>
      <c r="O77" s="186" t="str">
        <f t="shared" si="29"/>
        <v/>
      </c>
      <c r="P77" s="107"/>
      <c r="Q77" s="16" t="str">
        <f t="shared" si="30"/>
        <v/>
      </c>
      <c r="R77" s="36" t="str">
        <f t="shared" si="31"/>
        <v/>
      </c>
      <c r="S77" s="36" t="str">
        <f t="shared" si="32"/>
        <v/>
      </c>
      <c r="T77" s="14" t="str">
        <f t="shared" si="33"/>
        <v/>
      </c>
      <c r="U77" s="176" t="str">
        <f t="shared" si="33"/>
        <v/>
      </c>
      <c r="V77" s="35" t="str">
        <f t="shared" si="34"/>
        <v/>
      </c>
      <c r="W77" s="20" t="str">
        <f t="shared" si="35"/>
        <v/>
      </c>
      <c r="X77" s="813" t="str">
        <f t="shared" si="43"/>
        <v/>
      </c>
      <c r="Y77" s="916" t="str">
        <f t="shared" si="36"/>
        <v/>
      </c>
      <c r="Z77" s="810" t="str">
        <f t="shared" si="37"/>
        <v/>
      </c>
      <c r="AA77" s="282" t="str">
        <f t="shared" si="38"/>
        <v/>
      </c>
      <c r="AB77" s="282" t="str">
        <f t="shared" si="39"/>
        <v/>
      </c>
      <c r="AC77" s="20" t="str">
        <f t="shared" si="40"/>
        <v/>
      </c>
      <c r="AD77" s="186" t="str">
        <f t="shared" si="44"/>
        <v/>
      </c>
      <c r="AE77" s="108"/>
      <c r="AF77" s="215" t="str" cm="1">
        <f t="array" ref="AF77">_xlfn.IFS(O77="","",AD77&gt;O77,"KO : Le montant retenu est supérieur au montant présenté. Merci de revoir la ligne de dépense ou plafonner son montant.",AD77=0,"Attention : montant présenté entièrement écarté",AD77&lt;O77,"Attention : montant présenté partiellement écarté",Y77&lt;15%,"Attention : le taux d'affectation du personnel est inférieur à 15% sur cette ligne. Vérifiez que le total du taux d'affectation du personnel est supérieur ou égal à 15%, sinon le personnel est inéligible",AD77=O77,"OK")</f>
        <v/>
      </c>
      <c r="AG77" s="109" t="str">
        <f t="shared" si="41"/>
        <v/>
      </c>
    </row>
    <row r="78" spans="1:33" s="3" customFormat="1" ht="15.95">
      <c r="A78" s="15">
        <v>69</v>
      </c>
      <c r="B78" s="784"/>
      <c r="C78" s="106"/>
      <c r="D78" s="207"/>
      <c r="E78" s="106"/>
      <c r="F78" s="7"/>
      <c r="G78" s="780"/>
      <c r="H78" s="8"/>
      <c r="I78" s="8"/>
      <c r="J78" s="813" t="str">
        <f t="shared" si="42"/>
        <v/>
      </c>
      <c r="K78" s="913"/>
      <c r="L78" s="22"/>
      <c r="M78" s="22"/>
      <c r="N78" s="7"/>
      <c r="O78" s="186" t="str">
        <f t="shared" si="29"/>
        <v/>
      </c>
      <c r="P78" s="107"/>
      <c r="Q78" s="16" t="str">
        <f t="shared" si="30"/>
        <v/>
      </c>
      <c r="R78" s="36" t="str">
        <f t="shared" si="31"/>
        <v/>
      </c>
      <c r="S78" s="36" t="str">
        <f t="shared" si="32"/>
        <v/>
      </c>
      <c r="T78" s="14" t="str">
        <f t="shared" si="33"/>
        <v/>
      </c>
      <c r="U78" s="176" t="str">
        <f t="shared" si="33"/>
        <v/>
      </c>
      <c r="V78" s="35" t="str">
        <f t="shared" si="34"/>
        <v/>
      </c>
      <c r="W78" s="20" t="str">
        <f t="shared" si="35"/>
        <v/>
      </c>
      <c r="X78" s="813" t="str">
        <f t="shared" si="43"/>
        <v/>
      </c>
      <c r="Y78" s="916" t="str">
        <f t="shared" si="36"/>
        <v/>
      </c>
      <c r="Z78" s="810" t="str">
        <f t="shared" si="37"/>
        <v/>
      </c>
      <c r="AA78" s="282" t="str">
        <f t="shared" si="38"/>
        <v/>
      </c>
      <c r="AB78" s="282" t="str">
        <f t="shared" si="39"/>
        <v/>
      </c>
      <c r="AC78" s="20" t="str">
        <f t="shared" si="40"/>
        <v/>
      </c>
      <c r="AD78" s="186" t="str">
        <f t="shared" si="44"/>
        <v/>
      </c>
      <c r="AE78" s="108"/>
      <c r="AF78" s="215" t="str" cm="1">
        <f t="array" ref="AF78">_xlfn.IFS(O78="","",AD78&gt;O78,"KO : Le montant retenu est supérieur au montant présenté. Merci de revoir la ligne de dépense ou plafonner son montant.",AD78=0,"Attention : montant présenté entièrement écarté",AD78&lt;O78,"Attention : montant présenté partiellement écarté",Y78&lt;15%,"Attention : le taux d'affectation du personnel est inférieur à 15% sur cette ligne. Vérifiez que le total du taux d'affectation du personnel est supérieur ou égal à 15%, sinon le personnel est inéligible",AD78=O78,"OK")</f>
        <v/>
      </c>
      <c r="AG78" s="109" t="str">
        <f t="shared" si="41"/>
        <v/>
      </c>
    </row>
    <row r="79" spans="1:33" s="3" customFormat="1" ht="15.95">
      <c r="A79" s="15">
        <v>70</v>
      </c>
      <c r="B79" s="784"/>
      <c r="C79" s="106"/>
      <c r="D79" s="207"/>
      <c r="E79" s="106"/>
      <c r="F79" s="7"/>
      <c r="G79" s="780"/>
      <c r="H79" s="8"/>
      <c r="I79" s="8"/>
      <c r="J79" s="813" t="str">
        <f t="shared" si="42"/>
        <v/>
      </c>
      <c r="K79" s="913"/>
      <c r="L79" s="22"/>
      <c r="M79" s="22"/>
      <c r="N79" s="7"/>
      <c r="O79" s="186" t="str">
        <f t="shared" si="29"/>
        <v/>
      </c>
      <c r="P79" s="107"/>
      <c r="Q79" s="16" t="str">
        <f t="shared" si="30"/>
        <v/>
      </c>
      <c r="R79" s="36" t="str">
        <f t="shared" si="31"/>
        <v/>
      </c>
      <c r="S79" s="36" t="str">
        <f t="shared" si="32"/>
        <v/>
      </c>
      <c r="T79" s="14" t="str">
        <f t="shared" si="33"/>
        <v/>
      </c>
      <c r="U79" s="176" t="str">
        <f t="shared" si="33"/>
        <v/>
      </c>
      <c r="V79" s="35" t="str">
        <f t="shared" si="34"/>
        <v/>
      </c>
      <c r="W79" s="20" t="str">
        <f t="shared" si="35"/>
        <v/>
      </c>
      <c r="X79" s="813" t="str">
        <f t="shared" si="43"/>
        <v/>
      </c>
      <c r="Y79" s="916" t="str">
        <f t="shared" si="36"/>
        <v/>
      </c>
      <c r="Z79" s="810" t="str">
        <f t="shared" si="37"/>
        <v/>
      </c>
      <c r="AA79" s="282" t="str">
        <f t="shared" si="38"/>
        <v/>
      </c>
      <c r="AB79" s="282" t="str">
        <f t="shared" si="39"/>
        <v/>
      </c>
      <c r="AC79" s="20" t="str">
        <f t="shared" si="40"/>
        <v/>
      </c>
      <c r="AD79" s="186" t="str">
        <f t="shared" si="44"/>
        <v/>
      </c>
      <c r="AE79" s="108"/>
      <c r="AF79" s="215" t="str" cm="1">
        <f t="array" ref="AF79">_xlfn.IFS(O79="","",AD79&gt;O79,"KO : Le montant retenu est supérieur au montant présenté. Merci de revoir la ligne de dépense ou plafonner son montant.",AD79=0,"Attention : montant présenté entièrement écarté",AD79&lt;O79,"Attention : montant présenté partiellement écarté",Y79&lt;15%,"Attention : le taux d'affectation du personnel est inférieur à 15% sur cette ligne. Vérifiez que le total du taux d'affectation du personnel est supérieur ou égal à 15%, sinon le personnel est inéligible",AD79=O79,"OK")</f>
        <v/>
      </c>
      <c r="AG79" s="109" t="str">
        <f t="shared" si="41"/>
        <v/>
      </c>
    </row>
    <row r="80" spans="1:33" s="3" customFormat="1" ht="15.95">
      <c r="A80" s="15">
        <v>71</v>
      </c>
      <c r="B80" s="784"/>
      <c r="C80" s="106"/>
      <c r="D80" s="207"/>
      <c r="E80" s="106"/>
      <c r="F80" s="7"/>
      <c r="G80" s="780"/>
      <c r="H80" s="8"/>
      <c r="I80" s="8"/>
      <c r="J80" s="813" t="str">
        <f t="shared" si="42"/>
        <v/>
      </c>
      <c r="K80" s="913"/>
      <c r="L80" s="22"/>
      <c r="M80" s="22"/>
      <c r="N80" s="7"/>
      <c r="O80" s="186" t="str">
        <f t="shared" si="29"/>
        <v/>
      </c>
      <c r="P80" s="107"/>
      <c r="Q80" s="16" t="str">
        <f t="shared" si="30"/>
        <v/>
      </c>
      <c r="R80" s="36" t="str">
        <f t="shared" si="31"/>
        <v/>
      </c>
      <c r="S80" s="36" t="str">
        <f t="shared" si="32"/>
        <v/>
      </c>
      <c r="T80" s="14" t="str">
        <f t="shared" si="33"/>
        <v/>
      </c>
      <c r="U80" s="176" t="str">
        <f t="shared" si="33"/>
        <v/>
      </c>
      <c r="V80" s="35" t="str">
        <f t="shared" si="34"/>
        <v/>
      </c>
      <c r="W80" s="20" t="str">
        <f t="shared" si="35"/>
        <v/>
      </c>
      <c r="X80" s="813" t="str">
        <f t="shared" si="43"/>
        <v/>
      </c>
      <c r="Y80" s="916" t="str">
        <f t="shared" si="36"/>
        <v/>
      </c>
      <c r="Z80" s="810" t="str">
        <f t="shared" si="37"/>
        <v/>
      </c>
      <c r="AA80" s="282" t="str">
        <f t="shared" si="38"/>
        <v/>
      </c>
      <c r="AB80" s="282" t="str">
        <f t="shared" si="39"/>
        <v/>
      </c>
      <c r="AC80" s="20" t="str">
        <f t="shared" si="40"/>
        <v/>
      </c>
      <c r="AD80" s="186" t="str">
        <f t="shared" si="44"/>
        <v/>
      </c>
      <c r="AE80" s="108"/>
      <c r="AF80" s="215" t="str" cm="1">
        <f t="array" ref="AF80">_xlfn.IFS(O80="","",AD80&gt;O80,"KO : Le montant retenu est supérieur au montant présenté. Merci de revoir la ligne de dépense ou plafonner son montant.",AD80=0,"Attention : montant présenté entièrement écarté",AD80&lt;O80,"Attention : montant présenté partiellement écarté",Y80&lt;15%,"Attention : le taux d'affectation du personnel est inférieur à 15% sur cette ligne. Vérifiez que le total du taux d'affectation du personnel est supérieur ou égal à 15%, sinon le personnel est inéligible",AD80=O80,"OK")</f>
        <v/>
      </c>
      <c r="AG80" s="109" t="str">
        <f t="shared" si="41"/>
        <v/>
      </c>
    </row>
    <row r="81" spans="1:33" s="3" customFormat="1" ht="15.95">
      <c r="A81" s="15">
        <v>72</v>
      </c>
      <c r="B81" s="784"/>
      <c r="C81" s="106"/>
      <c r="D81" s="207"/>
      <c r="E81" s="106"/>
      <c r="F81" s="7"/>
      <c r="G81" s="780"/>
      <c r="H81" s="8"/>
      <c r="I81" s="8"/>
      <c r="J81" s="813" t="str">
        <f t="shared" si="42"/>
        <v/>
      </c>
      <c r="K81" s="913"/>
      <c r="L81" s="22"/>
      <c r="M81" s="22"/>
      <c r="N81" s="7"/>
      <c r="O81" s="186" t="str">
        <f t="shared" si="29"/>
        <v/>
      </c>
      <c r="P81" s="107"/>
      <c r="Q81" s="16" t="str">
        <f t="shared" si="30"/>
        <v/>
      </c>
      <c r="R81" s="36" t="str">
        <f t="shared" si="31"/>
        <v/>
      </c>
      <c r="S81" s="36" t="str">
        <f t="shared" si="32"/>
        <v/>
      </c>
      <c r="T81" s="14" t="str">
        <f t="shared" si="33"/>
        <v/>
      </c>
      <c r="U81" s="176" t="str">
        <f t="shared" si="33"/>
        <v/>
      </c>
      <c r="V81" s="35" t="str">
        <f t="shared" si="34"/>
        <v/>
      </c>
      <c r="W81" s="20" t="str">
        <f t="shared" si="35"/>
        <v/>
      </c>
      <c r="X81" s="813" t="str">
        <f t="shared" si="43"/>
        <v/>
      </c>
      <c r="Y81" s="916" t="str">
        <f t="shared" si="36"/>
        <v/>
      </c>
      <c r="Z81" s="810" t="str">
        <f t="shared" si="37"/>
        <v/>
      </c>
      <c r="AA81" s="282" t="str">
        <f t="shared" si="38"/>
        <v/>
      </c>
      <c r="AB81" s="282" t="str">
        <f t="shared" si="39"/>
        <v/>
      </c>
      <c r="AC81" s="20" t="str">
        <f t="shared" si="40"/>
        <v/>
      </c>
      <c r="AD81" s="186" t="str">
        <f t="shared" si="44"/>
        <v/>
      </c>
      <c r="AE81" s="108"/>
      <c r="AF81" s="215" t="str" cm="1">
        <f t="array" ref="AF81">_xlfn.IFS(O81="","",AD81&gt;O81,"KO : Le montant retenu est supérieur au montant présenté. Merci de revoir la ligne de dépense ou plafonner son montant.",AD81=0,"Attention : montant présenté entièrement écarté",AD81&lt;O81,"Attention : montant présenté partiellement écarté",Y81&lt;15%,"Attention : le taux d'affectation du personnel est inférieur à 15% sur cette ligne. Vérifiez que le total du taux d'affectation du personnel est supérieur ou égal à 15%, sinon le personnel est inéligible",AD81=O81,"OK")</f>
        <v/>
      </c>
      <c r="AG81" s="109" t="str">
        <f t="shared" si="41"/>
        <v/>
      </c>
    </row>
    <row r="82" spans="1:33" s="3" customFormat="1" ht="15.95">
      <c r="A82" s="15">
        <v>73</v>
      </c>
      <c r="B82" s="784"/>
      <c r="C82" s="106"/>
      <c r="D82" s="207"/>
      <c r="E82" s="106"/>
      <c r="F82" s="7"/>
      <c r="G82" s="780"/>
      <c r="H82" s="8"/>
      <c r="I82" s="8"/>
      <c r="J82" s="813" t="str">
        <f t="shared" si="42"/>
        <v/>
      </c>
      <c r="K82" s="913"/>
      <c r="L82" s="22"/>
      <c r="M82" s="22"/>
      <c r="N82" s="7"/>
      <c r="O82" s="186" t="str">
        <f t="shared" si="29"/>
        <v/>
      </c>
      <c r="P82" s="107"/>
      <c r="Q82" s="16" t="str">
        <f t="shared" si="30"/>
        <v/>
      </c>
      <c r="R82" s="36" t="str">
        <f t="shared" si="31"/>
        <v/>
      </c>
      <c r="S82" s="36" t="str">
        <f t="shared" si="32"/>
        <v/>
      </c>
      <c r="T82" s="14" t="str">
        <f t="shared" si="33"/>
        <v/>
      </c>
      <c r="U82" s="176" t="str">
        <f t="shared" si="33"/>
        <v/>
      </c>
      <c r="V82" s="35" t="str">
        <f t="shared" si="34"/>
        <v/>
      </c>
      <c r="W82" s="20" t="str">
        <f t="shared" si="35"/>
        <v/>
      </c>
      <c r="X82" s="813" t="str">
        <f t="shared" si="43"/>
        <v/>
      </c>
      <c r="Y82" s="916" t="str">
        <f t="shared" si="36"/>
        <v/>
      </c>
      <c r="Z82" s="810" t="str">
        <f t="shared" si="37"/>
        <v/>
      </c>
      <c r="AA82" s="282" t="str">
        <f t="shared" si="38"/>
        <v/>
      </c>
      <c r="AB82" s="282" t="str">
        <f t="shared" si="39"/>
        <v/>
      </c>
      <c r="AC82" s="20" t="str">
        <f t="shared" si="40"/>
        <v/>
      </c>
      <c r="AD82" s="186" t="str">
        <f t="shared" si="44"/>
        <v/>
      </c>
      <c r="AE82" s="108"/>
      <c r="AF82" s="215" t="str" cm="1">
        <f t="array" ref="AF82">_xlfn.IFS(O82="","",AD82&gt;O82,"KO : Le montant retenu est supérieur au montant présenté. Merci de revoir la ligne de dépense ou plafonner son montant.",AD82=0,"Attention : montant présenté entièrement écarté",AD82&lt;O82,"Attention : montant présenté partiellement écarté",Y82&lt;15%,"Attention : le taux d'affectation du personnel est inférieur à 15% sur cette ligne. Vérifiez que le total du taux d'affectation du personnel est supérieur ou égal à 15%, sinon le personnel est inéligible",AD82=O82,"OK")</f>
        <v/>
      </c>
      <c r="AG82" s="109" t="str">
        <f t="shared" si="41"/>
        <v/>
      </c>
    </row>
    <row r="83" spans="1:33" s="3" customFormat="1" ht="15.95">
      <c r="A83" s="15">
        <v>74</v>
      </c>
      <c r="B83" s="784"/>
      <c r="C83" s="106"/>
      <c r="D83" s="207"/>
      <c r="E83" s="106"/>
      <c r="F83" s="7"/>
      <c r="G83" s="780"/>
      <c r="H83" s="8"/>
      <c r="I83" s="8"/>
      <c r="J83" s="813" t="str">
        <f t="shared" si="42"/>
        <v/>
      </c>
      <c r="K83" s="913"/>
      <c r="L83" s="22"/>
      <c r="M83" s="22"/>
      <c r="N83" s="7"/>
      <c r="O83" s="186" t="str">
        <f t="shared" si="29"/>
        <v/>
      </c>
      <c r="P83" s="107"/>
      <c r="Q83" s="16" t="str">
        <f t="shared" si="30"/>
        <v/>
      </c>
      <c r="R83" s="36" t="str">
        <f t="shared" si="31"/>
        <v/>
      </c>
      <c r="S83" s="36" t="str">
        <f t="shared" si="32"/>
        <v/>
      </c>
      <c r="T83" s="14" t="str">
        <f t="shared" si="33"/>
        <v/>
      </c>
      <c r="U83" s="176" t="str">
        <f t="shared" si="33"/>
        <v/>
      </c>
      <c r="V83" s="35" t="str">
        <f t="shared" si="34"/>
        <v/>
      </c>
      <c r="W83" s="20" t="str">
        <f t="shared" si="35"/>
        <v/>
      </c>
      <c r="X83" s="813" t="str">
        <f t="shared" si="43"/>
        <v/>
      </c>
      <c r="Y83" s="916" t="str">
        <f t="shared" si="36"/>
        <v/>
      </c>
      <c r="Z83" s="810" t="str">
        <f t="shared" si="37"/>
        <v/>
      </c>
      <c r="AA83" s="282" t="str">
        <f t="shared" si="38"/>
        <v/>
      </c>
      <c r="AB83" s="282" t="str">
        <f t="shared" si="39"/>
        <v/>
      </c>
      <c r="AC83" s="20" t="str">
        <f t="shared" si="40"/>
        <v/>
      </c>
      <c r="AD83" s="186" t="str">
        <f t="shared" si="44"/>
        <v/>
      </c>
      <c r="AE83" s="108"/>
      <c r="AF83" s="215" t="str" cm="1">
        <f t="array" ref="AF83">_xlfn.IFS(O83="","",AD83&gt;O83,"KO : Le montant retenu est supérieur au montant présenté. Merci de revoir la ligne de dépense ou plafonner son montant.",AD83=0,"Attention : montant présenté entièrement écarté",AD83&lt;O83,"Attention : montant présenté partiellement écarté",Y83&lt;15%,"Attention : le taux d'affectation du personnel est inférieur à 15% sur cette ligne. Vérifiez que le total du taux d'affectation du personnel est supérieur ou égal à 15%, sinon le personnel est inéligible",AD83=O83,"OK")</f>
        <v/>
      </c>
      <c r="AG83" s="109" t="str">
        <f t="shared" si="41"/>
        <v/>
      </c>
    </row>
    <row r="84" spans="1:33" s="3" customFormat="1" ht="15.95">
      <c r="A84" s="15">
        <v>75</v>
      </c>
      <c r="B84" s="784"/>
      <c r="C84" s="106"/>
      <c r="D84" s="207"/>
      <c r="E84" s="106"/>
      <c r="F84" s="7"/>
      <c r="G84" s="780"/>
      <c r="H84" s="8"/>
      <c r="I84" s="8"/>
      <c r="J84" s="813" t="str">
        <f t="shared" si="42"/>
        <v/>
      </c>
      <c r="K84" s="913"/>
      <c r="L84" s="22"/>
      <c r="M84" s="22"/>
      <c r="N84" s="7"/>
      <c r="O84" s="186" t="str">
        <f t="shared" si="29"/>
        <v/>
      </c>
      <c r="P84" s="107"/>
      <c r="Q84" s="16" t="str">
        <f t="shared" si="30"/>
        <v/>
      </c>
      <c r="R84" s="36" t="str">
        <f t="shared" si="31"/>
        <v/>
      </c>
      <c r="S84" s="36" t="str">
        <f t="shared" si="32"/>
        <v/>
      </c>
      <c r="T84" s="14" t="str">
        <f t="shared" si="33"/>
        <v/>
      </c>
      <c r="U84" s="176" t="str">
        <f t="shared" si="33"/>
        <v/>
      </c>
      <c r="V84" s="35" t="str">
        <f t="shared" si="34"/>
        <v/>
      </c>
      <c r="W84" s="20" t="str">
        <f t="shared" si="35"/>
        <v/>
      </c>
      <c r="X84" s="813" t="str">
        <f t="shared" si="43"/>
        <v/>
      </c>
      <c r="Y84" s="916" t="str">
        <f t="shared" si="36"/>
        <v/>
      </c>
      <c r="Z84" s="810" t="str">
        <f t="shared" si="37"/>
        <v/>
      </c>
      <c r="AA84" s="282" t="str">
        <f t="shared" si="38"/>
        <v/>
      </c>
      <c r="AB84" s="282" t="str">
        <f t="shared" si="39"/>
        <v/>
      </c>
      <c r="AC84" s="20" t="str">
        <f t="shared" si="40"/>
        <v/>
      </c>
      <c r="AD84" s="186" t="str">
        <f t="shared" si="44"/>
        <v/>
      </c>
      <c r="AE84" s="108"/>
      <c r="AF84" s="215" t="str" cm="1">
        <f t="array" ref="AF84">_xlfn.IFS(O84="","",AD84&gt;O84,"KO : Le montant retenu est supérieur au montant présenté. Merci de revoir la ligne de dépense ou plafonner son montant.",AD84=0,"Attention : montant présenté entièrement écarté",AD84&lt;O84,"Attention : montant présenté partiellement écarté",Y84&lt;15%,"Attention : le taux d'affectation du personnel est inférieur à 15% sur cette ligne. Vérifiez que le total du taux d'affectation du personnel est supérieur ou égal à 15%, sinon le personnel est inéligible",AD84=O84,"OK")</f>
        <v/>
      </c>
      <c r="AG84" s="109" t="str">
        <f t="shared" si="41"/>
        <v/>
      </c>
    </row>
    <row r="85" spans="1:33" s="3" customFormat="1" ht="15.95">
      <c r="A85" s="15">
        <v>76</v>
      </c>
      <c r="B85" s="784"/>
      <c r="C85" s="106"/>
      <c r="D85" s="207"/>
      <c r="E85" s="106"/>
      <c r="F85" s="7"/>
      <c r="G85" s="780"/>
      <c r="H85" s="8"/>
      <c r="I85" s="8"/>
      <c r="J85" s="813" t="str">
        <f t="shared" si="42"/>
        <v/>
      </c>
      <c r="K85" s="913"/>
      <c r="L85" s="22"/>
      <c r="M85" s="22"/>
      <c r="N85" s="7"/>
      <c r="O85" s="186" t="str">
        <f t="shared" si="29"/>
        <v/>
      </c>
      <c r="P85" s="107"/>
      <c r="Q85" s="16" t="str">
        <f t="shared" si="30"/>
        <v/>
      </c>
      <c r="R85" s="36" t="str">
        <f t="shared" si="31"/>
        <v/>
      </c>
      <c r="S85" s="36" t="str">
        <f t="shared" si="32"/>
        <v/>
      </c>
      <c r="T85" s="14" t="str">
        <f t="shared" si="33"/>
        <v/>
      </c>
      <c r="U85" s="176" t="str">
        <f t="shared" si="33"/>
        <v/>
      </c>
      <c r="V85" s="35" t="str">
        <f t="shared" si="34"/>
        <v/>
      </c>
      <c r="W85" s="20" t="str">
        <f t="shared" si="35"/>
        <v/>
      </c>
      <c r="X85" s="813" t="str">
        <f t="shared" si="43"/>
        <v/>
      </c>
      <c r="Y85" s="916" t="str">
        <f t="shared" si="36"/>
        <v/>
      </c>
      <c r="Z85" s="810" t="str">
        <f t="shared" si="37"/>
        <v/>
      </c>
      <c r="AA85" s="282" t="str">
        <f t="shared" si="38"/>
        <v/>
      </c>
      <c r="AB85" s="282" t="str">
        <f t="shared" si="39"/>
        <v/>
      </c>
      <c r="AC85" s="20" t="str">
        <f t="shared" si="40"/>
        <v/>
      </c>
      <c r="AD85" s="186" t="str">
        <f t="shared" si="44"/>
        <v/>
      </c>
      <c r="AE85" s="108"/>
      <c r="AF85" s="215" t="str" cm="1">
        <f t="array" ref="AF85">_xlfn.IFS(O85="","",AD85&gt;O85,"KO : Le montant retenu est supérieur au montant présenté. Merci de revoir la ligne de dépense ou plafonner son montant.",AD85=0,"Attention : montant présenté entièrement écarté",AD85&lt;O85,"Attention : montant présenté partiellement écarté",Y85&lt;15%,"Attention : le taux d'affectation du personnel est inférieur à 15% sur cette ligne. Vérifiez que le total du taux d'affectation du personnel est supérieur ou égal à 15%, sinon le personnel est inéligible",AD85=O85,"OK")</f>
        <v/>
      </c>
      <c r="AG85" s="109" t="str">
        <f t="shared" si="41"/>
        <v/>
      </c>
    </row>
    <row r="86" spans="1:33" s="3" customFormat="1" ht="15.95">
      <c r="A86" s="15">
        <v>77</v>
      </c>
      <c r="B86" s="784"/>
      <c r="C86" s="106"/>
      <c r="D86" s="207"/>
      <c r="E86" s="106"/>
      <c r="F86" s="7"/>
      <c r="G86" s="780"/>
      <c r="H86" s="8"/>
      <c r="I86" s="8"/>
      <c r="J86" s="813" t="str">
        <f t="shared" si="42"/>
        <v/>
      </c>
      <c r="K86" s="913"/>
      <c r="L86" s="22"/>
      <c r="M86" s="22"/>
      <c r="N86" s="7"/>
      <c r="O86" s="186" t="str">
        <f t="shared" si="29"/>
        <v/>
      </c>
      <c r="P86" s="107"/>
      <c r="Q86" s="16" t="str">
        <f t="shared" si="30"/>
        <v/>
      </c>
      <c r="R86" s="36" t="str">
        <f t="shared" si="31"/>
        <v/>
      </c>
      <c r="S86" s="36" t="str">
        <f t="shared" si="32"/>
        <v/>
      </c>
      <c r="T86" s="14" t="str">
        <f t="shared" si="33"/>
        <v/>
      </c>
      <c r="U86" s="176" t="str">
        <f t="shared" si="33"/>
        <v/>
      </c>
      <c r="V86" s="35" t="str">
        <f t="shared" si="34"/>
        <v/>
      </c>
      <c r="W86" s="20" t="str">
        <f t="shared" si="35"/>
        <v/>
      </c>
      <c r="X86" s="813" t="str">
        <f t="shared" si="43"/>
        <v/>
      </c>
      <c r="Y86" s="916" t="str">
        <f t="shared" si="36"/>
        <v/>
      </c>
      <c r="Z86" s="810" t="str">
        <f t="shared" si="37"/>
        <v/>
      </c>
      <c r="AA86" s="282" t="str">
        <f t="shared" si="38"/>
        <v/>
      </c>
      <c r="AB86" s="282" t="str">
        <f t="shared" si="39"/>
        <v/>
      </c>
      <c r="AC86" s="20" t="str">
        <f t="shared" si="40"/>
        <v/>
      </c>
      <c r="AD86" s="186" t="str">
        <f t="shared" si="44"/>
        <v/>
      </c>
      <c r="AE86" s="108"/>
      <c r="AF86" s="215" t="str" cm="1">
        <f t="array" ref="AF86">_xlfn.IFS(O86="","",AD86&gt;O86,"KO : Le montant retenu est supérieur au montant présenté. Merci de revoir la ligne de dépense ou plafonner son montant.",AD86=0,"Attention : montant présenté entièrement écarté",AD86&lt;O86,"Attention : montant présenté partiellement écarté",Y86&lt;15%,"Attention : le taux d'affectation du personnel est inférieur à 15% sur cette ligne. Vérifiez que le total du taux d'affectation du personnel est supérieur ou égal à 15%, sinon le personnel est inéligible",AD86=O86,"OK")</f>
        <v/>
      </c>
      <c r="AG86" s="109" t="str">
        <f t="shared" si="41"/>
        <v/>
      </c>
    </row>
    <row r="87" spans="1:33" s="3" customFormat="1" ht="15.95">
      <c r="A87" s="15">
        <v>78</v>
      </c>
      <c r="B87" s="784"/>
      <c r="C87" s="106"/>
      <c r="D87" s="207"/>
      <c r="E87" s="106"/>
      <c r="F87" s="7"/>
      <c r="G87" s="780"/>
      <c r="H87" s="8"/>
      <c r="I87" s="8"/>
      <c r="J87" s="813" t="str">
        <f t="shared" si="42"/>
        <v/>
      </c>
      <c r="K87" s="913"/>
      <c r="L87" s="22"/>
      <c r="M87" s="22"/>
      <c r="N87" s="7"/>
      <c r="O87" s="186" t="str">
        <f t="shared" si="29"/>
        <v/>
      </c>
      <c r="P87" s="107"/>
      <c r="Q87" s="16" t="str">
        <f t="shared" si="30"/>
        <v/>
      </c>
      <c r="R87" s="36" t="str">
        <f t="shared" si="31"/>
        <v/>
      </c>
      <c r="S87" s="36" t="str">
        <f t="shared" si="32"/>
        <v/>
      </c>
      <c r="T87" s="14" t="str">
        <f t="shared" si="33"/>
        <v/>
      </c>
      <c r="U87" s="176" t="str">
        <f t="shared" si="33"/>
        <v/>
      </c>
      <c r="V87" s="35" t="str">
        <f t="shared" si="34"/>
        <v/>
      </c>
      <c r="W87" s="20" t="str">
        <f t="shared" si="35"/>
        <v/>
      </c>
      <c r="X87" s="813" t="str">
        <f t="shared" si="43"/>
        <v/>
      </c>
      <c r="Y87" s="916" t="str">
        <f t="shared" si="36"/>
        <v/>
      </c>
      <c r="Z87" s="810" t="str">
        <f t="shared" si="37"/>
        <v/>
      </c>
      <c r="AA87" s="282" t="str">
        <f t="shared" si="38"/>
        <v/>
      </c>
      <c r="AB87" s="282" t="str">
        <f t="shared" si="39"/>
        <v/>
      </c>
      <c r="AC87" s="20" t="str">
        <f t="shared" si="40"/>
        <v/>
      </c>
      <c r="AD87" s="186" t="str">
        <f t="shared" si="44"/>
        <v/>
      </c>
      <c r="AE87" s="108"/>
      <c r="AF87" s="215" t="str" cm="1">
        <f t="array" ref="AF87">_xlfn.IFS(O87="","",AD87&gt;O87,"KO : Le montant retenu est supérieur au montant présenté. Merci de revoir la ligne de dépense ou plafonner son montant.",AD87=0,"Attention : montant présenté entièrement écarté",AD87&lt;O87,"Attention : montant présenté partiellement écarté",Y87&lt;15%,"Attention : le taux d'affectation du personnel est inférieur à 15% sur cette ligne. Vérifiez que le total du taux d'affectation du personnel est supérieur ou égal à 15%, sinon le personnel est inéligible",AD87=O87,"OK")</f>
        <v/>
      </c>
      <c r="AG87" s="109" t="str">
        <f t="shared" si="41"/>
        <v/>
      </c>
    </row>
    <row r="88" spans="1:33" s="3" customFormat="1" ht="15.95">
      <c r="A88" s="15">
        <v>79</v>
      </c>
      <c r="B88" s="784"/>
      <c r="C88" s="106"/>
      <c r="D88" s="207"/>
      <c r="E88" s="106"/>
      <c r="F88" s="7"/>
      <c r="G88" s="780"/>
      <c r="H88" s="8"/>
      <c r="I88" s="8"/>
      <c r="J88" s="813" t="str">
        <f t="shared" si="42"/>
        <v/>
      </c>
      <c r="K88" s="913"/>
      <c r="L88" s="22"/>
      <c r="M88" s="22"/>
      <c r="N88" s="7"/>
      <c r="O88" s="186" t="str">
        <f t="shared" si="29"/>
        <v/>
      </c>
      <c r="P88" s="107"/>
      <c r="Q88" s="16" t="str">
        <f t="shared" si="30"/>
        <v/>
      </c>
      <c r="R88" s="36" t="str">
        <f t="shared" si="31"/>
        <v/>
      </c>
      <c r="S88" s="36" t="str">
        <f t="shared" si="32"/>
        <v/>
      </c>
      <c r="T88" s="14" t="str">
        <f t="shared" si="33"/>
        <v/>
      </c>
      <c r="U88" s="176" t="str">
        <f t="shared" si="33"/>
        <v/>
      </c>
      <c r="V88" s="35" t="str">
        <f t="shared" si="34"/>
        <v/>
      </c>
      <c r="W88" s="20" t="str">
        <f t="shared" si="35"/>
        <v/>
      </c>
      <c r="X88" s="813" t="str">
        <f t="shared" si="43"/>
        <v/>
      </c>
      <c r="Y88" s="916" t="str">
        <f t="shared" si="36"/>
        <v/>
      </c>
      <c r="Z88" s="810" t="str">
        <f t="shared" si="37"/>
        <v/>
      </c>
      <c r="AA88" s="282" t="str">
        <f t="shared" si="38"/>
        <v/>
      </c>
      <c r="AB88" s="282" t="str">
        <f t="shared" si="39"/>
        <v/>
      </c>
      <c r="AC88" s="20" t="str">
        <f t="shared" si="40"/>
        <v/>
      </c>
      <c r="AD88" s="186" t="str">
        <f t="shared" si="44"/>
        <v/>
      </c>
      <c r="AE88" s="108"/>
      <c r="AF88" s="215" t="str" cm="1">
        <f t="array" ref="AF88">_xlfn.IFS(O88="","",AD88&gt;O88,"KO : Le montant retenu est supérieur au montant présenté. Merci de revoir la ligne de dépense ou plafonner son montant.",AD88=0,"Attention : montant présenté entièrement écarté",AD88&lt;O88,"Attention : montant présenté partiellement écarté",Y88&lt;15%,"Attention : le taux d'affectation du personnel est inférieur à 15% sur cette ligne. Vérifiez que le total du taux d'affectation du personnel est supérieur ou égal à 15%, sinon le personnel est inéligible",AD88=O88,"OK")</f>
        <v/>
      </c>
      <c r="AG88" s="109" t="str">
        <f t="shared" si="41"/>
        <v/>
      </c>
    </row>
    <row r="89" spans="1:33" s="3" customFormat="1" ht="15.95">
      <c r="A89" s="15">
        <v>80</v>
      </c>
      <c r="B89" s="784"/>
      <c r="C89" s="106"/>
      <c r="D89" s="207"/>
      <c r="E89" s="106"/>
      <c r="F89" s="7"/>
      <c r="G89" s="780"/>
      <c r="H89" s="8"/>
      <c r="I89" s="8"/>
      <c r="J89" s="813" t="str">
        <f t="shared" si="42"/>
        <v/>
      </c>
      <c r="K89" s="913"/>
      <c r="L89" s="22"/>
      <c r="M89" s="22"/>
      <c r="N89" s="7"/>
      <c r="O89" s="186" t="str">
        <f t="shared" si="29"/>
        <v/>
      </c>
      <c r="P89" s="107"/>
      <c r="Q89" s="16" t="str">
        <f t="shared" si="30"/>
        <v/>
      </c>
      <c r="R89" s="36" t="str">
        <f t="shared" si="31"/>
        <v/>
      </c>
      <c r="S89" s="36" t="str">
        <f t="shared" si="32"/>
        <v/>
      </c>
      <c r="T89" s="14" t="str">
        <f t="shared" si="33"/>
        <v/>
      </c>
      <c r="U89" s="176" t="str">
        <f t="shared" si="33"/>
        <v/>
      </c>
      <c r="V89" s="35" t="str">
        <f t="shared" si="34"/>
        <v/>
      </c>
      <c r="W89" s="20" t="str">
        <f t="shared" si="35"/>
        <v/>
      </c>
      <c r="X89" s="813" t="str">
        <f t="shared" si="43"/>
        <v/>
      </c>
      <c r="Y89" s="916" t="str">
        <f t="shared" si="36"/>
        <v/>
      </c>
      <c r="Z89" s="810" t="str">
        <f t="shared" si="37"/>
        <v/>
      </c>
      <c r="AA89" s="282" t="str">
        <f t="shared" si="38"/>
        <v/>
      </c>
      <c r="AB89" s="282" t="str">
        <f t="shared" si="39"/>
        <v/>
      </c>
      <c r="AC89" s="20" t="str">
        <f t="shared" si="40"/>
        <v/>
      </c>
      <c r="AD89" s="186" t="str">
        <f t="shared" si="44"/>
        <v/>
      </c>
      <c r="AE89" s="108"/>
      <c r="AF89" s="215" t="str" cm="1">
        <f t="array" ref="AF89">_xlfn.IFS(O89="","",AD89&gt;O89,"KO : Le montant retenu est supérieur au montant présenté. Merci de revoir la ligne de dépense ou plafonner son montant.",AD89=0,"Attention : montant présenté entièrement écarté",AD89&lt;O89,"Attention : montant présenté partiellement écarté",Y89&lt;15%,"Attention : le taux d'affectation du personnel est inférieur à 15% sur cette ligne. Vérifiez que le total du taux d'affectation du personnel est supérieur ou égal à 15%, sinon le personnel est inéligible",AD89=O89,"OK")</f>
        <v/>
      </c>
      <c r="AG89" s="109" t="str">
        <f t="shared" si="41"/>
        <v/>
      </c>
    </row>
    <row r="90" spans="1:33" s="3" customFormat="1" ht="15.95">
      <c r="A90" s="15">
        <v>81</v>
      </c>
      <c r="B90" s="784"/>
      <c r="C90" s="106"/>
      <c r="D90" s="207"/>
      <c r="E90" s="106"/>
      <c r="F90" s="7"/>
      <c r="G90" s="780"/>
      <c r="H90" s="8"/>
      <c r="I90" s="8"/>
      <c r="J90" s="813" t="str">
        <f t="shared" si="42"/>
        <v/>
      </c>
      <c r="K90" s="913"/>
      <c r="L90" s="22"/>
      <c r="M90" s="22"/>
      <c r="N90" s="7"/>
      <c r="O90" s="186" t="str">
        <f t="shared" si="29"/>
        <v/>
      </c>
      <c r="P90" s="107"/>
      <c r="Q90" s="16" t="str">
        <f t="shared" si="30"/>
        <v/>
      </c>
      <c r="R90" s="36" t="str">
        <f t="shared" si="31"/>
        <v/>
      </c>
      <c r="S90" s="36" t="str">
        <f t="shared" si="32"/>
        <v/>
      </c>
      <c r="T90" s="14" t="str">
        <f t="shared" si="33"/>
        <v/>
      </c>
      <c r="U90" s="176" t="str">
        <f t="shared" si="33"/>
        <v/>
      </c>
      <c r="V90" s="35" t="str">
        <f t="shared" si="34"/>
        <v/>
      </c>
      <c r="W90" s="20" t="str">
        <f t="shared" si="35"/>
        <v/>
      </c>
      <c r="X90" s="813" t="str">
        <f t="shared" si="43"/>
        <v/>
      </c>
      <c r="Y90" s="916" t="str">
        <f t="shared" si="36"/>
        <v/>
      </c>
      <c r="Z90" s="810" t="str">
        <f t="shared" si="37"/>
        <v/>
      </c>
      <c r="AA90" s="282" t="str">
        <f t="shared" si="38"/>
        <v/>
      </c>
      <c r="AB90" s="282" t="str">
        <f t="shared" si="39"/>
        <v/>
      </c>
      <c r="AC90" s="20" t="str">
        <f t="shared" si="40"/>
        <v/>
      </c>
      <c r="AD90" s="186" t="str">
        <f t="shared" si="44"/>
        <v/>
      </c>
      <c r="AE90" s="108"/>
      <c r="AF90" s="215" t="str" cm="1">
        <f t="array" ref="AF90">_xlfn.IFS(O90="","",AD90&gt;O90,"KO : Le montant retenu est supérieur au montant présenté. Merci de revoir la ligne de dépense ou plafonner son montant.",AD90=0,"Attention : montant présenté entièrement écarté",AD90&lt;O90,"Attention : montant présenté partiellement écarté",Y90&lt;15%,"Attention : le taux d'affectation du personnel est inférieur à 15% sur cette ligne. Vérifiez que le total du taux d'affectation du personnel est supérieur ou égal à 15%, sinon le personnel est inéligible",AD90=O90,"OK")</f>
        <v/>
      </c>
      <c r="AG90" s="109" t="str">
        <f t="shared" si="41"/>
        <v/>
      </c>
    </row>
    <row r="91" spans="1:33" s="3" customFormat="1" ht="15.95">
      <c r="A91" s="15">
        <v>82</v>
      </c>
      <c r="B91" s="784"/>
      <c r="C91" s="106"/>
      <c r="D91" s="207"/>
      <c r="E91" s="106"/>
      <c r="F91" s="7"/>
      <c r="G91" s="780"/>
      <c r="H91" s="8"/>
      <c r="I91" s="8"/>
      <c r="J91" s="813" t="str">
        <f t="shared" si="42"/>
        <v/>
      </c>
      <c r="K91" s="913"/>
      <c r="L91" s="22"/>
      <c r="M91" s="22"/>
      <c r="N91" s="7"/>
      <c r="O91" s="186" t="str">
        <f t="shared" si="29"/>
        <v/>
      </c>
      <c r="P91" s="107"/>
      <c r="Q91" s="16" t="str">
        <f t="shared" si="30"/>
        <v/>
      </c>
      <c r="R91" s="36" t="str">
        <f t="shared" si="31"/>
        <v/>
      </c>
      <c r="S91" s="36" t="str">
        <f t="shared" si="32"/>
        <v/>
      </c>
      <c r="T91" s="14" t="str">
        <f t="shared" si="33"/>
        <v/>
      </c>
      <c r="U91" s="176" t="str">
        <f t="shared" si="33"/>
        <v/>
      </c>
      <c r="V91" s="35" t="str">
        <f t="shared" si="34"/>
        <v/>
      </c>
      <c r="W91" s="20" t="str">
        <f t="shared" si="35"/>
        <v/>
      </c>
      <c r="X91" s="813" t="str">
        <f t="shared" si="43"/>
        <v/>
      </c>
      <c r="Y91" s="916" t="str">
        <f t="shared" si="36"/>
        <v/>
      </c>
      <c r="Z91" s="810" t="str">
        <f t="shared" si="37"/>
        <v/>
      </c>
      <c r="AA91" s="282" t="str">
        <f t="shared" si="38"/>
        <v/>
      </c>
      <c r="AB91" s="282" t="str">
        <f t="shared" si="39"/>
        <v/>
      </c>
      <c r="AC91" s="20" t="str">
        <f t="shared" si="40"/>
        <v/>
      </c>
      <c r="AD91" s="186" t="str">
        <f t="shared" si="44"/>
        <v/>
      </c>
      <c r="AE91" s="108"/>
      <c r="AF91" s="215" t="str" cm="1">
        <f t="array" ref="AF91">_xlfn.IFS(O91="","",AD91&gt;O91,"KO : Le montant retenu est supérieur au montant présenté. Merci de revoir la ligne de dépense ou plafonner son montant.",AD91=0,"Attention : montant présenté entièrement écarté",AD91&lt;O91,"Attention : montant présenté partiellement écarté",Y91&lt;15%,"Attention : le taux d'affectation du personnel est inférieur à 15% sur cette ligne. Vérifiez que le total du taux d'affectation du personnel est supérieur ou égal à 15%, sinon le personnel est inéligible",AD91=O91,"OK")</f>
        <v/>
      </c>
      <c r="AG91" s="109" t="str">
        <f t="shared" si="41"/>
        <v/>
      </c>
    </row>
    <row r="92" spans="1:33" s="3" customFormat="1" ht="15.95">
      <c r="A92" s="15">
        <v>83</v>
      </c>
      <c r="B92" s="784"/>
      <c r="C92" s="106"/>
      <c r="D92" s="207"/>
      <c r="E92" s="106"/>
      <c r="F92" s="7"/>
      <c r="G92" s="780"/>
      <c r="H92" s="8"/>
      <c r="I92" s="8"/>
      <c r="J92" s="813" t="str">
        <f t="shared" si="42"/>
        <v/>
      </c>
      <c r="K92" s="913"/>
      <c r="L92" s="22"/>
      <c r="M92" s="22"/>
      <c r="N92" s="7"/>
      <c r="O92" s="186" t="str">
        <f t="shared" si="29"/>
        <v/>
      </c>
      <c r="P92" s="107"/>
      <c r="Q92" s="16" t="str">
        <f t="shared" si="30"/>
        <v/>
      </c>
      <c r="R92" s="36" t="str">
        <f t="shared" si="31"/>
        <v/>
      </c>
      <c r="S92" s="36" t="str">
        <f t="shared" si="32"/>
        <v/>
      </c>
      <c r="T92" s="14" t="str">
        <f t="shared" si="33"/>
        <v/>
      </c>
      <c r="U92" s="176" t="str">
        <f t="shared" si="33"/>
        <v/>
      </c>
      <c r="V92" s="35" t="str">
        <f t="shared" si="34"/>
        <v/>
      </c>
      <c r="W92" s="20" t="str">
        <f t="shared" si="35"/>
        <v/>
      </c>
      <c r="X92" s="813" t="str">
        <f t="shared" si="43"/>
        <v/>
      </c>
      <c r="Y92" s="916" t="str">
        <f t="shared" si="36"/>
        <v/>
      </c>
      <c r="Z92" s="810" t="str">
        <f t="shared" si="37"/>
        <v/>
      </c>
      <c r="AA92" s="282" t="str">
        <f t="shared" si="38"/>
        <v/>
      </c>
      <c r="AB92" s="282" t="str">
        <f t="shared" si="39"/>
        <v/>
      </c>
      <c r="AC92" s="20" t="str">
        <f t="shared" si="40"/>
        <v/>
      </c>
      <c r="AD92" s="186" t="str">
        <f t="shared" si="44"/>
        <v/>
      </c>
      <c r="AE92" s="108"/>
      <c r="AF92" s="215" t="str" cm="1">
        <f t="array" ref="AF92">_xlfn.IFS(O92="","",AD92&gt;O92,"KO : Le montant retenu est supérieur au montant présenté. Merci de revoir la ligne de dépense ou plafonner son montant.",AD92=0,"Attention : montant présenté entièrement écarté",AD92&lt;O92,"Attention : montant présenté partiellement écarté",Y92&lt;15%,"Attention : le taux d'affectation du personnel est inférieur à 15% sur cette ligne. Vérifiez que le total du taux d'affectation du personnel est supérieur ou égal à 15%, sinon le personnel est inéligible",AD92=O92,"OK")</f>
        <v/>
      </c>
      <c r="AG92" s="109" t="str">
        <f t="shared" si="41"/>
        <v/>
      </c>
    </row>
    <row r="93" spans="1:33" s="3" customFormat="1" ht="15.95">
      <c r="A93" s="15">
        <v>84</v>
      </c>
      <c r="B93" s="784"/>
      <c r="C93" s="106"/>
      <c r="D93" s="207"/>
      <c r="E93" s="106"/>
      <c r="F93" s="7"/>
      <c r="G93" s="780"/>
      <c r="H93" s="8"/>
      <c r="I93" s="8"/>
      <c r="J93" s="813" t="str">
        <f t="shared" si="42"/>
        <v/>
      </c>
      <c r="K93" s="913"/>
      <c r="L93" s="22"/>
      <c r="M93" s="22"/>
      <c r="N93" s="7"/>
      <c r="O93" s="186" t="str">
        <f t="shared" si="29"/>
        <v/>
      </c>
      <c r="P93" s="107"/>
      <c r="Q93" s="16" t="str">
        <f t="shared" si="30"/>
        <v/>
      </c>
      <c r="R93" s="36" t="str">
        <f t="shared" si="31"/>
        <v/>
      </c>
      <c r="S93" s="36" t="str">
        <f t="shared" si="32"/>
        <v/>
      </c>
      <c r="T93" s="14" t="str">
        <f t="shared" si="33"/>
        <v/>
      </c>
      <c r="U93" s="176" t="str">
        <f t="shared" si="33"/>
        <v/>
      </c>
      <c r="V93" s="35" t="str">
        <f t="shared" si="34"/>
        <v/>
      </c>
      <c r="W93" s="20" t="str">
        <f t="shared" si="35"/>
        <v/>
      </c>
      <c r="X93" s="813" t="str">
        <f t="shared" si="43"/>
        <v/>
      </c>
      <c r="Y93" s="916" t="str">
        <f t="shared" si="36"/>
        <v/>
      </c>
      <c r="Z93" s="810" t="str">
        <f t="shared" si="37"/>
        <v/>
      </c>
      <c r="AA93" s="282" t="str">
        <f t="shared" si="38"/>
        <v/>
      </c>
      <c r="AB93" s="282" t="str">
        <f t="shared" si="39"/>
        <v/>
      </c>
      <c r="AC93" s="20" t="str">
        <f t="shared" si="40"/>
        <v/>
      </c>
      <c r="AD93" s="186" t="str">
        <f t="shared" si="44"/>
        <v/>
      </c>
      <c r="AE93" s="108"/>
      <c r="AF93" s="215" t="str" cm="1">
        <f t="array" ref="AF93">_xlfn.IFS(O93="","",AD93&gt;O93,"KO : Le montant retenu est supérieur au montant présenté. Merci de revoir la ligne de dépense ou plafonner son montant.",AD93=0,"Attention : montant présenté entièrement écarté",AD93&lt;O93,"Attention : montant présenté partiellement écarté",Y93&lt;15%,"Attention : le taux d'affectation du personnel est inférieur à 15% sur cette ligne. Vérifiez que le total du taux d'affectation du personnel est supérieur ou égal à 15%, sinon le personnel est inéligible",AD93=O93,"OK")</f>
        <v/>
      </c>
      <c r="AG93" s="109" t="str">
        <f t="shared" si="41"/>
        <v/>
      </c>
    </row>
    <row r="94" spans="1:33" s="3" customFormat="1" ht="15.95">
      <c r="A94" s="15">
        <v>85</v>
      </c>
      <c r="B94" s="784"/>
      <c r="C94" s="106"/>
      <c r="D94" s="207"/>
      <c r="E94" s="106"/>
      <c r="F94" s="7"/>
      <c r="G94" s="780"/>
      <c r="H94" s="8"/>
      <c r="I94" s="8"/>
      <c r="J94" s="813" t="str">
        <f t="shared" si="42"/>
        <v/>
      </c>
      <c r="K94" s="913"/>
      <c r="L94" s="22"/>
      <c r="M94" s="22"/>
      <c r="N94" s="7"/>
      <c r="O94" s="186" t="str">
        <f t="shared" si="29"/>
        <v/>
      </c>
      <c r="P94" s="107"/>
      <c r="Q94" s="16" t="str">
        <f>IF(C94="","",C94)</f>
        <v/>
      </c>
      <c r="R94" s="36" t="str">
        <f>IF(D94="","",D94)</f>
        <v/>
      </c>
      <c r="S94" s="36" t="str">
        <f>IF(E94="","",E94)</f>
        <v/>
      </c>
      <c r="T94" s="14" t="str">
        <f>IF(F94="","",F94)</f>
        <v/>
      </c>
      <c r="U94" s="176" t="str">
        <f t="shared" ref="U94:U109" si="45">IF(G94="","",G94)</f>
        <v/>
      </c>
      <c r="V94" s="35" t="str">
        <f t="shared" ref="V94:V109" si="46">IF(H94="","",H94)</f>
        <v/>
      </c>
      <c r="W94" s="20" t="str">
        <f t="shared" ref="W94:W109" si="47">IF(I94="","",I94)</f>
        <v/>
      </c>
      <c r="X94" s="813" t="str">
        <f t="shared" si="43"/>
        <v/>
      </c>
      <c r="Y94" s="916" t="str">
        <f t="shared" si="36"/>
        <v/>
      </c>
      <c r="Z94" s="810" t="str">
        <f t="shared" si="37"/>
        <v/>
      </c>
      <c r="AA94" s="282" t="str">
        <f t="shared" si="38"/>
        <v/>
      </c>
      <c r="AB94" s="282" t="str">
        <f t="shared" si="39"/>
        <v/>
      </c>
      <c r="AC94" s="20" t="str">
        <f t="shared" si="40"/>
        <v/>
      </c>
      <c r="AD94" s="186" t="str">
        <f t="shared" si="44"/>
        <v/>
      </c>
      <c r="AE94" s="108"/>
      <c r="AF94" s="215" t="str" cm="1">
        <f t="array" ref="AF94">_xlfn.IFS(O94="","",AD94&gt;O94,"KO : Le montant retenu est supérieur au montant présenté. Merci de revoir la ligne de dépense ou plafonner son montant.",AD94=0,"Attention : montant présenté entièrement écarté",AD94&lt;O94,"Attention : montant présenté partiellement écarté",Y94&lt;15%,"Attention : le taux d'affectation du personnel est inférieur à 15% sur cette ligne. Vérifiez que le total du taux d'affectation du personnel est supérieur ou égal à 15%, sinon le personnel est inéligible",AD94=O94,"OK")</f>
        <v/>
      </c>
      <c r="AG94" s="109" t="str">
        <f t="shared" si="41"/>
        <v/>
      </c>
    </row>
    <row r="95" spans="1:33" s="3" customFormat="1" ht="15.95">
      <c r="A95" s="15">
        <v>86</v>
      </c>
      <c r="B95" s="784"/>
      <c r="C95" s="106"/>
      <c r="D95" s="207"/>
      <c r="E95" s="106"/>
      <c r="F95" s="7"/>
      <c r="G95" s="780"/>
      <c r="H95" s="8"/>
      <c r="I95" s="8"/>
      <c r="J95" s="813" t="str">
        <f t="shared" si="42"/>
        <v/>
      </c>
      <c r="K95" s="913"/>
      <c r="L95" s="22"/>
      <c r="M95" s="22"/>
      <c r="N95" s="7"/>
      <c r="O95" s="186" t="str">
        <f t="shared" si="29"/>
        <v/>
      </c>
      <c r="P95" s="107"/>
      <c r="Q95" s="16" t="str">
        <f t="shared" ref="Q95:S109" si="48">IF(C95="","",C95)</f>
        <v/>
      </c>
      <c r="R95" s="36" t="str">
        <f t="shared" si="48"/>
        <v/>
      </c>
      <c r="S95" s="36" t="str">
        <f t="shared" si="48"/>
        <v/>
      </c>
      <c r="T95" s="14" t="str">
        <f t="shared" ref="T95:T109" si="49">IF(F95="","",F95)</f>
        <v/>
      </c>
      <c r="U95" s="176" t="str">
        <f t="shared" si="45"/>
        <v/>
      </c>
      <c r="V95" s="35" t="str">
        <f t="shared" si="46"/>
        <v/>
      </c>
      <c r="W95" s="20" t="str">
        <f t="shared" si="47"/>
        <v/>
      </c>
      <c r="X95" s="813" t="str">
        <f t="shared" si="43"/>
        <v/>
      </c>
      <c r="Y95" s="916" t="str">
        <f t="shared" si="36"/>
        <v/>
      </c>
      <c r="Z95" s="810" t="str">
        <f t="shared" si="37"/>
        <v/>
      </c>
      <c r="AA95" s="282" t="str">
        <f t="shared" si="38"/>
        <v/>
      </c>
      <c r="AB95" s="282" t="str">
        <f t="shared" si="39"/>
        <v/>
      </c>
      <c r="AC95" s="20" t="str">
        <f t="shared" si="40"/>
        <v/>
      </c>
      <c r="AD95" s="186" t="str">
        <f t="shared" si="44"/>
        <v/>
      </c>
      <c r="AE95" s="108"/>
      <c r="AF95" s="215" t="str" cm="1">
        <f t="array" ref="AF95">_xlfn.IFS(O95="","",AD95&gt;O95,"KO : Le montant retenu est supérieur au montant présenté. Merci de revoir la ligne de dépense ou plafonner son montant.",AD95=0,"Attention : montant présenté entièrement écarté",AD95&lt;O95,"Attention : montant présenté partiellement écarté",Y95&lt;15%,"Attention : le taux d'affectation du personnel est inférieur à 15% sur cette ligne. Vérifiez que le total du taux d'affectation du personnel est supérieur ou égal à 15%, sinon le personnel est inéligible",AD95=O95,"OK")</f>
        <v/>
      </c>
      <c r="AG95" s="109" t="str">
        <f t="shared" si="41"/>
        <v/>
      </c>
    </row>
    <row r="96" spans="1:33" s="3" customFormat="1" ht="15.95">
      <c r="A96" s="15">
        <v>87</v>
      </c>
      <c r="B96" s="784"/>
      <c r="C96" s="106"/>
      <c r="D96" s="207"/>
      <c r="E96" s="106"/>
      <c r="F96" s="7"/>
      <c r="G96" s="780"/>
      <c r="H96" s="8"/>
      <c r="I96" s="8"/>
      <c r="J96" s="813" t="str">
        <f t="shared" si="42"/>
        <v/>
      </c>
      <c r="K96" s="913"/>
      <c r="L96" s="22"/>
      <c r="M96" s="22"/>
      <c r="N96" s="7"/>
      <c r="O96" s="186" t="str">
        <f t="shared" si="29"/>
        <v/>
      </c>
      <c r="P96" s="107"/>
      <c r="Q96" s="16" t="str">
        <f t="shared" si="48"/>
        <v/>
      </c>
      <c r="R96" s="36" t="str">
        <f t="shared" si="48"/>
        <v/>
      </c>
      <c r="S96" s="36" t="str">
        <f t="shared" si="48"/>
        <v/>
      </c>
      <c r="T96" s="14" t="str">
        <f t="shared" si="49"/>
        <v/>
      </c>
      <c r="U96" s="176" t="str">
        <f t="shared" si="45"/>
        <v/>
      </c>
      <c r="V96" s="35" t="str">
        <f t="shared" si="46"/>
        <v/>
      </c>
      <c r="W96" s="20" t="str">
        <f t="shared" si="47"/>
        <v/>
      </c>
      <c r="X96" s="813" t="str">
        <f t="shared" si="43"/>
        <v/>
      </c>
      <c r="Y96" s="916" t="str">
        <f t="shared" si="36"/>
        <v/>
      </c>
      <c r="Z96" s="810" t="str">
        <f t="shared" si="37"/>
        <v/>
      </c>
      <c r="AA96" s="282" t="str">
        <f t="shared" si="38"/>
        <v/>
      </c>
      <c r="AB96" s="282" t="str">
        <f t="shared" si="39"/>
        <v/>
      </c>
      <c r="AC96" s="20" t="str">
        <f t="shared" si="40"/>
        <v/>
      </c>
      <c r="AD96" s="186" t="str">
        <f t="shared" si="44"/>
        <v/>
      </c>
      <c r="AE96" s="108"/>
      <c r="AF96" s="215" t="str" cm="1">
        <f t="array" ref="AF96">_xlfn.IFS(O96="","",AD96&gt;O96,"KO : Le montant retenu est supérieur au montant présenté. Merci de revoir la ligne de dépense ou plafonner son montant.",AD96=0,"Attention : montant présenté entièrement écarté",AD96&lt;O96,"Attention : montant présenté partiellement écarté",Y96&lt;15%,"Attention : le taux d'affectation du personnel est inférieur à 15% sur cette ligne. Vérifiez que le total du taux d'affectation du personnel est supérieur ou égal à 15%, sinon le personnel est inéligible",AD96=O96,"OK")</f>
        <v/>
      </c>
      <c r="AG96" s="109" t="str">
        <f t="shared" si="41"/>
        <v/>
      </c>
    </row>
    <row r="97" spans="1:33" s="3" customFormat="1" ht="15.95">
      <c r="A97" s="15">
        <v>88</v>
      </c>
      <c r="B97" s="784"/>
      <c r="C97" s="106"/>
      <c r="D97" s="207"/>
      <c r="E97" s="106"/>
      <c r="F97" s="7"/>
      <c r="G97" s="780"/>
      <c r="H97" s="8"/>
      <c r="I97" s="8"/>
      <c r="J97" s="813" t="str">
        <f t="shared" si="42"/>
        <v/>
      </c>
      <c r="K97" s="913"/>
      <c r="L97" s="22"/>
      <c r="M97" s="22"/>
      <c r="N97" s="7"/>
      <c r="O97" s="186" t="str">
        <f t="shared" si="29"/>
        <v/>
      </c>
      <c r="P97" s="107"/>
      <c r="Q97" s="16" t="str">
        <f t="shared" si="48"/>
        <v/>
      </c>
      <c r="R97" s="36" t="str">
        <f t="shared" si="48"/>
        <v/>
      </c>
      <c r="S97" s="36" t="str">
        <f t="shared" si="48"/>
        <v/>
      </c>
      <c r="T97" s="14" t="str">
        <f t="shared" si="49"/>
        <v/>
      </c>
      <c r="U97" s="176" t="str">
        <f t="shared" si="45"/>
        <v/>
      </c>
      <c r="V97" s="35" t="str">
        <f t="shared" si="46"/>
        <v/>
      </c>
      <c r="W97" s="20" t="str">
        <f t="shared" si="47"/>
        <v/>
      </c>
      <c r="X97" s="813" t="str">
        <f t="shared" si="43"/>
        <v/>
      </c>
      <c r="Y97" s="916" t="str">
        <f t="shared" si="36"/>
        <v/>
      </c>
      <c r="Z97" s="810" t="str">
        <f t="shared" si="37"/>
        <v/>
      </c>
      <c r="AA97" s="282" t="str">
        <f t="shared" si="38"/>
        <v/>
      </c>
      <c r="AB97" s="282" t="str">
        <f t="shared" si="39"/>
        <v/>
      </c>
      <c r="AC97" s="20" t="str">
        <f t="shared" si="40"/>
        <v/>
      </c>
      <c r="AD97" s="186" t="str">
        <f t="shared" si="44"/>
        <v/>
      </c>
      <c r="AE97" s="108"/>
      <c r="AF97" s="215" t="str" cm="1">
        <f t="array" ref="AF97">_xlfn.IFS(O97="","",AD97&gt;O97,"KO : Le montant retenu est supérieur au montant présenté. Merci de revoir la ligne de dépense ou plafonner son montant.",AD97=0,"Attention : montant présenté entièrement écarté",AD97&lt;O97,"Attention : montant présenté partiellement écarté",Y97&lt;15%,"Attention : le taux d'affectation du personnel est inférieur à 15% sur cette ligne. Vérifiez que le total du taux d'affectation du personnel est supérieur ou égal à 15%, sinon le personnel est inéligible",AD97=O97,"OK")</f>
        <v/>
      </c>
      <c r="AG97" s="109" t="str">
        <f t="shared" si="41"/>
        <v/>
      </c>
    </row>
    <row r="98" spans="1:33" s="3" customFormat="1" ht="15.95">
      <c r="A98" s="15">
        <v>89</v>
      </c>
      <c r="B98" s="784"/>
      <c r="C98" s="106"/>
      <c r="D98" s="207"/>
      <c r="E98" s="106"/>
      <c r="F98" s="7"/>
      <c r="G98" s="780"/>
      <c r="H98" s="8"/>
      <c r="I98" s="8"/>
      <c r="J98" s="813" t="str">
        <f t="shared" si="42"/>
        <v/>
      </c>
      <c r="K98" s="913"/>
      <c r="L98" s="22"/>
      <c r="M98" s="22"/>
      <c r="N98" s="7"/>
      <c r="O98" s="186" t="str">
        <f t="shared" si="29"/>
        <v/>
      </c>
      <c r="P98" s="107"/>
      <c r="Q98" s="16" t="str">
        <f t="shared" si="48"/>
        <v/>
      </c>
      <c r="R98" s="36" t="str">
        <f t="shared" si="48"/>
        <v/>
      </c>
      <c r="S98" s="36" t="str">
        <f t="shared" si="48"/>
        <v/>
      </c>
      <c r="T98" s="14" t="str">
        <f t="shared" si="49"/>
        <v/>
      </c>
      <c r="U98" s="176" t="str">
        <f t="shared" si="45"/>
        <v/>
      </c>
      <c r="V98" s="35" t="str">
        <f t="shared" si="46"/>
        <v/>
      </c>
      <c r="W98" s="20" t="str">
        <f t="shared" si="47"/>
        <v/>
      </c>
      <c r="X98" s="813" t="str">
        <f t="shared" si="43"/>
        <v/>
      </c>
      <c r="Y98" s="916" t="str">
        <f t="shared" si="36"/>
        <v/>
      </c>
      <c r="Z98" s="810" t="str">
        <f t="shared" si="37"/>
        <v/>
      </c>
      <c r="AA98" s="282" t="str">
        <f t="shared" si="38"/>
        <v/>
      </c>
      <c r="AB98" s="282" t="str">
        <f t="shared" si="39"/>
        <v/>
      </c>
      <c r="AC98" s="20" t="str">
        <f t="shared" si="40"/>
        <v/>
      </c>
      <c r="AD98" s="186" t="str">
        <f t="shared" si="44"/>
        <v/>
      </c>
      <c r="AE98" s="108"/>
      <c r="AF98" s="215" t="str" cm="1">
        <f t="array" ref="AF98">_xlfn.IFS(O98="","",AD98&gt;O98,"KO : Le montant retenu est supérieur au montant présenté. Merci de revoir la ligne de dépense ou plafonner son montant.",AD98=0,"Attention : montant présenté entièrement écarté",AD98&lt;O98,"Attention : montant présenté partiellement écarté",Y98&lt;15%,"Attention : le taux d'affectation du personnel est inférieur à 15% sur cette ligne. Vérifiez que le total du taux d'affectation du personnel est supérieur ou égal à 15%, sinon le personnel est inéligible",AD98=O98,"OK")</f>
        <v/>
      </c>
      <c r="AG98" s="109" t="str">
        <f t="shared" si="41"/>
        <v/>
      </c>
    </row>
    <row r="99" spans="1:33" s="3" customFormat="1" ht="15.95">
      <c r="A99" s="15">
        <v>90</v>
      </c>
      <c r="B99" s="784"/>
      <c r="C99" s="106"/>
      <c r="D99" s="207"/>
      <c r="E99" s="106"/>
      <c r="F99" s="7"/>
      <c r="G99" s="780"/>
      <c r="H99" s="8"/>
      <c r="I99" s="8"/>
      <c r="J99" s="813" t="str">
        <f t="shared" si="42"/>
        <v/>
      </c>
      <c r="K99" s="913"/>
      <c r="L99" s="22"/>
      <c r="M99" s="22"/>
      <c r="N99" s="7"/>
      <c r="O99" s="186" t="str">
        <f t="shared" si="29"/>
        <v/>
      </c>
      <c r="P99" s="107"/>
      <c r="Q99" s="16" t="str">
        <f t="shared" si="48"/>
        <v/>
      </c>
      <c r="R99" s="36" t="str">
        <f t="shared" si="48"/>
        <v/>
      </c>
      <c r="S99" s="36" t="str">
        <f t="shared" si="48"/>
        <v/>
      </c>
      <c r="T99" s="14" t="str">
        <f t="shared" si="49"/>
        <v/>
      </c>
      <c r="U99" s="176" t="str">
        <f t="shared" si="45"/>
        <v/>
      </c>
      <c r="V99" s="35" t="str">
        <f t="shared" si="46"/>
        <v/>
      </c>
      <c r="W99" s="20" t="str">
        <f t="shared" si="47"/>
        <v/>
      </c>
      <c r="X99" s="813" t="str">
        <f t="shared" si="43"/>
        <v/>
      </c>
      <c r="Y99" s="916" t="str">
        <f t="shared" si="36"/>
        <v/>
      </c>
      <c r="Z99" s="810" t="str">
        <f t="shared" si="37"/>
        <v/>
      </c>
      <c r="AA99" s="282" t="str">
        <f t="shared" si="38"/>
        <v/>
      </c>
      <c r="AB99" s="282" t="str">
        <f t="shared" si="39"/>
        <v/>
      </c>
      <c r="AC99" s="20" t="str">
        <f t="shared" si="40"/>
        <v/>
      </c>
      <c r="AD99" s="186" t="str">
        <f t="shared" si="44"/>
        <v/>
      </c>
      <c r="AE99" s="108"/>
      <c r="AF99" s="215" t="str" cm="1">
        <f t="array" ref="AF99">_xlfn.IFS(O99="","",AD99&gt;O99,"KO : Le montant retenu est supérieur au montant présenté. Merci de revoir la ligne de dépense ou plafonner son montant.",AD99=0,"Attention : montant présenté entièrement écarté",AD99&lt;O99,"Attention : montant présenté partiellement écarté",Y99&lt;15%,"Attention : le taux d'affectation du personnel est inférieur à 15% sur cette ligne. Vérifiez que le total du taux d'affectation du personnel est supérieur ou égal à 15%, sinon le personnel est inéligible",AD99=O99,"OK")</f>
        <v/>
      </c>
      <c r="AG99" s="109" t="str">
        <f t="shared" si="41"/>
        <v/>
      </c>
    </row>
    <row r="100" spans="1:33" s="3" customFormat="1" ht="15.95">
      <c r="A100" s="15">
        <v>91</v>
      </c>
      <c r="B100" s="784"/>
      <c r="C100" s="106"/>
      <c r="D100" s="207"/>
      <c r="E100" s="106"/>
      <c r="F100" s="7"/>
      <c r="G100" s="780"/>
      <c r="H100" s="8"/>
      <c r="I100" s="8"/>
      <c r="J100" s="813" t="str">
        <f t="shared" si="42"/>
        <v/>
      </c>
      <c r="K100" s="913"/>
      <c r="L100" s="22"/>
      <c r="M100" s="22"/>
      <c r="N100" s="7"/>
      <c r="O100" s="186" t="str">
        <f t="shared" si="29"/>
        <v/>
      </c>
      <c r="P100" s="107"/>
      <c r="Q100" s="16" t="str">
        <f t="shared" si="48"/>
        <v/>
      </c>
      <c r="R100" s="36" t="str">
        <f t="shared" si="48"/>
        <v/>
      </c>
      <c r="S100" s="36" t="str">
        <f t="shared" si="48"/>
        <v/>
      </c>
      <c r="T100" s="14" t="str">
        <f t="shared" si="49"/>
        <v/>
      </c>
      <c r="U100" s="176" t="str">
        <f t="shared" si="45"/>
        <v/>
      </c>
      <c r="V100" s="35" t="str">
        <f t="shared" si="46"/>
        <v/>
      </c>
      <c r="W100" s="20" t="str">
        <f t="shared" si="47"/>
        <v/>
      </c>
      <c r="X100" s="813" t="str">
        <f t="shared" si="43"/>
        <v/>
      </c>
      <c r="Y100" s="916" t="str">
        <f t="shared" si="36"/>
        <v/>
      </c>
      <c r="Z100" s="810" t="str">
        <f t="shared" si="37"/>
        <v/>
      </c>
      <c r="AA100" s="282" t="str">
        <f t="shared" si="38"/>
        <v/>
      </c>
      <c r="AB100" s="282" t="str">
        <f t="shared" si="39"/>
        <v/>
      </c>
      <c r="AC100" s="20" t="str">
        <f t="shared" si="40"/>
        <v/>
      </c>
      <c r="AD100" s="186" t="str">
        <f t="shared" si="44"/>
        <v/>
      </c>
      <c r="AE100" s="108"/>
      <c r="AF100" s="215" t="str" cm="1">
        <f t="array" ref="AF100">_xlfn.IFS(O100="","",AD100&gt;O100,"KO : Le montant retenu est supérieur au montant présenté. Merci de revoir la ligne de dépense ou plafonner son montant.",AD100=0,"Attention : montant présenté entièrement écarté",AD100&lt;O100,"Attention : montant présenté partiellement écarté",Y100&lt;15%,"Attention : le taux d'affectation du personnel est inférieur à 15% sur cette ligne. Vérifiez que le total du taux d'affectation du personnel est supérieur ou égal à 15%, sinon le personnel est inéligible",AD100=O100,"OK")</f>
        <v/>
      </c>
      <c r="AG100" s="109" t="str">
        <f t="shared" si="41"/>
        <v/>
      </c>
    </row>
    <row r="101" spans="1:33" s="3" customFormat="1" ht="15.95">
      <c r="A101" s="15">
        <v>92</v>
      </c>
      <c r="B101" s="784"/>
      <c r="C101" s="106"/>
      <c r="D101" s="207"/>
      <c r="E101" s="106"/>
      <c r="F101" s="7"/>
      <c r="G101" s="780"/>
      <c r="H101" s="8"/>
      <c r="I101" s="8"/>
      <c r="J101" s="813" t="str">
        <f t="shared" si="42"/>
        <v/>
      </c>
      <c r="K101" s="913"/>
      <c r="L101" s="22"/>
      <c r="M101" s="22"/>
      <c r="N101" s="7"/>
      <c r="O101" s="186" t="str">
        <f t="shared" si="29"/>
        <v/>
      </c>
      <c r="P101" s="107"/>
      <c r="Q101" s="16" t="str">
        <f t="shared" si="48"/>
        <v/>
      </c>
      <c r="R101" s="36" t="str">
        <f t="shared" si="48"/>
        <v/>
      </c>
      <c r="S101" s="36" t="str">
        <f t="shared" si="48"/>
        <v/>
      </c>
      <c r="T101" s="14" t="str">
        <f t="shared" si="49"/>
        <v/>
      </c>
      <c r="U101" s="176" t="str">
        <f t="shared" si="45"/>
        <v/>
      </c>
      <c r="V101" s="35" t="str">
        <f t="shared" si="46"/>
        <v/>
      </c>
      <c r="W101" s="20" t="str">
        <f t="shared" si="47"/>
        <v/>
      </c>
      <c r="X101" s="813" t="str">
        <f t="shared" si="43"/>
        <v/>
      </c>
      <c r="Y101" s="916" t="str">
        <f t="shared" si="36"/>
        <v/>
      </c>
      <c r="Z101" s="810" t="str">
        <f t="shared" si="37"/>
        <v/>
      </c>
      <c r="AA101" s="282" t="str">
        <f t="shared" si="38"/>
        <v/>
      </c>
      <c r="AB101" s="282" t="str">
        <f t="shared" si="39"/>
        <v/>
      </c>
      <c r="AC101" s="20" t="str">
        <f t="shared" si="40"/>
        <v/>
      </c>
      <c r="AD101" s="186" t="str">
        <f t="shared" si="44"/>
        <v/>
      </c>
      <c r="AE101" s="108"/>
      <c r="AF101" s="215" t="str" cm="1">
        <f t="array" ref="AF101">_xlfn.IFS(O101="","",AD101&gt;O101,"KO : Le montant retenu est supérieur au montant présenté. Merci de revoir la ligne de dépense ou plafonner son montant.",AD101=0,"Attention : montant présenté entièrement écarté",AD101&lt;O101,"Attention : montant présenté partiellement écarté",Y101&lt;15%,"Attention : le taux d'affectation du personnel est inférieur à 15% sur cette ligne. Vérifiez que le total du taux d'affectation du personnel est supérieur ou égal à 15%, sinon le personnel est inéligible",AD101=O101,"OK")</f>
        <v/>
      </c>
      <c r="AG101" s="109" t="str">
        <f t="shared" si="41"/>
        <v/>
      </c>
    </row>
    <row r="102" spans="1:33" s="3" customFormat="1" ht="15.95">
      <c r="A102" s="15">
        <v>93</v>
      </c>
      <c r="B102" s="784"/>
      <c r="C102" s="106"/>
      <c r="D102" s="207"/>
      <c r="E102" s="106"/>
      <c r="F102" s="7"/>
      <c r="G102" s="780"/>
      <c r="H102" s="8"/>
      <c r="I102" s="8"/>
      <c r="J102" s="813" t="str">
        <f t="shared" si="42"/>
        <v/>
      </c>
      <c r="K102" s="913"/>
      <c r="L102" s="22"/>
      <c r="M102" s="22"/>
      <c r="N102" s="7"/>
      <c r="O102" s="186" t="str">
        <f t="shared" si="29"/>
        <v/>
      </c>
      <c r="P102" s="107"/>
      <c r="Q102" s="16" t="str">
        <f t="shared" si="48"/>
        <v/>
      </c>
      <c r="R102" s="36" t="str">
        <f t="shared" si="48"/>
        <v/>
      </c>
      <c r="S102" s="36" t="str">
        <f t="shared" si="48"/>
        <v/>
      </c>
      <c r="T102" s="14" t="str">
        <f t="shared" si="49"/>
        <v/>
      </c>
      <c r="U102" s="176" t="str">
        <f t="shared" si="45"/>
        <v/>
      </c>
      <c r="V102" s="35" t="str">
        <f t="shared" si="46"/>
        <v/>
      </c>
      <c r="W102" s="20" t="str">
        <f t="shared" si="47"/>
        <v/>
      </c>
      <c r="X102" s="813" t="str">
        <f t="shared" si="43"/>
        <v/>
      </c>
      <c r="Y102" s="916" t="str">
        <f t="shared" si="36"/>
        <v/>
      </c>
      <c r="Z102" s="810" t="str">
        <f t="shared" si="37"/>
        <v/>
      </c>
      <c r="AA102" s="282" t="str">
        <f t="shared" si="38"/>
        <v/>
      </c>
      <c r="AB102" s="282" t="str">
        <f t="shared" si="39"/>
        <v/>
      </c>
      <c r="AC102" s="20" t="str">
        <f t="shared" si="40"/>
        <v/>
      </c>
      <c r="AD102" s="186" t="str">
        <f t="shared" si="44"/>
        <v/>
      </c>
      <c r="AE102" s="108"/>
      <c r="AF102" s="215" t="str" cm="1">
        <f t="array" ref="AF102">_xlfn.IFS(O102="","",AD102&gt;O102,"KO : Le montant retenu est supérieur au montant présenté. Merci de revoir la ligne de dépense ou plafonner son montant.",AD102=0,"Attention : montant présenté entièrement écarté",AD102&lt;O102,"Attention : montant présenté partiellement écarté",Y102&lt;15%,"Attention : le taux d'affectation du personnel est inférieur à 15% sur cette ligne. Vérifiez que le total du taux d'affectation du personnel est supérieur ou égal à 15%, sinon le personnel est inéligible",AD102=O102,"OK")</f>
        <v/>
      </c>
      <c r="AG102" s="109" t="str">
        <f t="shared" si="41"/>
        <v/>
      </c>
    </row>
    <row r="103" spans="1:33" s="3" customFormat="1" ht="15.95">
      <c r="A103" s="15">
        <v>94</v>
      </c>
      <c r="B103" s="784"/>
      <c r="C103" s="106"/>
      <c r="D103" s="207"/>
      <c r="E103" s="106"/>
      <c r="F103" s="7"/>
      <c r="G103" s="780"/>
      <c r="H103" s="8"/>
      <c r="I103" s="8"/>
      <c r="J103" s="813" t="str">
        <f t="shared" si="42"/>
        <v/>
      </c>
      <c r="K103" s="913"/>
      <c r="L103" s="22"/>
      <c r="M103" s="22"/>
      <c r="N103" s="7"/>
      <c r="O103" s="186" t="str">
        <f t="shared" si="29"/>
        <v/>
      </c>
      <c r="P103" s="107"/>
      <c r="Q103" s="16" t="str">
        <f t="shared" si="48"/>
        <v/>
      </c>
      <c r="R103" s="36" t="str">
        <f t="shared" si="48"/>
        <v/>
      </c>
      <c r="S103" s="36" t="str">
        <f t="shared" si="48"/>
        <v/>
      </c>
      <c r="T103" s="14" t="str">
        <f t="shared" si="49"/>
        <v/>
      </c>
      <c r="U103" s="176" t="str">
        <f t="shared" si="45"/>
        <v/>
      </c>
      <c r="V103" s="35" t="str">
        <f t="shared" si="46"/>
        <v/>
      </c>
      <c r="W103" s="20" t="str">
        <f t="shared" si="47"/>
        <v/>
      </c>
      <c r="X103" s="813" t="str">
        <f t="shared" si="43"/>
        <v/>
      </c>
      <c r="Y103" s="916" t="str">
        <f t="shared" si="36"/>
        <v/>
      </c>
      <c r="Z103" s="810" t="str">
        <f t="shared" si="37"/>
        <v/>
      </c>
      <c r="AA103" s="282" t="str">
        <f t="shared" si="38"/>
        <v/>
      </c>
      <c r="AB103" s="282" t="str">
        <f t="shared" si="39"/>
        <v/>
      </c>
      <c r="AC103" s="20" t="str">
        <f t="shared" si="40"/>
        <v/>
      </c>
      <c r="AD103" s="186" t="str">
        <f t="shared" si="44"/>
        <v/>
      </c>
      <c r="AE103" s="108"/>
      <c r="AF103" s="215" t="str" cm="1">
        <f t="array" ref="AF103">_xlfn.IFS(O103="","",AD103&gt;O103,"KO : Le montant retenu est supérieur au montant présenté. Merci de revoir la ligne de dépense ou plafonner son montant.",AD103=0,"Attention : montant présenté entièrement écarté",AD103&lt;O103,"Attention : montant présenté partiellement écarté",Y103&lt;15%,"Attention : le taux d'affectation du personnel est inférieur à 15% sur cette ligne. Vérifiez que le total du taux d'affectation du personnel est supérieur ou égal à 15%, sinon le personnel est inéligible",AD103=O103,"OK")</f>
        <v/>
      </c>
      <c r="AG103" s="109" t="str">
        <f t="shared" si="41"/>
        <v/>
      </c>
    </row>
    <row r="104" spans="1:33" s="3" customFormat="1" ht="15.95">
      <c r="A104" s="15">
        <v>95</v>
      </c>
      <c r="B104" s="784"/>
      <c r="C104" s="106"/>
      <c r="D104" s="207"/>
      <c r="E104" s="106"/>
      <c r="F104" s="7"/>
      <c r="G104" s="780"/>
      <c r="H104" s="8"/>
      <c r="I104" s="8"/>
      <c r="J104" s="813" t="str">
        <f t="shared" si="42"/>
        <v/>
      </c>
      <c r="K104" s="913"/>
      <c r="L104" s="22"/>
      <c r="M104" s="22"/>
      <c r="N104" s="7"/>
      <c r="O104" s="186" t="str">
        <f t="shared" si="29"/>
        <v/>
      </c>
      <c r="P104" s="107"/>
      <c r="Q104" s="16" t="str">
        <f t="shared" si="48"/>
        <v/>
      </c>
      <c r="R104" s="36" t="str">
        <f t="shared" si="48"/>
        <v/>
      </c>
      <c r="S104" s="36" t="str">
        <f t="shared" si="48"/>
        <v/>
      </c>
      <c r="T104" s="14" t="str">
        <f t="shared" si="49"/>
        <v/>
      </c>
      <c r="U104" s="176" t="str">
        <f t="shared" si="45"/>
        <v/>
      </c>
      <c r="V104" s="35" t="str">
        <f t="shared" si="46"/>
        <v/>
      </c>
      <c r="W104" s="20" t="str">
        <f t="shared" si="47"/>
        <v/>
      </c>
      <c r="X104" s="813" t="str">
        <f t="shared" si="43"/>
        <v/>
      </c>
      <c r="Y104" s="916" t="str">
        <f t="shared" si="36"/>
        <v/>
      </c>
      <c r="Z104" s="810" t="str">
        <f t="shared" si="37"/>
        <v/>
      </c>
      <c r="AA104" s="282" t="str">
        <f t="shared" si="38"/>
        <v/>
      </c>
      <c r="AB104" s="282" t="str">
        <f t="shared" si="39"/>
        <v/>
      </c>
      <c r="AC104" s="20" t="str">
        <f t="shared" si="40"/>
        <v/>
      </c>
      <c r="AD104" s="186" t="str">
        <f t="shared" si="44"/>
        <v/>
      </c>
      <c r="AE104" s="108"/>
      <c r="AF104" s="215" t="str" cm="1">
        <f t="array" ref="AF104">_xlfn.IFS(O104="","",AD104&gt;O104,"KO : Le montant retenu est supérieur au montant présenté. Merci de revoir la ligne de dépense ou plafonner son montant.",AD104=0,"Attention : montant présenté entièrement écarté",AD104&lt;O104,"Attention : montant présenté partiellement écarté",Y104&lt;15%,"Attention : le taux d'affectation du personnel est inférieur à 15% sur cette ligne. Vérifiez que le total du taux d'affectation du personnel est supérieur ou égal à 15%, sinon le personnel est inéligible",AD104=O104,"OK")</f>
        <v/>
      </c>
      <c r="AG104" s="109" t="str">
        <f t="shared" si="41"/>
        <v/>
      </c>
    </row>
    <row r="105" spans="1:33" s="3" customFormat="1" ht="15.95">
      <c r="A105" s="15">
        <v>96</v>
      </c>
      <c r="B105" s="784"/>
      <c r="C105" s="106"/>
      <c r="D105" s="207"/>
      <c r="E105" s="106"/>
      <c r="F105" s="7"/>
      <c r="G105" s="780"/>
      <c r="H105" s="8"/>
      <c r="I105" s="8"/>
      <c r="J105" s="813" t="str">
        <f t="shared" si="42"/>
        <v/>
      </c>
      <c r="K105" s="913"/>
      <c r="L105" s="22"/>
      <c r="M105" s="22"/>
      <c r="N105" s="7"/>
      <c r="O105" s="186" t="str">
        <f t="shared" si="29"/>
        <v/>
      </c>
      <c r="P105" s="107"/>
      <c r="Q105" s="16" t="str">
        <f t="shared" si="48"/>
        <v/>
      </c>
      <c r="R105" s="36" t="str">
        <f t="shared" si="48"/>
        <v/>
      </c>
      <c r="S105" s="36" t="str">
        <f t="shared" si="48"/>
        <v/>
      </c>
      <c r="T105" s="14" t="str">
        <f t="shared" si="49"/>
        <v/>
      </c>
      <c r="U105" s="176" t="str">
        <f t="shared" si="45"/>
        <v/>
      </c>
      <c r="V105" s="35" t="str">
        <f t="shared" si="46"/>
        <v/>
      </c>
      <c r="W105" s="20" t="str">
        <f t="shared" si="47"/>
        <v/>
      </c>
      <c r="X105" s="813" t="str">
        <f t="shared" si="43"/>
        <v/>
      </c>
      <c r="Y105" s="916" t="str">
        <f t="shared" si="36"/>
        <v/>
      </c>
      <c r="Z105" s="810" t="str">
        <f t="shared" si="37"/>
        <v/>
      </c>
      <c r="AA105" s="282" t="str">
        <f t="shared" si="38"/>
        <v/>
      </c>
      <c r="AB105" s="282" t="str">
        <f t="shared" si="39"/>
        <v/>
      </c>
      <c r="AC105" s="20" t="str">
        <f t="shared" si="40"/>
        <v/>
      </c>
      <c r="AD105" s="186" t="str">
        <f t="shared" si="44"/>
        <v/>
      </c>
      <c r="AE105" s="108"/>
      <c r="AF105" s="215" t="str" cm="1">
        <f t="array" ref="AF105">_xlfn.IFS(O105="","",AD105&gt;O105,"KO : Le montant retenu est supérieur au montant présenté. Merci de revoir la ligne de dépense ou plafonner son montant.",AD105=0,"Attention : montant présenté entièrement écarté",AD105&lt;O105,"Attention : montant présenté partiellement écarté",Y105&lt;15%,"Attention : le taux d'affectation du personnel est inférieur à 15% sur cette ligne. Vérifiez que le total du taux d'affectation du personnel est supérieur ou égal à 15%, sinon le personnel est inéligible",AD105=O105,"OK")</f>
        <v/>
      </c>
      <c r="AG105" s="109" t="str">
        <f t="shared" si="41"/>
        <v/>
      </c>
    </row>
    <row r="106" spans="1:33" s="3" customFormat="1" ht="15.95">
      <c r="A106" s="15">
        <v>97</v>
      </c>
      <c r="B106" s="784"/>
      <c r="C106" s="106"/>
      <c r="D106" s="207"/>
      <c r="E106" s="106"/>
      <c r="F106" s="7"/>
      <c r="G106" s="780"/>
      <c r="H106" s="8"/>
      <c r="I106" s="8"/>
      <c r="J106" s="813" t="str">
        <f t="shared" si="42"/>
        <v/>
      </c>
      <c r="K106" s="913"/>
      <c r="L106" s="22"/>
      <c r="M106" s="22"/>
      <c r="N106" s="7"/>
      <c r="O106" s="186" t="str">
        <f t="shared" si="29"/>
        <v/>
      </c>
      <c r="P106" s="107"/>
      <c r="Q106" s="16" t="str">
        <f t="shared" si="48"/>
        <v/>
      </c>
      <c r="R106" s="36" t="str">
        <f t="shared" si="48"/>
        <v/>
      </c>
      <c r="S106" s="36" t="str">
        <f t="shared" si="48"/>
        <v/>
      </c>
      <c r="T106" s="14" t="str">
        <f t="shared" si="49"/>
        <v/>
      </c>
      <c r="U106" s="176" t="str">
        <f t="shared" si="45"/>
        <v/>
      </c>
      <c r="V106" s="35" t="str">
        <f t="shared" si="46"/>
        <v/>
      </c>
      <c r="W106" s="20" t="str">
        <f t="shared" si="47"/>
        <v/>
      </c>
      <c r="X106" s="813" t="str">
        <f t="shared" si="43"/>
        <v/>
      </c>
      <c r="Y106" s="916" t="str">
        <f t="shared" si="36"/>
        <v/>
      </c>
      <c r="Z106" s="810" t="str">
        <f t="shared" si="37"/>
        <v/>
      </c>
      <c r="AA106" s="282" t="str">
        <f t="shared" si="38"/>
        <v/>
      </c>
      <c r="AB106" s="282" t="str">
        <f t="shared" si="39"/>
        <v/>
      </c>
      <c r="AC106" s="20" t="str">
        <f t="shared" si="40"/>
        <v/>
      </c>
      <c r="AD106" s="186" t="str">
        <f t="shared" si="44"/>
        <v/>
      </c>
      <c r="AE106" s="108"/>
      <c r="AF106" s="215" t="str" cm="1">
        <f t="array" ref="AF106">_xlfn.IFS(O106="","",AD106&gt;O106,"KO : Le montant retenu est supérieur au montant présenté. Merci de revoir la ligne de dépense ou plafonner son montant.",AD106=0,"Attention : montant présenté entièrement écarté",AD106&lt;O106,"Attention : montant présenté partiellement écarté",Y106&lt;15%,"Attention : le taux d'affectation du personnel est inférieur à 15% sur cette ligne. Vérifiez que le total du taux d'affectation du personnel est supérieur ou égal à 15%, sinon le personnel est inéligible",AD106=O106,"OK")</f>
        <v/>
      </c>
      <c r="AG106" s="109" t="str">
        <f t="shared" si="41"/>
        <v/>
      </c>
    </row>
    <row r="107" spans="1:33" s="3" customFormat="1" ht="15.95">
      <c r="A107" s="15">
        <v>98</v>
      </c>
      <c r="B107" s="784"/>
      <c r="C107" s="106"/>
      <c r="D107" s="207"/>
      <c r="E107" s="106"/>
      <c r="F107" s="7"/>
      <c r="G107" s="780"/>
      <c r="H107" s="8"/>
      <c r="I107" s="8"/>
      <c r="J107" s="813" t="str">
        <f t="shared" si="42"/>
        <v/>
      </c>
      <c r="K107" s="913"/>
      <c r="L107" s="22"/>
      <c r="M107" s="22"/>
      <c r="N107" s="7"/>
      <c r="O107" s="186" t="str">
        <f t="shared" si="29"/>
        <v/>
      </c>
      <c r="P107" s="107"/>
      <c r="Q107" s="16" t="str">
        <f t="shared" si="48"/>
        <v/>
      </c>
      <c r="R107" s="36" t="str">
        <f t="shared" si="48"/>
        <v/>
      </c>
      <c r="S107" s="36" t="str">
        <f t="shared" si="48"/>
        <v/>
      </c>
      <c r="T107" s="14" t="str">
        <f t="shared" si="49"/>
        <v/>
      </c>
      <c r="U107" s="176" t="str">
        <f t="shared" si="45"/>
        <v/>
      </c>
      <c r="V107" s="35" t="str">
        <f t="shared" si="46"/>
        <v/>
      </c>
      <c r="W107" s="20" t="str">
        <f t="shared" si="47"/>
        <v/>
      </c>
      <c r="X107" s="813" t="str">
        <f t="shared" si="43"/>
        <v/>
      </c>
      <c r="Y107" s="916" t="str">
        <f t="shared" si="36"/>
        <v/>
      </c>
      <c r="Z107" s="810" t="str">
        <f t="shared" si="37"/>
        <v/>
      </c>
      <c r="AA107" s="282" t="str">
        <f t="shared" si="38"/>
        <v/>
      </c>
      <c r="AB107" s="282" t="str">
        <f t="shared" si="39"/>
        <v/>
      </c>
      <c r="AC107" s="20" t="str">
        <f t="shared" si="40"/>
        <v/>
      </c>
      <c r="AD107" s="186" t="str">
        <f t="shared" si="44"/>
        <v/>
      </c>
      <c r="AE107" s="108"/>
      <c r="AF107" s="215" t="str" cm="1">
        <f t="array" ref="AF107">_xlfn.IFS(O107="","",AD107&gt;O107,"KO : Le montant retenu est supérieur au montant présenté. Merci de revoir la ligne de dépense ou plafonner son montant.",AD107=0,"Attention : montant présenté entièrement écarté",AD107&lt;O107,"Attention : montant présenté partiellement écarté",Y107&lt;15%,"Attention : le taux d'affectation du personnel est inférieur à 15% sur cette ligne. Vérifiez que le total du taux d'affectation du personnel est supérieur ou égal à 15%, sinon le personnel est inéligible",AD107=O107,"OK")</f>
        <v/>
      </c>
      <c r="AG107" s="109" t="str">
        <f t="shared" si="41"/>
        <v/>
      </c>
    </row>
    <row r="108" spans="1:33" s="3" customFormat="1" ht="15.95">
      <c r="A108" s="15">
        <v>99</v>
      </c>
      <c r="B108" s="784"/>
      <c r="C108" s="106"/>
      <c r="D108" s="207"/>
      <c r="E108" s="106"/>
      <c r="F108" s="7"/>
      <c r="G108" s="780"/>
      <c r="H108" s="8"/>
      <c r="I108" s="8"/>
      <c r="J108" s="813" t="str">
        <f t="shared" si="42"/>
        <v/>
      </c>
      <c r="K108" s="913"/>
      <c r="L108" s="22"/>
      <c r="M108" s="22"/>
      <c r="N108" s="7"/>
      <c r="O108" s="186" t="str">
        <f t="shared" si="29"/>
        <v/>
      </c>
      <c r="P108" s="107"/>
      <c r="Q108" s="16" t="str">
        <f t="shared" si="48"/>
        <v/>
      </c>
      <c r="R108" s="36" t="str">
        <f t="shared" si="48"/>
        <v/>
      </c>
      <c r="S108" s="36" t="str">
        <f t="shared" si="48"/>
        <v/>
      </c>
      <c r="T108" s="14" t="str">
        <f t="shared" si="49"/>
        <v/>
      </c>
      <c r="U108" s="176" t="str">
        <f t="shared" si="45"/>
        <v/>
      </c>
      <c r="V108" s="35" t="str">
        <f t="shared" si="46"/>
        <v/>
      </c>
      <c r="W108" s="20" t="str">
        <f t="shared" si="47"/>
        <v/>
      </c>
      <c r="X108" s="813" t="str">
        <f t="shared" si="43"/>
        <v/>
      </c>
      <c r="Y108" s="916" t="str">
        <f t="shared" si="36"/>
        <v/>
      </c>
      <c r="Z108" s="810" t="str">
        <f t="shared" si="37"/>
        <v/>
      </c>
      <c r="AA108" s="282" t="str">
        <f t="shared" si="38"/>
        <v/>
      </c>
      <c r="AB108" s="282" t="str">
        <f t="shared" si="39"/>
        <v/>
      </c>
      <c r="AC108" s="20" t="str">
        <f t="shared" si="40"/>
        <v/>
      </c>
      <c r="AD108" s="186" t="str">
        <f t="shared" si="44"/>
        <v/>
      </c>
      <c r="AE108" s="108"/>
      <c r="AF108" s="215" t="str" cm="1">
        <f t="array" ref="AF108">_xlfn.IFS(O108="","",AD108&gt;O108,"KO : Le montant retenu est supérieur au montant présenté. Merci de revoir la ligne de dépense ou plafonner son montant.",AD108=0,"Attention : montant présenté entièrement écarté",AD108&lt;O108,"Attention : montant présenté partiellement écarté",Y108&lt;15%,"Attention : le taux d'affectation du personnel est inférieur à 15% sur cette ligne. Vérifiez que le total du taux d'affectation du personnel est supérieur ou égal à 15%, sinon le personnel est inéligible",AD108=O108,"OK")</f>
        <v/>
      </c>
      <c r="AG108" s="109" t="str">
        <f t="shared" si="41"/>
        <v/>
      </c>
    </row>
    <row r="109" spans="1:33" s="3" customFormat="1" ht="17.100000000000001" thickBot="1">
      <c r="A109" s="15">
        <v>100</v>
      </c>
      <c r="B109" s="785"/>
      <c r="C109" s="106"/>
      <c r="D109" s="207"/>
      <c r="E109" s="106"/>
      <c r="F109" s="7"/>
      <c r="G109" s="780"/>
      <c r="H109" s="8"/>
      <c r="I109" s="8"/>
      <c r="J109" s="813" t="str">
        <f t="shared" si="42"/>
        <v/>
      </c>
      <c r="K109" s="913"/>
      <c r="L109" s="22"/>
      <c r="M109" s="22"/>
      <c r="N109" s="7"/>
      <c r="O109" s="186" t="str">
        <f t="shared" si="29"/>
        <v/>
      </c>
      <c r="P109" s="107"/>
      <c r="Q109" s="16" t="str">
        <f t="shared" si="48"/>
        <v/>
      </c>
      <c r="R109" s="36" t="str">
        <f t="shared" si="48"/>
        <v/>
      </c>
      <c r="S109" s="36" t="str">
        <f t="shared" si="48"/>
        <v/>
      </c>
      <c r="T109" s="14" t="str">
        <f t="shared" si="49"/>
        <v/>
      </c>
      <c r="U109" s="176" t="str">
        <f t="shared" si="45"/>
        <v/>
      </c>
      <c r="V109" s="35" t="str">
        <f t="shared" si="46"/>
        <v/>
      </c>
      <c r="W109" s="20" t="str">
        <f t="shared" si="47"/>
        <v/>
      </c>
      <c r="X109" s="813" t="str">
        <f t="shared" si="43"/>
        <v/>
      </c>
      <c r="Y109" s="916" t="str">
        <f t="shared" si="36"/>
        <v/>
      </c>
      <c r="Z109" s="810" t="str">
        <f t="shared" si="37"/>
        <v/>
      </c>
      <c r="AA109" s="282" t="str">
        <f t="shared" si="38"/>
        <v/>
      </c>
      <c r="AB109" s="282" t="str">
        <f t="shared" si="39"/>
        <v/>
      </c>
      <c r="AC109" s="20" t="str">
        <f t="shared" si="40"/>
        <v/>
      </c>
      <c r="AD109" s="186" t="str">
        <f t="shared" si="44"/>
        <v/>
      </c>
      <c r="AE109" s="108"/>
      <c r="AF109" s="215" t="str" cm="1">
        <f t="array" ref="AF109">_xlfn.IFS(O109="","",AD109&gt;O109,"KO : Le montant retenu est supérieur au montant présenté. Merci de revoir la ligne de dépense ou plafonner son montant.",AD109=0,"Attention : montant présenté entièrement écarté",AD109&lt;O109,"Attention : montant présenté partiellement écarté",Y109&lt;15%,"Attention : le taux d'affectation du personnel est inférieur à 15% sur cette ligne. Vérifiez que le total du taux d'affectation du personnel est supérieur ou égal à 15%, sinon le personnel est inéligible",AD109=O109,"OK")</f>
        <v/>
      </c>
      <c r="AG109" s="109" t="str">
        <f t="shared" si="41"/>
        <v/>
      </c>
    </row>
    <row r="110" spans="1:33" ht="17.100000000000001" thickBot="1">
      <c r="A110" s="1457"/>
      <c r="B110" s="1458"/>
      <c r="C110" s="1458"/>
      <c r="D110" s="1458"/>
      <c r="E110" s="1458"/>
      <c r="F110" s="1458"/>
      <c r="G110" s="1458"/>
      <c r="H110" s="1458"/>
      <c r="I110" s="1458"/>
      <c r="J110" s="1458"/>
      <c r="K110" s="1458"/>
      <c r="L110" s="299"/>
      <c r="M110" s="299"/>
      <c r="N110" s="111" t="s">
        <v>165</v>
      </c>
      <c r="O110" s="112">
        <f>SUM(O10:O109)</f>
        <v>2514.9</v>
      </c>
      <c r="P110" s="113"/>
      <c r="Q110" s="114"/>
      <c r="R110" s="115"/>
      <c r="S110" s="115"/>
      <c r="T110" s="115"/>
      <c r="U110" s="115"/>
      <c r="V110" s="115"/>
      <c r="W110" s="814"/>
      <c r="X110" s="814"/>
      <c r="Y110" s="814"/>
      <c r="Z110" s="115"/>
      <c r="AA110" s="115"/>
      <c r="AB110" s="116"/>
      <c r="AC110" s="111" t="s">
        <v>166</v>
      </c>
      <c r="AD110" s="112">
        <f>SUM(AD10:AD109)</f>
        <v>2514.9</v>
      </c>
      <c r="AE110" s="1459"/>
      <c r="AF110" s="1460"/>
      <c r="AG110" s="117">
        <f>SUM(AG10:AG109)</f>
        <v>0</v>
      </c>
    </row>
    <row r="114" spans="15:15">
      <c r="O114" s="118"/>
    </row>
  </sheetData>
  <mergeCells count="17">
    <mergeCell ref="A2:P2"/>
    <mergeCell ref="Q2:AG2"/>
    <mergeCell ref="A7:A8"/>
    <mergeCell ref="H7:J7"/>
    <mergeCell ref="V7:X7"/>
    <mergeCell ref="AE5:AE6"/>
    <mergeCell ref="AC5:AD6"/>
    <mergeCell ref="AF5:AF6"/>
    <mergeCell ref="AG5:AG6"/>
    <mergeCell ref="A5:K6"/>
    <mergeCell ref="O5:O6"/>
    <mergeCell ref="P5:P6"/>
    <mergeCell ref="L5:N6"/>
    <mergeCell ref="Q5:Y6"/>
    <mergeCell ref="Z5:AB6"/>
    <mergeCell ref="A110:K110"/>
    <mergeCell ref="AE110:AF110"/>
  </mergeCells>
  <conditionalFormatting sqref="K10:M19">
    <cfRule type="expression" dxfId="36" priority="2">
      <formula>AND(K10&lt;&gt;0,K10&lt;15%)</formula>
    </cfRule>
  </conditionalFormatting>
  <conditionalFormatting sqref="AD10:AD109">
    <cfRule type="expression" dxfId="35" priority="1">
      <formula>AD10&lt;&gt;AC10</formula>
    </cfRule>
  </conditionalFormatting>
  <conditionalFormatting sqref="AF10:AF109">
    <cfRule type="containsText" dxfId="34" priority="3" operator="containsText" text="OK">
      <formula>NOT(ISERROR(SEARCH("OK",AF10)))</formula>
    </cfRule>
    <cfRule type="containsText" dxfId="33" priority="4" operator="containsText" text="KO">
      <formula>NOT(ISERROR(SEARCH("KO",AF10)))</formula>
    </cfRule>
    <cfRule type="containsText" dxfId="32" priority="5" operator="containsText" text="Attention">
      <formula>NOT(ISERROR(SEARCH("Attention",AF10)))</formula>
    </cfRule>
  </conditionalFormatting>
  <dataValidations count="4">
    <dataValidation type="list" allowBlank="1" showInputMessage="1" showErrorMessage="1" sqref="N10:N109" xr:uid="{E8F675D9-1A39-46A0-BDE2-1D2B71C230C1}">
      <formula1>"Fiche de poste,Lettre de mission,Contrat de travail,Autres"</formula1>
    </dataValidation>
    <dataValidation type="list" allowBlank="1" showInputMessage="1" showErrorMessage="1" sqref="M10:M109" xr:uid="{006A66F7-E8C0-4DD4-B602-CD5D242FE5E0}">
      <formula1>"Fiche de paie,Journal de paie,Déclaration sociale nominative,Autre document probant"</formula1>
    </dataValidation>
    <dataValidation type="list" allowBlank="1" showInputMessage="1" showErrorMessage="1" sqref="L10:M109" xr:uid="{F619D565-B9FA-4BAA-AB33-BFA098D7BAE7}">
      <formula1>"Oui,Non"</formula1>
    </dataValidation>
    <dataValidation type="list" allowBlank="1" showInputMessage="1" showErrorMessage="1" sqref="G10:G109" xr:uid="{72C84C58-35B5-463D-B042-52E3E9E23D08}">
      <formula1>"Directeur chercheur, Ingénieur, Technicien,Non"</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70DE7BCC-AD96-49E3-9D89-59BFDFAD4565}">
          <x14:formula1>
            <xm:f>'0-Présentation typeaction'!$H$7:$H$7</xm:f>
          </x14:formula1>
          <xm:sqref>D9:D109</xm:sqref>
        </x14:dataValidation>
        <x14:dataValidation type="list" allowBlank="1" showInputMessage="1" showErrorMessage="1" xr:uid="{1A748260-F965-43BB-ABB0-C82C4D18EF57}">
          <x14:formula1>
            <xm:f>'0-Présentation typeaction'!$H$26:$H$36</xm:f>
          </x14:formula1>
          <xm:sqref>B10:B109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E01D0-B2A2-48FD-81C8-03E1AA770FF2}">
  <sheetPr>
    <tabColor rgb="FF227A56"/>
    <pageSetUpPr autoPageBreaks="0"/>
  </sheetPr>
  <dimension ref="A2:AE21"/>
  <sheetViews>
    <sheetView showGridLines="0" topLeftCell="A2" zoomScale="55" zoomScaleNormal="85" workbookViewId="0">
      <selection activeCell="L34" sqref="L34"/>
    </sheetView>
  </sheetViews>
  <sheetFormatPr defaultColWidth="11.42578125" defaultRowHeight="15" outlineLevelCol="1"/>
  <cols>
    <col min="1" max="1" width="11.42578125" customWidth="1"/>
    <col min="2" max="2" width="18.42578125" customWidth="1"/>
    <col min="3" max="5" width="27.42578125" customWidth="1"/>
    <col min="6" max="6" width="37.85546875" customWidth="1"/>
    <col min="7" max="7" width="29.85546875" customWidth="1"/>
    <col min="8" max="8" width="33.140625" customWidth="1"/>
    <col min="9" max="9" width="48.42578125" customWidth="1" outlineLevel="1"/>
    <col min="10" max="10" width="24.85546875" customWidth="1" outlineLevel="1"/>
    <col min="11" max="11" width="26.42578125" customWidth="1" outlineLevel="1"/>
    <col min="12" max="12" width="35.42578125" customWidth="1" outlineLevel="1"/>
    <col min="13" max="13" width="27.42578125" customWidth="1" outlineLevel="1"/>
    <col min="14" max="14" width="20" customWidth="1" outlineLevel="1"/>
    <col min="15" max="15" width="22.42578125" customWidth="1" outlineLevel="1"/>
    <col min="16" max="16" width="36.85546875" customWidth="1" outlineLevel="1"/>
    <col min="17" max="17" width="35.140625" customWidth="1" outlineLevel="1"/>
    <col min="18" max="18" width="24.85546875" customWidth="1"/>
  </cols>
  <sheetData>
    <row r="2" spans="1:31" ht="75.95" customHeight="1">
      <c r="A2" s="1480" t="s">
        <v>289</v>
      </c>
      <c r="B2" s="1481"/>
      <c r="C2" s="1481"/>
      <c r="D2" s="1481"/>
      <c r="E2" s="1481"/>
      <c r="F2" s="1481"/>
      <c r="G2" s="1481"/>
      <c r="H2" s="1481"/>
      <c r="I2" s="1482"/>
      <c r="J2" s="1483" t="s">
        <v>290</v>
      </c>
      <c r="K2" s="1484"/>
      <c r="L2" s="1484"/>
      <c r="M2" s="1484"/>
      <c r="N2" s="1484"/>
      <c r="O2" s="1484"/>
      <c r="P2" s="1484"/>
      <c r="Q2" s="1484"/>
      <c r="R2" s="1484"/>
    </row>
    <row r="3" spans="1:31" s="96" customFormat="1" ht="57" customHeight="1">
      <c r="A3" s="157"/>
      <c r="B3" s="157"/>
      <c r="C3" s="157"/>
      <c r="D3" s="157"/>
      <c r="E3" s="157"/>
      <c r="F3" s="157"/>
      <c r="G3" s="157"/>
      <c r="H3" s="157"/>
      <c r="I3" s="157"/>
      <c r="J3" s="157"/>
      <c r="K3" s="157"/>
      <c r="L3" s="157"/>
      <c r="M3" s="157"/>
      <c r="N3" s="157"/>
      <c r="O3" s="157"/>
      <c r="P3" s="157"/>
      <c r="Q3" s="157"/>
      <c r="R3" s="157"/>
    </row>
    <row r="4" spans="1:31" s="96" customFormat="1" ht="57" customHeight="1">
      <c r="A4" s="157"/>
      <c r="B4" s="157"/>
      <c r="C4" s="157"/>
      <c r="D4" s="157"/>
      <c r="E4" s="157"/>
      <c r="F4" s="157"/>
      <c r="G4" s="157"/>
      <c r="H4" s="157"/>
      <c r="I4" s="157"/>
      <c r="J4" s="157"/>
      <c r="K4" s="157"/>
      <c r="L4" s="157"/>
      <c r="M4" s="157"/>
      <c r="N4" s="157"/>
      <c r="O4" s="157"/>
      <c r="P4" s="157"/>
      <c r="Q4" s="157"/>
      <c r="R4" s="157"/>
    </row>
    <row r="5" spans="1:31" s="158" customFormat="1" ht="73.5" customHeight="1">
      <c r="A5" s="1395" t="s">
        <v>291</v>
      </c>
      <c r="B5" s="1396"/>
      <c r="C5" s="1396"/>
      <c r="D5" s="1396"/>
      <c r="E5" s="1396"/>
      <c r="F5" s="1396"/>
      <c r="G5" s="1490" t="s">
        <v>292</v>
      </c>
      <c r="H5" s="1417" t="s">
        <v>72</v>
      </c>
      <c r="I5" s="1492" t="s">
        <v>293</v>
      </c>
      <c r="J5" s="1493" t="s">
        <v>220</v>
      </c>
      <c r="K5" s="1493"/>
      <c r="L5" s="1493"/>
      <c r="M5" s="1493"/>
      <c r="N5" s="1493"/>
      <c r="O5" s="1450" t="s">
        <v>170</v>
      </c>
      <c r="P5" s="1450" t="s">
        <v>294</v>
      </c>
      <c r="Q5" s="1450" t="s">
        <v>295</v>
      </c>
      <c r="R5" s="1450" t="s">
        <v>171</v>
      </c>
      <c r="S5" s="514"/>
      <c r="T5" s="514"/>
      <c r="U5" s="514"/>
      <c r="V5" s="514"/>
      <c r="W5" s="514"/>
      <c r="X5" s="514"/>
      <c r="Y5" s="514"/>
      <c r="Z5" s="514"/>
      <c r="AC5" s="1412"/>
      <c r="AD5" s="1412"/>
      <c r="AE5" s="1408"/>
    </row>
    <row r="6" spans="1:31" s="158" customFormat="1" ht="73.5" customHeight="1">
      <c r="A6" s="1474"/>
      <c r="B6" s="1475"/>
      <c r="C6" s="1475"/>
      <c r="D6" s="1475"/>
      <c r="E6" s="1475"/>
      <c r="F6" s="1475"/>
      <c r="G6" s="1491"/>
      <c r="H6" s="1477"/>
      <c r="I6" s="1478"/>
      <c r="J6" s="1493"/>
      <c r="K6" s="1493"/>
      <c r="L6" s="1493"/>
      <c r="M6" s="1493"/>
      <c r="N6" s="1493"/>
      <c r="O6" s="1489"/>
      <c r="P6" s="1489"/>
      <c r="Q6" s="1489"/>
      <c r="R6" s="1489"/>
      <c r="S6" s="514"/>
      <c r="T6" s="514"/>
      <c r="U6" s="514"/>
      <c r="V6" s="514"/>
      <c r="W6" s="514"/>
      <c r="X6" s="514"/>
      <c r="Y6" s="514"/>
      <c r="Z6" s="514"/>
      <c r="AC6" s="1412"/>
      <c r="AD6" s="1412"/>
      <c r="AE6" s="1408"/>
    </row>
    <row r="7" spans="1:31" s="1" customFormat="1" ht="63.95">
      <c r="A7" s="1485" t="s">
        <v>86</v>
      </c>
      <c r="B7" s="663" t="s">
        <v>66</v>
      </c>
      <c r="C7" s="583" t="s">
        <v>296</v>
      </c>
      <c r="D7" s="583" t="s">
        <v>92</v>
      </c>
      <c r="E7" s="593" t="s">
        <v>297</v>
      </c>
      <c r="F7" s="593" t="s">
        <v>298</v>
      </c>
      <c r="G7" s="348" t="s">
        <v>299</v>
      </c>
      <c r="H7" s="593" t="s">
        <v>300</v>
      </c>
      <c r="I7" s="302" t="s">
        <v>301</v>
      </c>
      <c r="J7" s="513" t="s">
        <v>302</v>
      </c>
      <c r="K7" s="19" t="s">
        <v>92</v>
      </c>
      <c r="L7" s="31" t="s">
        <v>303</v>
      </c>
      <c r="M7" s="527" t="s">
        <v>304</v>
      </c>
      <c r="N7" s="31" t="s">
        <v>305</v>
      </c>
      <c r="O7" s="682" t="s">
        <v>306</v>
      </c>
      <c r="P7" s="19" t="s">
        <v>120</v>
      </c>
      <c r="Q7" s="19" t="s">
        <v>122</v>
      </c>
      <c r="R7" s="19" t="s">
        <v>188</v>
      </c>
    </row>
    <row r="8" spans="1:31" s="1" customFormat="1" ht="111.95">
      <c r="A8" s="1486"/>
      <c r="B8" s="600" t="s">
        <v>307</v>
      </c>
      <c r="C8" s="152" t="s">
        <v>308</v>
      </c>
      <c r="D8" s="156" t="s">
        <v>309</v>
      </c>
      <c r="E8" s="594" t="s">
        <v>310</v>
      </c>
      <c r="F8" s="156" t="s">
        <v>311</v>
      </c>
      <c r="G8" s="332" t="s">
        <v>312</v>
      </c>
      <c r="H8" s="595" t="s">
        <v>313</v>
      </c>
      <c r="I8" s="349" t="s">
        <v>314</v>
      </c>
      <c r="J8" s="350" t="s">
        <v>145</v>
      </c>
      <c r="K8" s="4" t="s">
        <v>145</v>
      </c>
      <c r="L8" s="33" t="s">
        <v>145</v>
      </c>
      <c r="M8" s="2" t="s">
        <v>146</v>
      </c>
      <c r="N8" s="33" t="s">
        <v>315</v>
      </c>
      <c r="O8" s="501" t="s">
        <v>143</v>
      </c>
      <c r="P8" s="2" t="s">
        <v>202</v>
      </c>
      <c r="Q8" s="2" t="s">
        <v>150</v>
      </c>
      <c r="R8" s="2" t="s">
        <v>143</v>
      </c>
    </row>
    <row r="9" spans="1:31" ht="48">
      <c r="A9" s="62" t="s">
        <v>48</v>
      </c>
      <c r="B9" s="828" t="s">
        <v>11</v>
      </c>
      <c r="C9" s="829" t="s">
        <v>316</v>
      </c>
      <c r="D9" s="830" t="s">
        <v>43</v>
      </c>
      <c r="E9" s="831">
        <v>29700.86</v>
      </c>
      <c r="F9" s="832">
        <v>11880.35</v>
      </c>
      <c r="G9" s="833" t="s">
        <v>152</v>
      </c>
      <c r="H9" s="832">
        <v>11880.35</v>
      </c>
      <c r="I9" s="834"/>
      <c r="J9" s="829" t="s">
        <v>316</v>
      </c>
      <c r="K9" s="5" t="str">
        <f>D9</f>
        <v>Développement de nouveaux produits, pratiques, procédés et techniques</v>
      </c>
      <c r="L9" s="351">
        <v>29700.86</v>
      </c>
      <c r="M9" s="352">
        <v>11880.35</v>
      </c>
      <c r="N9" s="352" t="s">
        <v>152</v>
      </c>
      <c r="O9" s="352">
        <v>11880.35</v>
      </c>
      <c r="P9" s="62" t="s">
        <v>317</v>
      </c>
      <c r="Q9" s="587" t="s">
        <v>318</v>
      </c>
      <c r="R9" s="353">
        <f>F9-M9</f>
        <v>0</v>
      </c>
    </row>
    <row r="10" spans="1:31" ht="48">
      <c r="A10" s="825">
        <v>1</v>
      </c>
      <c r="B10" s="837" t="s">
        <v>11</v>
      </c>
      <c r="C10" s="354" t="s">
        <v>316</v>
      </c>
      <c r="D10" s="838" t="s">
        <v>43</v>
      </c>
      <c r="E10" s="610">
        <f>IF(AND(D10="",B10=""),"",SUMIFS('3-Frais de personnel'!$O$10:$O$109,'3-Frais de personnel'!$D$10:$D$109,D10,'3-Frais de personnel'!$B$10:$B$109,B10))</f>
        <v>14.899999999999999</v>
      </c>
      <c r="F10" s="355">
        <f>IF(E10="","",0.15*E10)</f>
        <v>2.2349999999999999</v>
      </c>
      <c r="G10" s="22" t="s">
        <v>152</v>
      </c>
      <c r="H10" s="355">
        <f>IF(AND(F10&lt;&gt;"",G10="Oui"),F10,"")</f>
        <v>2.2349999999999999</v>
      </c>
      <c r="I10" s="835" t="s">
        <v>319</v>
      </c>
      <c r="J10" s="836" t="str">
        <f>IF(C10="","",C10)</f>
        <v>Frais de personnel</v>
      </c>
      <c r="K10" s="36" t="str">
        <f>IF(D10="","",D10)</f>
        <v>Développement de nouveaux produits, pratiques, procédés et techniques</v>
      </c>
      <c r="L10" s="20">
        <f>SUMIFS('3-Frais de personnel'!$AD$10:$AD$109,'3-Frais de personnel'!$R$10:$R$109,'4-TF coûts indirects'!K10,'3-Frais de personnel'!$B$10:$B$109,B10)</f>
        <v>14.899999999999999</v>
      </c>
      <c r="M10" s="357">
        <f>IFERROR(0.15*L10,"")</f>
        <v>2.2349999999999999</v>
      </c>
      <c r="N10" s="356" t="str">
        <f>IF(G10="","",G10)</f>
        <v>Oui</v>
      </c>
      <c r="O10" s="357">
        <f>IF(AND(M10&lt;&gt;"",N10="Oui"),M10,"")</f>
        <v>2.2349999999999999</v>
      </c>
      <c r="P10" s="283" t="s">
        <v>320</v>
      </c>
      <c r="Q10" s="586" t="str" cm="1">
        <f t="array" ref="Q10">IF(OR(L10="",E10=""),"",_xlfn.IFS((IFERROR(VALUE(TRIM(SUBSTITUTE(L10,CHAR(160),""))),0))&gt;(IFERROR(VALUE(TRIM(SUBSTITUTE(E10,CHAR(160),""))),0)),"KO : Le montant retenu est supérieur au montant présenté.",(IFERROR(VALUE(TRIM(SUBSTITUTE(L10,CHAR(160),""))),0))=0,"",(IFERROR(VALUE(TRIM(SUBSTITUTE(L10,CHAR(160),""))),0))=ROUND(IFERROR(VALUE(TRIM(SUBSTITUTE(E10,CHAR(160),""))),0),2),"OK",ROUND(IFERROR(VALUE(TRIM(SUBSTITUTE(L10,CHAR(160),""))),0),2)&lt;ROUND(IFERROR(VALUE(TRIM(SUBSTITUTE(E10,CHAR(160),""))),0),2),"Attention : montant présenté partiellement écarté",TRUE,""))</f>
        <v>OK</v>
      </c>
      <c r="R10" s="358">
        <f>IF(OR(F10="",M10=""),"",(IFERROR(VALUE(TRIM(SUBSTITUTE(F10,CHAR(160),""))),0))-(IFERROR(VALUE(TRIM(SUBSTITUTE(M10,CHAR(160),""))),0)))</f>
        <v>0</v>
      </c>
    </row>
    <row r="11" spans="1:31" ht="48">
      <c r="A11" s="825">
        <v>2</v>
      </c>
      <c r="B11" s="837" t="s">
        <v>12</v>
      </c>
      <c r="C11" s="354" t="s">
        <v>316</v>
      </c>
      <c r="D11" s="838" t="s">
        <v>43</v>
      </c>
      <c r="E11" s="610">
        <f>IF(AND(D11="",B11=""),"",SUMIFS('3-Frais de personnel'!$O$10:$O$109,'3-Frais de personnel'!$D$10:$D$109,D11,'3-Frais de personnel'!$B$10:$B$109,B11))</f>
        <v>2500</v>
      </c>
      <c r="F11" s="355">
        <f>IF(E11="","",0.15*E11)</f>
        <v>375</v>
      </c>
      <c r="G11" s="22" t="s">
        <v>152</v>
      </c>
      <c r="H11" s="355">
        <f>IF(AND(F11&lt;&gt;"",G11="Oui"),F11,"")</f>
        <v>375</v>
      </c>
      <c r="I11" s="835" t="s">
        <v>286</v>
      </c>
      <c r="J11" s="836" t="str">
        <f t="shared" ref="J11:J20" si="0">IF(C11="","",C11)</f>
        <v>Frais de personnel</v>
      </c>
      <c r="K11" s="36" t="str">
        <f t="shared" ref="K11:K20" si="1">IF(D11="","",D11)</f>
        <v>Développement de nouveaux produits, pratiques, procédés et techniques</v>
      </c>
      <c r="L11" s="20">
        <f>SUMIFS('3-Frais de personnel'!$AD$10:$AD$109,'3-Frais de personnel'!$R$10:$R$109,'4-TF coûts indirects'!K11,'3-Frais de personnel'!$B$10:$B$109,B11)</f>
        <v>2500</v>
      </c>
      <c r="M11" s="357">
        <f t="shared" ref="M11:M19" si="2">IFERROR(0.15*L11,"")</f>
        <v>375</v>
      </c>
      <c r="N11" s="356" t="str">
        <f t="shared" ref="N11:N20" si="3">IF(G11="","",G11)</f>
        <v>Oui</v>
      </c>
      <c r="O11" s="357">
        <f t="shared" ref="O11:O20" si="4">IF(AND(M11&lt;&gt;"",N11="Oui"),M11,"")</f>
        <v>375</v>
      </c>
      <c r="P11" s="283" t="s">
        <v>321</v>
      </c>
      <c r="Q11" s="586" t="str" cm="1">
        <f t="array" ref="Q11">IF(OR(L11="",E11=""),"",_xlfn.IFS((IFERROR(VALUE(TRIM(SUBSTITUTE(L11,CHAR(160),""))),0))&gt;(IFERROR(VALUE(TRIM(SUBSTITUTE(E11,CHAR(160),""))),0)),"KO : Le montant retenu est supérieur au montant présenté.",(IFERROR(VALUE(TRIM(SUBSTITUTE(L11,CHAR(160),""))),0))=0,"",(IFERROR(VALUE(TRIM(SUBSTITUTE(L11,CHAR(160),""))),0))=ROUND(IFERROR(VALUE(TRIM(SUBSTITUTE(E11,CHAR(160),""))),0),2),"OK",ROUND(IFERROR(VALUE(TRIM(SUBSTITUTE(L11,CHAR(160),""))),0),2)&lt;ROUND(IFERROR(VALUE(TRIM(SUBSTITUTE(E11,CHAR(160),""))),0),2),"Attention : montant présenté partiellement écarté",TRUE,""))</f>
        <v>OK</v>
      </c>
      <c r="R11" s="358">
        <f t="shared" ref="R11:R20" si="5">IF(OR(F11="",M11=""),"",(IFERROR(VALUE(TRIM(SUBSTITUTE(F11,CHAR(160),""))),0))-(IFERROR(VALUE(TRIM(SUBSTITUTE(M11,CHAR(160),""))),0)))</f>
        <v>0</v>
      </c>
    </row>
    <row r="12" spans="1:31" ht="48">
      <c r="A12" s="825">
        <v>3</v>
      </c>
      <c r="B12" s="837" t="s">
        <v>13</v>
      </c>
      <c r="C12" s="354" t="s">
        <v>316</v>
      </c>
      <c r="D12" s="838" t="s">
        <v>43</v>
      </c>
      <c r="E12" s="610">
        <f>IF(AND(D12="",B12=""),"",SUMIFS('3-Frais de personnel'!$O$10:$O$109,'3-Frais de personnel'!$D$10:$D$109,D12,'3-Frais de personnel'!$B$10:$B$109,B12))</f>
        <v>0</v>
      </c>
      <c r="F12" s="355">
        <f t="shared" ref="F12:F20" si="6">IF(E12="","",0.15*E12)</f>
        <v>0</v>
      </c>
      <c r="G12" s="22"/>
      <c r="H12" s="355" t="str">
        <f t="shared" ref="H12:H20" si="7">IF(AND(F12&lt;&gt;"",G12="Oui"),F12,"")</f>
        <v/>
      </c>
      <c r="I12" s="835"/>
      <c r="J12" s="836" t="str">
        <f t="shared" si="0"/>
        <v>Frais de personnel</v>
      </c>
      <c r="K12" s="36" t="str">
        <f t="shared" si="1"/>
        <v>Développement de nouveaux produits, pratiques, procédés et techniques</v>
      </c>
      <c r="L12" s="20">
        <f>SUMIFS('3-Frais de personnel'!$AD$10:$AD$109,'3-Frais de personnel'!$R$10:$R$109,'4-TF coûts indirects'!K12,'3-Frais de personnel'!$B$10:$B$109,B12)</f>
        <v>0</v>
      </c>
      <c r="M12" s="357">
        <f t="shared" si="2"/>
        <v>0</v>
      </c>
      <c r="N12" s="356" t="str">
        <f t="shared" si="3"/>
        <v/>
      </c>
      <c r="O12" s="357" t="str">
        <f t="shared" si="4"/>
        <v/>
      </c>
      <c r="P12" s="283"/>
      <c r="Q12" s="586" t="str" cm="1">
        <f t="array" ref="Q12">IF(OR(L12="",E12=""),"",_xlfn.IFS((IFERROR(VALUE(TRIM(SUBSTITUTE(L12,CHAR(160),""))),0))&gt;(IFERROR(VALUE(TRIM(SUBSTITUTE(E12,CHAR(160),""))),0)),"KO : Le montant retenu est supérieur au montant présenté.",(IFERROR(VALUE(TRIM(SUBSTITUTE(L12,CHAR(160),""))),0))=0,"",(IFERROR(VALUE(TRIM(SUBSTITUTE(L12,CHAR(160),""))),0))=ROUND(IFERROR(VALUE(TRIM(SUBSTITUTE(E12,CHAR(160),""))),0),2),"OK",ROUND(IFERROR(VALUE(TRIM(SUBSTITUTE(L12,CHAR(160),""))),0),2)&lt;ROUND(IFERROR(VALUE(TRIM(SUBSTITUTE(E12,CHAR(160),""))),0),2),"Attention : montant présenté partiellement écarté",TRUE,""))</f>
        <v/>
      </c>
      <c r="R12" s="358">
        <f t="shared" si="5"/>
        <v>0</v>
      </c>
    </row>
    <row r="13" spans="1:31" ht="48">
      <c r="A13" s="825">
        <v>4</v>
      </c>
      <c r="B13" s="837" t="s">
        <v>14</v>
      </c>
      <c r="C13" s="354" t="s">
        <v>316</v>
      </c>
      <c r="D13" s="838" t="s">
        <v>43</v>
      </c>
      <c r="E13" s="610">
        <f>IF(AND(D13="",B13=""),"",SUMIFS('3-Frais de personnel'!$O$10:$O$109,'3-Frais de personnel'!$D$10:$D$109,D13,'3-Frais de personnel'!$B$10:$B$109,B13))</f>
        <v>0</v>
      </c>
      <c r="F13" s="355">
        <f t="shared" si="6"/>
        <v>0</v>
      </c>
      <c r="G13" s="22"/>
      <c r="H13" s="355" t="str">
        <f t="shared" si="7"/>
        <v/>
      </c>
      <c r="I13" s="835"/>
      <c r="J13" s="836" t="str">
        <f t="shared" si="0"/>
        <v>Frais de personnel</v>
      </c>
      <c r="K13" s="36" t="str">
        <f t="shared" si="1"/>
        <v>Développement de nouveaux produits, pratiques, procédés et techniques</v>
      </c>
      <c r="L13" s="20">
        <f>SUMIFS('3-Frais de personnel'!$AD$10:$AD$109,'3-Frais de personnel'!$R$10:$R$109,'4-TF coûts indirects'!K13,'3-Frais de personnel'!$B$10:$B$109,B13)</f>
        <v>0</v>
      </c>
      <c r="M13" s="357">
        <f t="shared" si="2"/>
        <v>0</v>
      </c>
      <c r="N13" s="356" t="str">
        <f t="shared" si="3"/>
        <v/>
      </c>
      <c r="O13" s="357" t="str">
        <f t="shared" si="4"/>
        <v/>
      </c>
      <c r="P13" s="283"/>
      <c r="Q13" s="586" t="str" cm="1">
        <f t="array" ref="Q13">IF(OR(L13="",E13=""),"",_xlfn.IFS((IFERROR(VALUE(TRIM(SUBSTITUTE(L13,CHAR(160),""))),0))&gt;(IFERROR(VALUE(TRIM(SUBSTITUTE(E13,CHAR(160),""))),0)),"KO : Le montant retenu est supérieur au montant présenté.",(IFERROR(VALUE(TRIM(SUBSTITUTE(L13,CHAR(160),""))),0))=0,"",(IFERROR(VALUE(TRIM(SUBSTITUTE(L13,CHAR(160),""))),0))=ROUND(IFERROR(VALUE(TRIM(SUBSTITUTE(E13,CHAR(160),""))),0),2),"OK",ROUND(IFERROR(VALUE(TRIM(SUBSTITUTE(L13,CHAR(160),""))),0),2)&lt;ROUND(IFERROR(VALUE(TRIM(SUBSTITUTE(E13,CHAR(160),""))),0),2),"Attention : montant présenté partiellement écarté",TRUE,""))</f>
        <v/>
      </c>
      <c r="R13" s="358">
        <f t="shared" si="5"/>
        <v>0</v>
      </c>
    </row>
    <row r="14" spans="1:31" ht="48">
      <c r="A14" s="825">
        <v>5</v>
      </c>
      <c r="B14" s="837" t="s">
        <v>15</v>
      </c>
      <c r="C14" s="354" t="s">
        <v>316</v>
      </c>
      <c r="D14" s="838" t="s">
        <v>43</v>
      </c>
      <c r="E14" s="610">
        <f>IF(AND(D14="",B14=""),"",SUMIFS('3-Frais de personnel'!$O$10:$O$109,'3-Frais de personnel'!$D$10:$D$109,D14,'3-Frais de personnel'!$B$10:$B$109,B14))</f>
        <v>0</v>
      </c>
      <c r="F14" s="355">
        <f t="shared" si="6"/>
        <v>0</v>
      </c>
      <c r="G14" s="22"/>
      <c r="H14" s="355" t="str">
        <f t="shared" si="7"/>
        <v/>
      </c>
      <c r="I14" s="835"/>
      <c r="J14" s="836" t="str">
        <f t="shared" si="0"/>
        <v>Frais de personnel</v>
      </c>
      <c r="K14" s="36" t="str">
        <f t="shared" si="1"/>
        <v>Développement de nouveaux produits, pratiques, procédés et techniques</v>
      </c>
      <c r="L14" s="20">
        <f>SUMIFS('3-Frais de personnel'!$AD$10:$AD$109,'3-Frais de personnel'!$R$10:$R$109,'4-TF coûts indirects'!K14,'3-Frais de personnel'!$B$10:$B$109,B14)</f>
        <v>0</v>
      </c>
      <c r="M14" s="357">
        <f t="shared" si="2"/>
        <v>0</v>
      </c>
      <c r="N14" s="356" t="str">
        <f t="shared" si="3"/>
        <v/>
      </c>
      <c r="O14" s="357" t="str">
        <f t="shared" si="4"/>
        <v/>
      </c>
      <c r="P14" s="283"/>
      <c r="Q14" s="586" t="str" cm="1">
        <f t="array" ref="Q14">IF(OR(L14="",E14=""),"",_xlfn.IFS((IFERROR(VALUE(TRIM(SUBSTITUTE(L14,CHAR(160),""))),0))&gt;(IFERROR(VALUE(TRIM(SUBSTITUTE(E14,CHAR(160),""))),0)),"KO : Le montant retenu est supérieur au montant présenté.",(IFERROR(VALUE(TRIM(SUBSTITUTE(L14,CHAR(160),""))),0))=0,"",(IFERROR(VALUE(TRIM(SUBSTITUTE(L14,CHAR(160),""))),0))=ROUND(IFERROR(VALUE(TRIM(SUBSTITUTE(E14,CHAR(160),""))),0),2),"OK",ROUND(IFERROR(VALUE(TRIM(SUBSTITUTE(L14,CHAR(160),""))),0),2)&lt;ROUND(IFERROR(VALUE(TRIM(SUBSTITUTE(E14,CHAR(160),""))),0),2),"Attention : montant présenté partiellement écarté",TRUE,""))</f>
        <v/>
      </c>
      <c r="R14" s="358">
        <f t="shared" si="5"/>
        <v>0</v>
      </c>
    </row>
    <row r="15" spans="1:31" ht="48">
      <c r="A15" s="825">
        <v>6</v>
      </c>
      <c r="B15" s="837" t="s">
        <v>16</v>
      </c>
      <c r="C15" s="354" t="s">
        <v>316</v>
      </c>
      <c r="D15" s="838" t="s">
        <v>43</v>
      </c>
      <c r="E15" s="610">
        <f>IF(AND(D15="",B15=""),"",SUMIFS('3-Frais de personnel'!$O$10:$O$109,'3-Frais de personnel'!$D$10:$D$109,D15,'3-Frais de personnel'!$B$10:$B$109,B15))</f>
        <v>0</v>
      </c>
      <c r="F15" s="355">
        <f t="shared" si="6"/>
        <v>0</v>
      </c>
      <c r="G15" s="22"/>
      <c r="H15" s="355" t="str">
        <f t="shared" si="7"/>
        <v/>
      </c>
      <c r="I15" s="835"/>
      <c r="J15" s="836" t="str">
        <f t="shared" si="0"/>
        <v>Frais de personnel</v>
      </c>
      <c r="K15" s="36" t="str">
        <f t="shared" si="1"/>
        <v>Développement de nouveaux produits, pratiques, procédés et techniques</v>
      </c>
      <c r="L15" s="20">
        <f>SUMIFS('3-Frais de personnel'!$AD$10:$AD$109,'3-Frais de personnel'!$R$10:$R$109,'4-TF coûts indirects'!K15,'3-Frais de personnel'!$B$10:$B$109,B15)</f>
        <v>0</v>
      </c>
      <c r="M15" s="357">
        <f t="shared" si="2"/>
        <v>0</v>
      </c>
      <c r="N15" s="356" t="str">
        <f t="shared" si="3"/>
        <v/>
      </c>
      <c r="O15" s="357" t="str">
        <f t="shared" si="4"/>
        <v/>
      </c>
      <c r="P15" s="283"/>
      <c r="Q15" s="586" t="str" cm="1">
        <f t="array" ref="Q15">IF(OR(L15="",E15=""),"",_xlfn.IFS((IFERROR(VALUE(TRIM(SUBSTITUTE(L15,CHAR(160),""))),0))&gt;(IFERROR(VALUE(TRIM(SUBSTITUTE(E15,CHAR(160),""))),0)),"KO : Le montant retenu est supérieur au montant présenté.",(IFERROR(VALUE(TRIM(SUBSTITUTE(L15,CHAR(160),""))),0))=0,"",(IFERROR(VALUE(TRIM(SUBSTITUTE(L15,CHAR(160),""))),0))=ROUND(IFERROR(VALUE(TRIM(SUBSTITUTE(E15,CHAR(160),""))),0),2),"OK",ROUND(IFERROR(VALUE(TRIM(SUBSTITUTE(L15,CHAR(160),""))),0),2)&lt;ROUND(IFERROR(VALUE(TRIM(SUBSTITUTE(E15,CHAR(160),""))),0),2),"Attention : montant présenté partiellement écarté",TRUE,""))</f>
        <v/>
      </c>
      <c r="R15" s="358">
        <f t="shared" si="5"/>
        <v>0</v>
      </c>
    </row>
    <row r="16" spans="1:31" ht="48">
      <c r="A16" s="825">
        <v>7</v>
      </c>
      <c r="B16" s="837" t="s">
        <v>17</v>
      </c>
      <c r="C16" s="354" t="s">
        <v>316</v>
      </c>
      <c r="D16" s="838" t="s">
        <v>43</v>
      </c>
      <c r="E16" s="610">
        <f>IF(AND(D16="",B16=""),"",SUMIFS('3-Frais de personnel'!$O$10:$O$109,'3-Frais de personnel'!$D$10:$D$109,D16,'3-Frais de personnel'!$B$10:$B$109,B16))</f>
        <v>0</v>
      </c>
      <c r="F16" s="355">
        <f t="shared" si="6"/>
        <v>0</v>
      </c>
      <c r="G16" s="22"/>
      <c r="H16" s="355" t="str">
        <f t="shared" si="7"/>
        <v/>
      </c>
      <c r="I16" s="835"/>
      <c r="J16" s="836" t="str">
        <f t="shared" si="0"/>
        <v>Frais de personnel</v>
      </c>
      <c r="K16" s="36" t="str">
        <f t="shared" si="1"/>
        <v>Développement de nouveaux produits, pratiques, procédés et techniques</v>
      </c>
      <c r="L16" s="20">
        <f>SUMIFS('3-Frais de personnel'!$AD$10:$AD$109,'3-Frais de personnel'!$R$10:$R$109,'4-TF coûts indirects'!K16,'3-Frais de personnel'!$B$10:$B$109,B16)</f>
        <v>0</v>
      </c>
      <c r="M16" s="357">
        <f t="shared" si="2"/>
        <v>0</v>
      </c>
      <c r="N16" s="356" t="str">
        <f t="shared" si="3"/>
        <v/>
      </c>
      <c r="O16" s="357" t="str">
        <f t="shared" si="4"/>
        <v/>
      </c>
      <c r="P16" s="283"/>
      <c r="Q16" s="586" t="str" cm="1">
        <f t="array" ref="Q16">IF(OR(L16="",E16=""),"",_xlfn.IFS((IFERROR(VALUE(TRIM(SUBSTITUTE(L16,CHAR(160),""))),0))&gt;(IFERROR(VALUE(TRIM(SUBSTITUTE(E16,CHAR(160),""))),0)),"KO : Le montant retenu est supérieur au montant présenté.",(IFERROR(VALUE(TRIM(SUBSTITUTE(L16,CHAR(160),""))),0))=0,"",(IFERROR(VALUE(TRIM(SUBSTITUTE(L16,CHAR(160),""))),0))=ROUND(IFERROR(VALUE(TRIM(SUBSTITUTE(E16,CHAR(160),""))),0),2),"OK",ROUND(IFERROR(VALUE(TRIM(SUBSTITUTE(L16,CHAR(160),""))),0),2)&lt;ROUND(IFERROR(VALUE(TRIM(SUBSTITUTE(E16,CHAR(160),""))),0),2),"Attention : montant présenté partiellement écarté",TRUE,""))</f>
        <v/>
      </c>
      <c r="R16" s="358">
        <f t="shared" si="5"/>
        <v>0</v>
      </c>
    </row>
    <row r="17" spans="1:18" ht="48">
      <c r="A17" s="825">
        <v>8</v>
      </c>
      <c r="B17" s="837" t="s">
        <v>18</v>
      </c>
      <c r="C17" s="354" t="s">
        <v>316</v>
      </c>
      <c r="D17" s="838" t="s">
        <v>43</v>
      </c>
      <c r="E17" s="610">
        <f>IF(AND(D17="",B17=""),"",SUMIFS('3-Frais de personnel'!$O$10:$O$109,'3-Frais de personnel'!$D$10:$D$109,D17,'3-Frais de personnel'!$B$10:$B$109,B17))</f>
        <v>0</v>
      </c>
      <c r="F17" s="355">
        <f t="shared" si="6"/>
        <v>0</v>
      </c>
      <c r="G17" s="839"/>
      <c r="H17" s="355" t="str">
        <f t="shared" si="7"/>
        <v/>
      </c>
      <c r="I17" s="835"/>
      <c r="J17" s="836" t="str">
        <f t="shared" si="0"/>
        <v>Frais de personnel</v>
      </c>
      <c r="K17" s="36" t="str">
        <f t="shared" si="1"/>
        <v>Développement de nouveaux produits, pratiques, procédés et techniques</v>
      </c>
      <c r="L17" s="20">
        <f>SUMIFS('3-Frais de personnel'!$AD$10:$AD$109,'3-Frais de personnel'!$R$10:$R$109,'4-TF coûts indirects'!K17,'3-Frais de personnel'!$B$10:$B$109,B17)</f>
        <v>0</v>
      </c>
      <c r="M17" s="357">
        <f t="shared" si="2"/>
        <v>0</v>
      </c>
      <c r="N17" s="356" t="str">
        <f t="shared" si="3"/>
        <v/>
      </c>
      <c r="O17" s="357" t="str">
        <f t="shared" si="4"/>
        <v/>
      </c>
      <c r="P17" s="283"/>
      <c r="Q17" s="586" t="str" cm="1">
        <f t="array" ref="Q17">IF(OR(L17="",E17=""),"",_xlfn.IFS((IFERROR(VALUE(TRIM(SUBSTITUTE(L17,CHAR(160),""))),0))&gt;(IFERROR(VALUE(TRIM(SUBSTITUTE(E17,CHAR(160),""))),0)),"KO : Le montant retenu est supérieur au montant présenté.",(IFERROR(VALUE(TRIM(SUBSTITUTE(L17,CHAR(160),""))),0))=0,"",(IFERROR(VALUE(TRIM(SUBSTITUTE(L17,CHAR(160),""))),0))=ROUND(IFERROR(VALUE(TRIM(SUBSTITUTE(E17,CHAR(160),""))),0),2),"OK",ROUND(IFERROR(VALUE(TRIM(SUBSTITUTE(L17,CHAR(160),""))),0),2)&lt;ROUND(IFERROR(VALUE(TRIM(SUBSTITUTE(E17,CHAR(160),""))),0),2),"Attention : montant présenté partiellement écarté",TRUE,""))</f>
        <v/>
      </c>
      <c r="R17" s="358">
        <f t="shared" si="5"/>
        <v>0</v>
      </c>
    </row>
    <row r="18" spans="1:18" ht="48">
      <c r="A18" s="825">
        <v>9</v>
      </c>
      <c r="B18" s="837" t="s">
        <v>19</v>
      </c>
      <c r="C18" s="354" t="s">
        <v>316</v>
      </c>
      <c r="D18" s="838" t="s">
        <v>43</v>
      </c>
      <c r="E18" s="610">
        <f>IF(AND(D18="",B18=""),"",SUMIFS('3-Frais de personnel'!$O$10:$O$109,'3-Frais de personnel'!$D$10:$D$109,D18,'3-Frais de personnel'!$B$10:$B$109,B18))</f>
        <v>0</v>
      </c>
      <c r="F18" s="355">
        <f t="shared" si="6"/>
        <v>0</v>
      </c>
      <c r="G18" s="839"/>
      <c r="H18" s="355" t="str">
        <f t="shared" si="7"/>
        <v/>
      </c>
      <c r="I18" s="835"/>
      <c r="J18" s="836" t="str">
        <f>IF(C18="","",C18)</f>
        <v>Frais de personnel</v>
      </c>
      <c r="K18" s="36" t="str">
        <f t="shared" si="1"/>
        <v>Développement de nouveaux produits, pratiques, procédés et techniques</v>
      </c>
      <c r="L18" s="20">
        <f>SUMIFS('3-Frais de personnel'!$AD$10:$AD$109,'3-Frais de personnel'!$R$10:$R$109,'4-TF coûts indirects'!K18,'3-Frais de personnel'!$B$10:$B$109,B18)</f>
        <v>0</v>
      </c>
      <c r="M18" s="357">
        <f t="shared" si="2"/>
        <v>0</v>
      </c>
      <c r="N18" s="356" t="str">
        <f t="shared" si="3"/>
        <v/>
      </c>
      <c r="O18" s="357" t="str">
        <f t="shared" si="4"/>
        <v/>
      </c>
      <c r="P18" s="283"/>
      <c r="Q18" s="586" t="str" cm="1">
        <f t="array" ref="Q18">IF(OR(L18="",E18=""),"",_xlfn.IFS((IFERROR(VALUE(TRIM(SUBSTITUTE(L18,CHAR(160),""))),0))&gt;(IFERROR(VALUE(TRIM(SUBSTITUTE(E18,CHAR(160),""))),0)),"KO : Le montant retenu est supérieur au montant présenté.",(IFERROR(VALUE(TRIM(SUBSTITUTE(L18,CHAR(160),""))),0))=0,"",(IFERROR(VALUE(TRIM(SUBSTITUTE(L18,CHAR(160),""))),0))=ROUND(IFERROR(VALUE(TRIM(SUBSTITUTE(E18,CHAR(160),""))),0),2),"OK",ROUND(IFERROR(VALUE(TRIM(SUBSTITUTE(L18,CHAR(160),""))),0),2)&lt;ROUND(IFERROR(VALUE(TRIM(SUBSTITUTE(E18,CHAR(160),""))),0),2),"Attention : montant présenté partiellement écarté",TRUE,""))</f>
        <v/>
      </c>
      <c r="R18" s="358">
        <f t="shared" si="5"/>
        <v>0</v>
      </c>
    </row>
    <row r="19" spans="1:18" ht="48">
      <c r="A19" s="825">
        <v>10</v>
      </c>
      <c r="B19" s="837" t="s">
        <v>20</v>
      </c>
      <c r="C19" s="354" t="s">
        <v>316</v>
      </c>
      <c r="D19" s="838" t="s">
        <v>43</v>
      </c>
      <c r="E19" s="610">
        <f>IF(AND(D19="",B19=""),"",SUMIFS('3-Frais de personnel'!$O$10:$O$109,'3-Frais de personnel'!$D$10:$D$109,D19,'3-Frais de personnel'!$B$10:$B$109,B19))</f>
        <v>0</v>
      </c>
      <c r="F19" s="355">
        <f t="shared" si="6"/>
        <v>0</v>
      </c>
      <c r="G19" s="839"/>
      <c r="H19" s="355" t="str">
        <f t="shared" si="7"/>
        <v/>
      </c>
      <c r="I19" s="835"/>
      <c r="J19" s="836" t="str">
        <f t="shared" si="0"/>
        <v>Frais de personnel</v>
      </c>
      <c r="K19" s="36" t="str">
        <f t="shared" si="1"/>
        <v>Développement de nouveaux produits, pratiques, procédés et techniques</v>
      </c>
      <c r="L19" s="20">
        <f>SUMIFS('3-Frais de personnel'!$AD$10:$AD$109,'3-Frais de personnel'!$R$10:$R$109,'4-TF coûts indirects'!K19,'3-Frais de personnel'!$B$10:$B$109,B19)</f>
        <v>0</v>
      </c>
      <c r="M19" s="357">
        <f t="shared" si="2"/>
        <v>0</v>
      </c>
      <c r="N19" s="356" t="str">
        <f t="shared" si="3"/>
        <v/>
      </c>
      <c r="O19" s="357" t="str">
        <f t="shared" si="4"/>
        <v/>
      </c>
      <c r="P19" s="283"/>
      <c r="Q19" s="586" t="str" cm="1">
        <f t="array" ref="Q19">IF(OR(L19="",E19=""),"",_xlfn.IFS((IFERROR(VALUE(TRIM(SUBSTITUTE(L19,CHAR(160),""))),0))&gt;(IFERROR(VALUE(TRIM(SUBSTITUTE(E19,CHAR(160),""))),0)),"KO : Le montant retenu est supérieur au montant présenté.",(IFERROR(VALUE(TRIM(SUBSTITUTE(L19,CHAR(160),""))),0))=0,"",(IFERROR(VALUE(TRIM(SUBSTITUTE(L19,CHAR(160),""))),0))=ROUND(IFERROR(VALUE(TRIM(SUBSTITUTE(E19,CHAR(160),""))),0),2),"OK",ROUND(IFERROR(VALUE(TRIM(SUBSTITUTE(L19,CHAR(160),""))),0),2)&lt;ROUND(IFERROR(VALUE(TRIM(SUBSTITUTE(E19,CHAR(160),""))),0),2),"Attention : montant présenté partiellement écarté",TRUE,""))</f>
        <v/>
      </c>
      <c r="R19" s="358">
        <f t="shared" si="5"/>
        <v>0</v>
      </c>
    </row>
    <row r="20" spans="1:18" ht="48">
      <c r="A20" s="825">
        <v>11</v>
      </c>
      <c r="B20" s="837" t="s">
        <v>21</v>
      </c>
      <c r="C20" s="354" t="s">
        <v>316</v>
      </c>
      <c r="D20" s="838" t="s">
        <v>43</v>
      </c>
      <c r="E20" s="610">
        <f>IF(AND(D20="",B20=""),"",SUMIFS('3-Frais de personnel'!$O$10:$O$109,'3-Frais de personnel'!$D$10:$D$109,D20,'3-Frais de personnel'!$B$10:$B$109,B20))</f>
        <v>0</v>
      </c>
      <c r="F20" s="355">
        <f t="shared" si="6"/>
        <v>0</v>
      </c>
      <c r="G20" s="826"/>
      <c r="H20" s="355" t="str">
        <f t="shared" si="7"/>
        <v/>
      </c>
      <c r="I20" s="827"/>
      <c r="J20" s="836" t="str">
        <f t="shared" si="0"/>
        <v>Frais de personnel</v>
      </c>
      <c r="K20" s="36" t="str">
        <f t="shared" si="1"/>
        <v>Développement de nouveaux produits, pratiques, procédés et techniques</v>
      </c>
      <c r="L20" s="20">
        <f>SUMIFS('3-Frais de personnel'!$AD$10:$AD$109,'3-Frais de personnel'!$R$10:$R$109,'4-TF coûts indirects'!K20,'3-Frais de personnel'!$B$10:$B$109,B20)</f>
        <v>0</v>
      </c>
      <c r="M20" s="357">
        <f>IFERROR(0.15*L20,"")</f>
        <v>0</v>
      </c>
      <c r="N20" s="356" t="str">
        <f t="shared" si="3"/>
        <v/>
      </c>
      <c r="O20" s="357" t="str">
        <f t="shared" si="4"/>
        <v/>
      </c>
      <c r="P20" s="283"/>
      <c r="Q20" s="586" t="str" cm="1">
        <f t="array" ref="Q20">IF(OR(L20="",E20=""),"",_xlfn.IFS((IFERROR(VALUE(TRIM(SUBSTITUTE(L20,CHAR(160),""))),0))&gt;(IFERROR(VALUE(TRIM(SUBSTITUTE(E20,CHAR(160),""))),0)),"KO : Le montant retenu est supérieur au montant présenté.",(IFERROR(VALUE(TRIM(SUBSTITUTE(L20,CHAR(160),""))),0))=0,"",(IFERROR(VALUE(TRIM(SUBSTITUTE(L20,CHAR(160),""))),0))=ROUND(IFERROR(VALUE(TRIM(SUBSTITUTE(E20,CHAR(160),""))),0),2),"OK",ROUND(IFERROR(VALUE(TRIM(SUBSTITUTE(L20,CHAR(160),""))),0),2)&lt;ROUND(IFERROR(VALUE(TRIM(SUBSTITUTE(E20,CHAR(160),""))),0),2),"Attention : montant présenté partiellement écarté",TRUE,""))</f>
        <v/>
      </c>
      <c r="R20" s="358">
        <f t="shared" si="5"/>
        <v>0</v>
      </c>
    </row>
    <row r="21" spans="1:18">
      <c r="A21" s="1487"/>
      <c r="B21" s="1488"/>
      <c r="C21" s="1488"/>
      <c r="D21" s="820"/>
      <c r="E21" s="360">
        <f>SUM(E10:E20)</f>
        <v>2514.9</v>
      </c>
      <c r="F21" s="361"/>
      <c r="G21" s="361"/>
      <c r="H21" s="362">
        <f>SUM(H10:H20)</f>
        <v>377.23500000000001</v>
      </c>
      <c r="I21" s="363"/>
      <c r="J21" s="359"/>
      <c r="K21" s="361"/>
      <c r="L21" s="362"/>
      <c r="M21" s="361"/>
      <c r="N21" s="364" t="s">
        <v>322</v>
      </c>
      <c r="O21" s="365">
        <f>SUM(O10:O20)</f>
        <v>377.23500000000001</v>
      </c>
      <c r="P21" s="361"/>
      <c r="Q21" s="361"/>
      <c r="R21" s="366">
        <f>SUM(R10:R10)</f>
        <v>0</v>
      </c>
    </row>
  </sheetData>
  <mergeCells count="16">
    <mergeCell ref="AE5:AE6"/>
    <mergeCell ref="A5:F6"/>
    <mergeCell ref="G5:G6"/>
    <mergeCell ref="H5:H6"/>
    <mergeCell ref="I5:I6"/>
    <mergeCell ref="J5:N6"/>
    <mergeCell ref="P5:P6"/>
    <mergeCell ref="Q5:Q6"/>
    <mergeCell ref="R5:R6"/>
    <mergeCell ref="AC5:AC6"/>
    <mergeCell ref="AD5:AD6"/>
    <mergeCell ref="A2:I2"/>
    <mergeCell ref="J2:R2"/>
    <mergeCell ref="A7:A8"/>
    <mergeCell ref="A21:C21"/>
    <mergeCell ref="O5:O6"/>
  </mergeCells>
  <conditionalFormatting sqref="J10:O20">
    <cfRule type="expression" dxfId="31" priority="341">
      <formula>C9&lt;&gt;J9</formula>
    </cfRule>
  </conditionalFormatting>
  <conditionalFormatting sqref="L10:L20">
    <cfRule type="expression" dxfId="30" priority="2" stopIfTrue="1">
      <formula>L10&lt;&gt;E10</formula>
    </cfRule>
  </conditionalFormatting>
  <conditionalFormatting sqref="Q9:Q20">
    <cfRule type="containsText" dxfId="29" priority="5" operator="containsText" text="OK">
      <formula>NOT(ISERROR(SEARCH("OK",Q9)))</formula>
    </cfRule>
    <cfRule type="containsText" dxfId="28" priority="6" operator="containsText" text="KO">
      <formula>NOT(ISERROR(SEARCH("KO",Q9)))</formula>
    </cfRule>
    <cfRule type="containsText" dxfId="27" priority="7" operator="containsText" text="Attention">
      <formula>NOT(ISERROR(SEARCH("Attention",Q9)))</formula>
    </cfRule>
  </conditionalFormatting>
  <dataValidations count="1">
    <dataValidation type="list" allowBlank="1" showInputMessage="1" showErrorMessage="1" sqref="G10:G20" xr:uid="{E3F02265-3C73-4A92-87B3-194E98FC9ABB}">
      <formula1>"Oui,Non"</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FD6356F-5FDD-4DBC-9600-03CC656A5965}">
          <x14:formula1>
            <xm:f>'0-Présentation typeaction'!$H$26:$H$36</xm:f>
          </x14:formula1>
          <xm:sqref>B10:B20</xm:sqref>
        </x14:dataValidation>
        <x14:dataValidation type="list" allowBlank="1" showInputMessage="1" showErrorMessage="1" xr:uid="{AC4C4ECF-06C3-42C3-B55B-E18F47620CAE}">
          <x14:formula1>
            <xm:f>'0-Présentation typeaction'!$H$7</xm:f>
          </x14:formula1>
          <xm:sqref>D9:D20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125D-AAA2-4E8D-8363-491604C0D457}">
  <sheetPr>
    <tabColor rgb="FF227A56"/>
    <pageSetUpPr autoPageBreaks="0"/>
  </sheetPr>
  <dimension ref="A1:CB62"/>
  <sheetViews>
    <sheetView showGridLines="0" topLeftCell="O3" zoomScale="43" zoomScaleNormal="70" workbookViewId="0">
      <selection activeCell="Y3" sqref="Y3"/>
    </sheetView>
  </sheetViews>
  <sheetFormatPr defaultColWidth="11.42578125" defaultRowHeight="15" outlineLevelCol="1"/>
  <cols>
    <col min="2" max="5" width="20.42578125" customWidth="1"/>
    <col min="6" max="6" width="21.140625" customWidth="1"/>
    <col min="7" max="7" width="17.140625" customWidth="1"/>
    <col min="8" max="31" width="19.42578125" customWidth="1"/>
    <col min="32" max="32" width="32.42578125" customWidth="1"/>
    <col min="33" max="33" width="43.85546875" customWidth="1"/>
    <col min="34" max="34" width="36.42578125" customWidth="1"/>
    <col min="35" max="37" width="20.42578125" customWidth="1" outlineLevel="1"/>
    <col min="38" max="38" width="23.85546875" customWidth="1" outlineLevel="1"/>
    <col min="39" max="39" width="21.140625" customWidth="1" outlineLevel="1"/>
    <col min="40" max="40" width="17.140625" customWidth="1" outlineLevel="1"/>
    <col min="41" max="44" width="19.42578125" customWidth="1" outlineLevel="1"/>
    <col min="45" max="54" width="19.42578125" style="346" customWidth="1" outlineLevel="1"/>
    <col min="55" max="55" width="18.85546875" style="346" customWidth="1" outlineLevel="1"/>
    <col min="56" max="56" width="17.42578125" style="346" customWidth="1" outlineLevel="1"/>
    <col min="57" max="68" width="16" style="346" customWidth="1" outlineLevel="1"/>
    <col min="69" max="69" width="53.42578125" style="346" customWidth="1" outlineLevel="1"/>
    <col min="70" max="71" width="38.42578125" customWidth="1" outlineLevel="1"/>
    <col min="72" max="73" width="30" customWidth="1" outlineLevel="1"/>
    <col min="74" max="76" width="16" customWidth="1" outlineLevel="1"/>
    <col min="80" max="80" width="42.85546875" customWidth="1"/>
  </cols>
  <sheetData>
    <row r="1" spans="1:80" ht="69" customHeight="1">
      <c r="A1" s="1501" t="s">
        <v>323</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2"/>
      <c r="AE1" s="1502"/>
      <c r="AF1" s="1502"/>
      <c r="AG1" s="1502"/>
      <c r="AH1" s="1503"/>
      <c r="AI1" s="1504" t="s">
        <v>324</v>
      </c>
      <c r="AJ1" s="1505"/>
      <c r="AK1" s="1505"/>
      <c r="AL1" s="1505"/>
      <c r="AM1" s="1505"/>
      <c r="AN1" s="1505"/>
      <c r="AO1" s="1505"/>
      <c r="AP1" s="1505"/>
      <c r="AQ1" s="1505"/>
      <c r="AR1" s="1505"/>
      <c r="AS1" s="1505"/>
      <c r="AT1" s="1505"/>
      <c r="AU1" s="1505"/>
      <c r="AV1" s="1505"/>
      <c r="AW1" s="1505"/>
      <c r="AX1" s="1505"/>
      <c r="AY1" s="1505"/>
      <c r="AZ1" s="1505"/>
      <c r="BA1" s="1505"/>
      <c r="BB1" s="1505"/>
      <c r="BC1" s="1505"/>
      <c r="BD1" s="1505"/>
      <c r="BE1" s="1505"/>
      <c r="BF1" s="1505"/>
      <c r="BG1" s="1505"/>
      <c r="BH1" s="1505"/>
      <c r="BI1" s="1505"/>
      <c r="BJ1" s="1505"/>
      <c r="BK1" s="1505"/>
      <c r="BL1" s="1505"/>
      <c r="BM1" s="1505"/>
      <c r="BN1" s="1505"/>
      <c r="BO1" s="1505"/>
      <c r="BP1" s="1505"/>
      <c r="BQ1" s="1505"/>
      <c r="BR1" s="1505"/>
      <c r="BS1" s="1505"/>
      <c r="BT1" s="1505"/>
      <c r="BU1" s="1505"/>
      <c r="BV1" s="1505"/>
      <c r="BW1" s="1505"/>
      <c r="BX1" s="1506"/>
    </row>
    <row r="2" spans="1:80" s="96" customFormat="1" ht="56.45" customHeight="1" thickBot="1">
      <c r="A2" s="516"/>
      <c r="B2" s="516"/>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6"/>
      <c r="AL2" s="516"/>
      <c r="AM2" s="516"/>
      <c r="AN2" s="516"/>
      <c r="AO2" s="516"/>
      <c r="AP2" s="516"/>
      <c r="AQ2" s="516"/>
      <c r="AR2" s="516"/>
      <c r="AS2" s="516"/>
      <c r="AT2" s="516"/>
      <c r="AU2" s="516"/>
      <c r="AV2" s="516"/>
      <c r="AW2" s="516"/>
      <c r="AX2" s="516"/>
      <c r="AY2" s="516"/>
      <c r="AZ2" s="516"/>
      <c r="BA2" s="516"/>
      <c r="BB2" s="516"/>
      <c r="BC2" s="516"/>
      <c r="BD2" s="516"/>
      <c r="BE2" s="516"/>
      <c r="BF2" s="516"/>
      <c r="BG2" s="516"/>
      <c r="BH2" s="516"/>
      <c r="BI2" s="516"/>
      <c r="BJ2" s="516"/>
      <c r="BK2" s="516"/>
      <c r="BL2" s="516"/>
      <c r="BM2" s="516"/>
      <c r="BN2" s="516"/>
      <c r="BO2" s="516"/>
      <c r="BP2" s="516"/>
      <c r="BQ2" s="516"/>
      <c r="BR2" s="516"/>
      <c r="BS2" s="516"/>
      <c r="BT2" s="516"/>
      <c r="BU2" s="516"/>
      <c r="BV2" s="516"/>
      <c r="BW2" s="516"/>
      <c r="BX2" s="516"/>
    </row>
    <row r="3" spans="1:80" ht="409.5" customHeight="1" thickBot="1">
      <c r="C3" s="1495" t="s">
        <v>325</v>
      </c>
      <c r="D3" s="1496"/>
      <c r="E3" s="1496"/>
      <c r="F3" s="1496"/>
      <c r="G3" s="1496"/>
      <c r="H3" s="1496"/>
      <c r="I3" s="1496"/>
      <c r="J3" s="1497"/>
      <c r="K3" s="367"/>
      <c r="L3" s="1498" t="s">
        <v>326</v>
      </c>
      <c r="M3" s="1499"/>
      <c r="N3" s="1499"/>
      <c r="O3" s="1499"/>
      <c r="P3" s="1499"/>
      <c r="Q3" s="1499"/>
      <c r="R3" s="1500"/>
      <c r="S3" s="367"/>
      <c r="T3" s="367"/>
      <c r="U3" s="367"/>
      <c r="V3" s="367"/>
      <c r="W3" s="367"/>
      <c r="X3" s="367"/>
      <c r="Y3" s="367"/>
      <c r="Z3" s="367"/>
      <c r="AA3" s="367"/>
      <c r="AB3" s="367"/>
      <c r="AC3" s="367"/>
      <c r="AD3" s="367"/>
      <c r="AE3" s="367"/>
      <c r="AF3" s="367"/>
      <c r="AG3" s="367"/>
      <c r="AH3" s="367"/>
    </row>
    <row r="4" spans="1:80" s="96" customFormat="1" ht="100.5" customHeight="1" thickBot="1"/>
    <row r="5" spans="1:80" s="158" customFormat="1" ht="73.5" customHeight="1" thickBot="1">
      <c r="A5" s="1395" t="s">
        <v>69</v>
      </c>
      <c r="B5" s="1396"/>
      <c r="C5" s="1396"/>
      <c r="D5" s="1396"/>
      <c r="E5" s="1396"/>
      <c r="F5" s="1445" t="s">
        <v>327</v>
      </c>
      <c r="G5" s="1446"/>
      <c r="H5" s="1446"/>
      <c r="I5" s="1446"/>
      <c r="J5" s="1446"/>
      <c r="K5" s="1446"/>
      <c r="L5" s="1446"/>
      <c r="M5" s="1446"/>
      <c r="N5" s="1446"/>
      <c r="O5" s="1446"/>
      <c r="P5" s="1446"/>
      <c r="Q5" s="1446"/>
      <c r="R5" s="1446"/>
      <c r="S5" s="1446"/>
      <c r="T5" s="1446"/>
      <c r="U5" s="1446"/>
      <c r="V5" s="1446"/>
      <c r="W5" s="1446"/>
      <c r="X5" s="1446"/>
      <c r="Y5" s="1531" t="s">
        <v>328</v>
      </c>
      <c r="Z5" s="1531"/>
      <c r="AA5" s="1531"/>
      <c r="AB5" s="1531"/>
      <c r="AC5" s="1531"/>
      <c r="AD5" s="1531"/>
      <c r="AE5" s="1531"/>
      <c r="AF5" s="1532"/>
      <c r="AG5" s="1529" t="s">
        <v>72</v>
      </c>
      <c r="AH5" s="1387" t="s">
        <v>73</v>
      </c>
      <c r="AI5" s="1450" t="s">
        <v>329</v>
      </c>
      <c r="AJ5" s="1451"/>
      <c r="AK5" s="1451"/>
      <c r="AL5" s="1451"/>
      <c r="AM5" s="1450" t="s">
        <v>330</v>
      </c>
      <c r="AN5" s="1451"/>
      <c r="AO5" s="1451"/>
      <c r="AP5" s="1451"/>
      <c r="AQ5" s="1451"/>
      <c r="AR5" s="1451"/>
      <c r="AS5" s="1451"/>
      <c r="AT5" s="1451"/>
      <c r="AU5" s="1451"/>
      <c r="AV5" s="1451"/>
      <c r="AW5" s="1451"/>
      <c r="AX5" s="1451"/>
      <c r="AY5" s="1451"/>
      <c r="AZ5" s="1451"/>
      <c r="BA5" s="1451"/>
      <c r="BB5" s="1451"/>
      <c r="BC5" s="1451"/>
      <c r="BD5" s="1451"/>
      <c r="BE5" s="1451"/>
      <c r="BF5" s="1451"/>
      <c r="BG5" s="1451"/>
      <c r="BH5" s="1451"/>
      <c r="BI5" s="1451"/>
      <c r="BJ5" s="1523" t="s">
        <v>331</v>
      </c>
      <c r="BK5" s="1524"/>
      <c r="BL5" s="1524"/>
      <c r="BM5" s="1524"/>
      <c r="BN5" s="1524"/>
      <c r="BO5" s="1524"/>
      <c r="BP5" s="1525"/>
      <c r="BQ5" s="1521" t="s">
        <v>332</v>
      </c>
      <c r="BR5" s="1392" t="s">
        <v>333</v>
      </c>
      <c r="BS5" s="1392" t="s">
        <v>79</v>
      </c>
      <c r="BT5" s="1392"/>
      <c r="BU5" s="1392"/>
      <c r="BV5" s="1473" t="s">
        <v>222</v>
      </c>
      <c r="BW5" s="1484"/>
      <c r="BX5" s="1484"/>
      <c r="CB5" s="922" t="s">
        <v>334</v>
      </c>
    </row>
    <row r="6" spans="1:80" s="158" customFormat="1" ht="73.5" customHeight="1" thickBot="1">
      <c r="A6" s="1474"/>
      <c r="B6" s="1475"/>
      <c r="C6" s="1475"/>
      <c r="D6" s="1475"/>
      <c r="E6" s="1475"/>
      <c r="F6" s="1517" t="s">
        <v>335</v>
      </c>
      <c r="G6" s="1518"/>
      <c r="H6" s="1518"/>
      <c r="I6" s="1518"/>
      <c r="J6" s="1518"/>
      <c r="K6" s="1518"/>
      <c r="L6" s="1519" t="s">
        <v>81</v>
      </c>
      <c r="M6" s="1519"/>
      <c r="N6" s="1519"/>
      <c r="O6" s="1519" t="s">
        <v>82</v>
      </c>
      <c r="P6" s="1519"/>
      <c r="Q6" s="1519"/>
      <c r="R6" s="1520" t="s">
        <v>83</v>
      </c>
      <c r="S6" s="1520"/>
      <c r="T6" s="1520"/>
      <c r="U6" s="919" t="s">
        <v>336</v>
      </c>
      <c r="V6" s="1522" t="s">
        <v>337</v>
      </c>
      <c r="W6" s="1522"/>
      <c r="X6" s="1522"/>
      <c r="Y6" s="1533" t="s">
        <v>338</v>
      </c>
      <c r="Z6" s="1534"/>
      <c r="AA6" s="1534"/>
      <c r="AB6" s="1534"/>
      <c r="AC6" s="1534"/>
      <c r="AD6" s="1534"/>
      <c r="AE6" s="1535"/>
      <c r="AF6" s="918" t="s">
        <v>339</v>
      </c>
      <c r="AG6" s="1530"/>
      <c r="AH6" s="1403"/>
      <c r="AI6" s="1489"/>
      <c r="AJ6" s="1493"/>
      <c r="AK6" s="1493"/>
      <c r="AL6" s="1493"/>
      <c r="AM6" s="1515"/>
      <c r="AN6" s="1516"/>
      <c r="AO6" s="1516"/>
      <c r="AP6" s="1516"/>
      <c r="AQ6" s="1516"/>
      <c r="AR6" s="1516"/>
      <c r="AS6" s="1516"/>
      <c r="AT6" s="1516"/>
      <c r="AU6" s="1516"/>
      <c r="AV6" s="1516"/>
      <c r="AW6" s="1516"/>
      <c r="AX6" s="1516"/>
      <c r="AY6" s="1516"/>
      <c r="AZ6" s="1516"/>
      <c r="BA6" s="1516"/>
      <c r="BB6" s="1516"/>
      <c r="BC6" s="1516"/>
      <c r="BD6" s="1516"/>
      <c r="BE6" s="1516"/>
      <c r="BF6" s="1516"/>
      <c r="BG6" s="1516"/>
      <c r="BH6" s="1516"/>
      <c r="BI6" s="1516"/>
      <c r="BJ6" s="1526"/>
      <c r="BK6" s="1527"/>
      <c r="BL6" s="1527"/>
      <c r="BM6" s="1527"/>
      <c r="BN6" s="1527"/>
      <c r="BO6" s="1527"/>
      <c r="BP6" s="1528"/>
      <c r="BQ6" s="1521"/>
      <c r="BR6" s="1392"/>
      <c r="BS6" s="1392"/>
      <c r="BT6" s="1392"/>
      <c r="BU6" s="1392"/>
      <c r="BV6" s="1473"/>
      <c r="BW6" s="1484"/>
      <c r="BX6" s="1484"/>
      <c r="CB6" s="923" t="s">
        <v>340</v>
      </c>
    </row>
    <row r="7" spans="1:80" s="25" customFormat="1" ht="73.5" customHeight="1">
      <c r="A7" s="1507" t="s">
        <v>86</v>
      </c>
      <c r="B7" s="596" t="s">
        <v>66</v>
      </c>
      <c r="C7" s="597" t="s">
        <v>38</v>
      </c>
      <c r="D7" s="1494" t="s">
        <v>87</v>
      </c>
      <c r="E7" s="598" t="s">
        <v>341</v>
      </c>
      <c r="F7" s="563" t="s">
        <v>93</v>
      </c>
      <c r="G7" s="518" t="s">
        <v>342</v>
      </c>
      <c r="H7" s="519" t="s">
        <v>96</v>
      </c>
      <c r="I7" s="518" t="s">
        <v>343</v>
      </c>
      <c r="J7" s="518" t="s">
        <v>344</v>
      </c>
      <c r="K7" s="519" t="s">
        <v>345</v>
      </c>
      <c r="L7" s="153" t="s">
        <v>346</v>
      </c>
      <c r="M7" s="153" t="s">
        <v>347</v>
      </c>
      <c r="N7" s="153" t="s">
        <v>348</v>
      </c>
      <c r="O7" s="580" t="s">
        <v>349</v>
      </c>
      <c r="P7" s="580" t="s">
        <v>350</v>
      </c>
      <c r="Q7" s="580" t="s">
        <v>351</v>
      </c>
      <c r="R7" s="153" t="s">
        <v>103</v>
      </c>
      <c r="S7" s="153" t="s">
        <v>104</v>
      </c>
      <c r="T7" s="153" t="s">
        <v>105</v>
      </c>
      <c r="U7" s="602" t="s">
        <v>106</v>
      </c>
      <c r="V7" s="153" t="s">
        <v>352</v>
      </c>
      <c r="W7" s="153" t="s">
        <v>353</v>
      </c>
      <c r="X7" s="153" t="s">
        <v>354</v>
      </c>
      <c r="Y7" s="920" t="s">
        <v>355</v>
      </c>
      <c r="Z7" s="301" t="s">
        <v>356</v>
      </c>
      <c r="AA7" s="696" t="s">
        <v>357</v>
      </c>
      <c r="AB7" s="520" t="s">
        <v>358</v>
      </c>
      <c r="AC7" s="517" t="s">
        <v>359</v>
      </c>
      <c r="AD7" s="517" t="s">
        <v>360</v>
      </c>
      <c r="AE7" s="558" t="s">
        <v>361</v>
      </c>
      <c r="AF7" s="560" t="s">
        <v>362</v>
      </c>
      <c r="AG7" s="1509" t="s">
        <v>363</v>
      </c>
      <c r="AH7" s="1511" t="s">
        <v>364</v>
      </c>
      <c r="AI7" s="528" t="s">
        <v>66</v>
      </c>
      <c r="AJ7" s="529" t="s">
        <v>38</v>
      </c>
      <c r="AK7" s="530" t="s">
        <v>87</v>
      </c>
      <c r="AL7" s="531" t="s">
        <v>341</v>
      </c>
      <c r="AM7" s="532" t="s">
        <v>93</v>
      </c>
      <c r="AN7" s="533" t="s">
        <v>365</v>
      </c>
      <c r="AO7" s="534" t="s">
        <v>96</v>
      </c>
      <c r="AP7" s="533" t="s">
        <v>343</v>
      </c>
      <c r="AQ7" s="533" t="s">
        <v>344</v>
      </c>
      <c r="AR7" s="534" t="s">
        <v>345</v>
      </c>
      <c r="AS7" s="535" t="s">
        <v>346</v>
      </c>
      <c r="AT7" s="530" t="s">
        <v>347</v>
      </c>
      <c r="AU7" s="536" t="s">
        <v>348</v>
      </c>
      <c r="AV7" s="537" t="s">
        <v>349</v>
      </c>
      <c r="AW7" s="530" t="s">
        <v>350</v>
      </c>
      <c r="AX7" s="538" t="s">
        <v>351</v>
      </c>
      <c r="AY7" s="539" t="s">
        <v>103</v>
      </c>
      <c r="AZ7" s="530" t="s">
        <v>104</v>
      </c>
      <c r="BA7" s="538" t="s">
        <v>105</v>
      </c>
      <c r="BB7" s="539" t="s">
        <v>112</v>
      </c>
      <c r="BC7" s="533" t="s">
        <v>187</v>
      </c>
      <c r="BD7" s="540" t="s">
        <v>366</v>
      </c>
      <c r="BE7" s="540" t="s">
        <v>367</v>
      </c>
      <c r="BF7" s="540" t="s">
        <v>368</v>
      </c>
      <c r="BG7" s="540" t="s">
        <v>369</v>
      </c>
      <c r="BH7" s="540" t="s">
        <v>370</v>
      </c>
      <c r="BI7" s="540" t="s">
        <v>371</v>
      </c>
      <c r="BJ7" s="706" t="s">
        <v>372</v>
      </c>
      <c r="BK7" s="61" t="s">
        <v>373</v>
      </c>
      <c r="BL7" s="631" t="s">
        <v>374</v>
      </c>
      <c r="BM7" s="631" t="s">
        <v>375</v>
      </c>
      <c r="BN7" s="631" t="s">
        <v>376</v>
      </c>
      <c r="BO7" s="631" t="s">
        <v>377</v>
      </c>
      <c r="BP7" s="707" t="s">
        <v>378</v>
      </c>
      <c r="BQ7" s="1513" t="s">
        <v>379</v>
      </c>
      <c r="BR7" s="540" t="s">
        <v>120</v>
      </c>
      <c r="BS7" s="530" t="s">
        <v>121</v>
      </c>
      <c r="BT7" s="540" t="s">
        <v>380</v>
      </c>
      <c r="BU7" s="540" t="s">
        <v>381</v>
      </c>
      <c r="BV7" s="588" t="s">
        <v>123</v>
      </c>
      <c r="BW7" s="588" t="s">
        <v>124</v>
      </c>
      <c r="BX7" s="589" t="s">
        <v>125</v>
      </c>
      <c r="CB7" s="923" t="s">
        <v>382</v>
      </c>
    </row>
    <row r="8" spans="1:80" ht="134.44999999999999" customHeight="1">
      <c r="A8" s="1508"/>
      <c r="B8" s="599" t="s">
        <v>126</v>
      </c>
      <c r="C8" s="600" t="s">
        <v>189</v>
      </c>
      <c r="D8" s="1486"/>
      <c r="E8" s="601" t="s">
        <v>383</v>
      </c>
      <c r="F8" s="564" t="s">
        <v>384</v>
      </c>
      <c r="G8" s="522" t="s">
        <v>385</v>
      </c>
      <c r="H8" s="523" t="s">
        <v>136</v>
      </c>
      <c r="I8" s="524" t="s">
        <v>386</v>
      </c>
      <c r="J8" s="522" t="s">
        <v>387</v>
      </c>
      <c r="K8" s="523" t="s">
        <v>195</v>
      </c>
      <c r="L8" s="603" t="s">
        <v>388</v>
      </c>
      <c r="M8" s="604" t="s">
        <v>389</v>
      </c>
      <c r="N8" s="604" t="s">
        <v>143</v>
      </c>
      <c r="O8" s="524" t="s">
        <v>388</v>
      </c>
      <c r="P8" s="605" t="s">
        <v>389</v>
      </c>
      <c r="Q8" s="605" t="s">
        <v>143</v>
      </c>
      <c r="R8" s="603" t="s">
        <v>388</v>
      </c>
      <c r="S8" s="604" t="s">
        <v>389</v>
      </c>
      <c r="T8" s="604" t="s">
        <v>143</v>
      </c>
      <c r="U8" s="606" t="s">
        <v>142</v>
      </c>
      <c r="V8" s="603" t="s">
        <v>143</v>
      </c>
      <c r="W8" s="604" t="s">
        <v>143</v>
      </c>
      <c r="X8" s="604" t="s">
        <v>143</v>
      </c>
      <c r="Y8" s="921" t="s">
        <v>390</v>
      </c>
      <c r="Z8" s="698" t="s">
        <v>391</v>
      </c>
      <c r="AA8" s="697" t="s">
        <v>392</v>
      </c>
      <c r="AB8" s="525" t="s">
        <v>393</v>
      </c>
      <c r="AC8" s="526" t="s">
        <v>394</v>
      </c>
      <c r="AD8" s="526" t="s">
        <v>393</v>
      </c>
      <c r="AE8" s="559" t="s">
        <v>395</v>
      </c>
      <c r="AF8" s="561" t="s">
        <v>396</v>
      </c>
      <c r="AG8" s="1510"/>
      <c r="AH8" s="1512"/>
      <c r="AI8" s="541" t="s">
        <v>143</v>
      </c>
      <c r="AJ8" s="542" t="s">
        <v>143</v>
      </c>
      <c r="AK8" s="543" t="s">
        <v>146</v>
      </c>
      <c r="AL8" s="544" t="s">
        <v>383</v>
      </c>
      <c r="AM8" s="545" t="s">
        <v>133</v>
      </c>
      <c r="AN8" s="546" t="s">
        <v>397</v>
      </c>
      <c r="AO8" s="547" t="s">
        <v>136</v>
      </c>
      <c r="AP8" s="543" t="s">
        <v>386</v>
      </c>
      <c r="AQ8" s="546" t="s">
        <v>387</v>
      </c>
      <c r="AR8" s="547" t="s">
        <v>195</v>
      </c>
      <c r="AS8" s="548" t="s">
        <v>388</v>
      </c>
      <c r="AT8" s="546" t="s">
        <v>389</v>
      </c>
      <c r="AU8" s="549" t="s">
        <v>143</v>
      </c>
      <c r="AV8" s="550" t="s">
        <v>388</v>
      </c>
      <c r="AW8" s="546" t="s">
        <v>389</v>
      </c>
      <c r="AX8" s="547" t="s">
        <v>143</v>
      </c>
      <c r="AY8" s="551" t="s">
        <v>388</v>
      </c>
      <c r="AZ8" s="546" t="s">
        <v>389</v>
      </c>
      <c r="BA8" s="552" t="s">
        <v>143</v>
      </c>
      <c r="BB8" s="553" t="s">
        <v>145</v>
      </c>
      <c r="BC8" s="546" t="s">
        <v>147</v>
      </c>
      <c r="BD8" s="542" t="s">
        <v>398</v>
      </c>
      <c r="BE8" s="542" t="s">
        <v>398</v>
      </c>
      <c r="BF8" s="542" t="s">
        <v>398</v>
      </c>
      <c r="BG8" s="542" t="s">
        <v>146</v>
      </c>
      <c r="BH8" s="542" t="s">
        <v>146</v>
      </c>
      <c r="BI8" s="699" t="s">
        <v>146</v>
      </c>
      <c r="BJ8" s="708" t="s">
        <v>399</v>
      </c>
      <c r="BK8" s="703" t="s">
        <v>399</v>
      </c>
      <c r="BL8" s="704" t="s">
        <v>399</v>
      </c>
      <c r="BM8" s="704" t="s">
        <v>399</v>
      </c>
      <c r="BN8" s="704" t="s">
        <v>399</v>
      </c>
      <c r="BO8" s="704" t="s">
        <v>399</v>
      </c>
      <c r="BP8" s="709" t="s">
        <v>399</v>
      </c>
      <c r="BQ8" s="1514"/>
      <c r="BR8" s="542" t="s">
        <v>400</v>
      </c>
      <c r="BS8" s="554" t="s">
        <v>149</v>
      </c>
      <c r="BT8" s="542" t="s">
        <v>150</v>
      </c>
      <c r="BU8" s="542" t="s">
        <v>150</v>
      </c>
      <c r="BV8" s="590" t="s">
        <v>143</v>
      </c>
      <c r="BW8" s="591" t="s">
        <v>143</v>
      </c>
      <c r="BX8" s="592" t="s">
        <v>143</v>
      </c>
      <c r="CB8" s="924" t="s">
        <v>401</v>
      </c>
    </row>
    <row r="9" spans="1:80" s="368" customFormat="1" ht="65.099999999999994" thickBot="1">
      <c r="A9" s="644" t="s">
        <v>48</v>
      </c>
      <c r="B9" s="217" t="s">
        <v>14</v>
      </c>
      <c r="C9" s="190" t="s">
        <v>43</v>
      </c>
      <c r="D9" s="190" t="s">
        <v>402</v>
      </c>
      <c r="E9" s="508" t="s">
        <v>152</v>
      </c>
      <c r="F9" s="645" t="s">
        <v>155</v>
      </c>
      <c r="G9" s="646" t="s">
        <v>403</v>
      </c>
      <c r="H9" s="647">
        <v>1</v>
      </c>
      <c r="I9" s="648" t="s">
        <v>404</v>
      </c>
      <c r="J9" s="646" t="s">
        <v>405</v>
      </c>
      <c r="K9" s="745" t="s">
        <v>406</v>
      </c>
      <c r="L9" s="746">
        <v>1200</v>
      </c>
      <c r="M9" s="747">
        <f>0.085*L9</f>
        <v>102.00000000000001</v>
      </c>
      <c r="N9" s="748">
        <v>1302</v>
      </c>
      <c r="O9" s="749"/>
      <c r="P9" s="749"/>
      <c r="Q9" s="749"/>
      <c r="R9" s="749"/>
      <c r="S9" s="749"/>
      <c r="T9" s="749"/>
      <c r="U9" s="750" t="s">
        <v>157</v>
      </c>
      <c r="V9" s="751">
        <v>1200</v>
      </c>
      <c r="W9" s="649">
        <v>102</v>
      </c>
      <c r="X9" s="650">
        <v>1302</v>
      </c>
      <c r="Y9" s="931" t="s">
        <v>407</v>
      </c>
      <c r="Z9" s="752">
        <v>100</v>
      </c>
      <c r="AA9" s="932">
        <v>0.32</v>
      </c>
      <c r="AB9" s="651">
        <v>120</v>
      </c>
      <c r="AC9" s="652">
        <v>2</v>
      </c>
      <c r="AD9" s="653">
        <v>20</v>
      </c>
      <c r="AE9" s="654">
        <v>6</v>
      </c>
      <c r="AF9" s="655">
        <v>392</v>
      </c>
      <c r="AG9" s="753">
        <v>3592</v>
      </c>
      <c r="AH9" s="754"/>
      <c r="AI9" s="755" t="s">
        <v>14</v>
      </c>
      <c r="AJ9" s="190" t="s">
        <v>408</v>
      </c>
      <c r="AK9" s="190" t="s">
        <v>402</v>
      </c>
      <c r="AL9" s="311" t="s">
        <v>152</v>
      </c>
      <c r="AM9" s="645" t="s">
        <v>155</v>
      </c>
      <c r="AN9" s="646" t="s">
        <v>403</v>
      </c>
      <c r="AO9" s="647">
        <v>1</v>
      </c>
      <c r="AP9" s="648" t="s">
        <v>404</v>
      </c>
      <c r="AQ9" s="646" t="s">
        <v>405</v>
      </c>
      <c r="AR9" s="756" t="s">
        <v>406</v>
      </c>
      <c r="AS9" s="757">
        <v>1200</v>
      </c>
      <c r="AT9" s="195">
        <f>0.085*AS9</f>
        <v>102.00000000000001</v>
      </c>
      <c r="AU9" s="758">
        <v>1302</v>
      </c>
      <c r="AV9" s="759"/>
      <c r="AW9" s="749"/>
      <c r="AX9" s="760"/>
      <c r="AY9" s="761"/>
      <c r="AZ9" s="749"/>
      <c r="BA9" s="762"/>
      <c r="BB9" s="763" t="s">
        <v>157</v>
      </c>
      <c r="BC9" s="305" t="s">
        <v>152</v>
      </c>
      <c r="BD9" s="195">
        <v>1380</v>
      </c>
      <c r="BE9" s="195">
        <v>117.3</v>
      </c>
      <c r="BF9" s="195">
        <v>1497.3</v>
      </c>
      <c r="BG9" s="205">
        <v>1200</v>
      </c>
      <c r="BH9" s="205">
        <v>102</v>
      </c>
      <c r="BI9" s="764">
        <v>1302</v>
      </c>
      <c r="BJ9" s="765">
        <v>0.32</v>
      </c>
      <c r="BK9" s="766">
        <v>100</v>
      </c>
      <c r="BL9" s="653">
        <v>120</v>
      </c>
      <c r="BM9" s="652">
        <v>2</v>
      </c>
      <c r="BN9" s="653">
        <v>20</v>
      </c>
      <c r="BO9" s="652">
        <v>6</v>
      </c>
      <c r="BP9" s="767">
        <v>392</v>
      </c>
      <c r="BQ9" s="702">
        <v>3592</v>
      </c>
      <c r="BR9" s="749"/>
      <c r="BS9" s="768" t="s">
        <v>409</v>
      </c>
      <c r="BT9" s="192" t="s">
        <v>410</v>
      </c>
      <c r="BU9" s="192" t="s">
        <v>410</v>
      </c>
      <c r="BV9" s="656">
        <v>0</v>
      </c>
      <c r="BW9" s="656">
        <v>0</v>
      </c>
      <c r="BX9" s="769">
        <v>0</v>
      </c>
      <c r="CB9" s="923" t="s">
        <v>407</v>
      </c>
    </row>
    <row r="10" spans="1:80" ht="71.25" customHeight="1">
      <c r="A10" s="369">
        <v>1</v>
      </c>
      <c r="B10" s="314" t="s">
        <v>17</v>
      </c>
      <c r="C10" s="314" t="s">
        <v>43</v>
      </c>
      <c r="D10" s="314" t="s">
        <v>411</v>
      </c>
      <c r="E10" s="370" t="s">
        <v>152</v>
      </c>
      <c r="F10" s="313" t="s">
        <v>155</v>
      </c>
      <c r="G10" s="313" t="s">
        <v>152</v>
      </c>
      <c r="H10" s="562">
        <v>1</v>
      </c>
      <c r="I10" s="314" t="s">
        <v>412</v>
      </c>
      <c r="J10" s="314" t="s">
        <v>413</v>
      </c>
      <c r="K10" s="207" t="s">
        <v>414</v>
      </c>
      <c r="L10" s="626">
        <v>3000</v>
      </c>
      <c r="M10" s="626">
        <v>100</v>
      </c>
      <c r="N10" s="627">
        <f>IF(OR(L10="", M10=""), "", IFERROR(VALUE(TRIM(SUBSTITUTE(L10,CHAR(160),""))),0) + IFERROR(VALUE(TRIM(SUBSTITUTE(M10,CHAR(160),""))),0))</f>
        <v>3100</v>
      </c>
      <c r="O10" s="626">
        <v>3500</v>
      </c>
      <c r="P10" s="626">
        <v>50</v>
      </c>
      <c r="Q10" s="627">
        <f t="shared" ref="Q10:Q49" si="0">IF(OR(O10="", P10=""), "", IFERROR(VALUE(TRIM(SUBSTITUTE(O10,CHAR(160),""))),0) + IFERROR(VALUE(TRIM(SUBSTITUTE(P10,CHAR(160),""))),0))</f>
        <v>3550</v>
      </c>
      <c r="R10" s="626"/>
      <c r="S10" s="626"/>
      <c r="T10" s="627" t="str">
        <f t="shared" ref="T10:T48" si="1">IF(OR(R10="", S10=""), "", IFERROR(VALUE(TRIM(SUBSTITUTE(R10,CHAR(160),""))),0) + IFERROR(VALUE(TRIM(SUBSTITUTE(S10,CHAR(160),""))),0))</f>
        <v/>
      </c>
      <c r="U10" s="314" t="s">
        <v>157</v>
      </c>
      <c r="V10" s="374" cm="1">
        <f t="array" ref="V10">IF((_xlfn.IFS(TRIM(SUBSTITUTE(U10,CHAR(160),""))="Devis 1",IFERROR(VALUE(TRIM(SUBSTITUTE(L10,CHAR(160),""))),0),TRIM(SUBSTITUTE(U10,CHAR(160),""))="Devis 2",IFERROR(VALUE(TRIM(SUBSTITUTE(O10,CHAR(160),""))),0),TRIM(SUBSTITUTE(U10,CHAR(160),""))="Devis 3",IFERROR(VALUE(TRIM(SUBSTITUTE(R10,CHAR(160),""))),0),TRUE,0))=0,"",_xlfn.IFS(TRIM(SUBSTITUTE(U10,CHAR(160),""))="Devis 1",IFERROR(VALUE(TRIM(SUBSTITUTE(L10,CHAR(160),""))),0),TRIM(SUBSTITUTE(U10,CHAR(160),""))="Devis 2",IFERROR(VALUE(TRIM(SUBSTITUTE(O10,CHAR(160),""))),0),TRIM(SUBSTITUTE(U10,CHAR(160),""))="Devis 3",IFERROR(VALUE(TRIM(SUBSTITUTE(R10,CHAR(160),""))),0),TRUE,0))</f>
        <v>3000</v>
      </c>
      <c r="W10" s="607" cm="1">
        <f t="array" ref="W10">IF((_xlfn.IFS(TRIM(SUBSTITUTE(U10,CHAR(160),""))="Devis 1",IFERROR(VALUE(TRIM(SUBSTITUTE(M10,CHAR(160),""))),0),TRIM(SUBSTITUTE(U10,CHAR(160),""))="Devis 2",IFERROR(VALUE(TRIM(SUBSTITUTE(P10,CHAR(160),""))),0),TRIM(SUBSTITUTE(U10,CHAR(160),""))="Devis 3",IFERROR(VALUE(TRIM(SUBSTITUTE(S10,CHAR(160),""))),0),TRUE,0))=0,"",_xlfn.IFS(TRIM(SUBSTITUTE(U10,CHAR(160),""))="Devis 1",IFERROR(VALUE(TRIM(SUBSTITUTE(M10,CHAR(160),""))),0),TRIM(SUBSTITUTE(U10,CHAR(160),""))="Devis 2",IFERROR(VALUE(TRIM(SUBSTITUTE(P10,CHAR(160),""))),0),TRIM(SUBSTITUTE(U10,CHAR(160),""))="Devis 3",IFERROR(VALUE(TRIM(SUBSTITUTE(S10,CHAR(160),""))),0),TRUE,0))</f>
        <v>100</v>
      </c>
      <c r="X10" s="925" cm="1">
        <f t="array" ref="X10">IF((_xlfn.IFS(TRIM(SUBSTITUTE(U10,CHAR(160),""))="Devis 1",IFERROR(VALUE(TRIM(SUBSTITUTE(N10,CHAR(160),""))),0),TRIM(SUBSTITUTE(U10,CHAR(160),""))="Devis 2",IFERROR(VALUE(TRIM(SUBSTITUTE(Q10,CHAR(160),""))),0),TRIM(SUBSTITUTE(U10,CHAR(160),""))="Devis 3",IFERROR(VALUE(TRIM(SUBSTITUTE(T10,CHAR(160),""))),0),TRUE,0))=0,"",_xlfn.IFS(TRIM(SUBSTITUTE(U10,CHAR(160),""))="Devis 1",IFERROR(VALUE(TRIM(SUBSTITUTE(N10,CHAR(160),""))),0),TRIM(SUBSTITUTE(U10,CHAR(160),""))="Devis 2",IFERROR(VALUE(TRIM(SUBSTITUTE(Q10,CHAR(160),""))),0),TRIM(SUBSTITUTE(U10,CHAR(160),""))="Devis 3",IFERROR(VALUE(TRIM(SUBSTITUTE(T10,CHAR(160),""))),0),TRUE,0))</f>
        <v>3100</v>
      </c>
      <c r="Y10" s="933" t="s">
        <v>407</v>
      </c>
      <c r="Z10" s="928">
        <v>0</v>
      </c>
      <c r="AA10" s="935">
        <f>IF(Z10="","",VALUE(Z10*0.32))</f>
        <v>0</v>
      </c>
      <c r="AB10" s="934" cm="1">
        <f t="array" ref="AB10">IF(Y10="","",_xlfn.IFS(Y10=$CB$6,70,Y10=$CB$7,90,Y10=$CB$8,70,Y10=$CB$9,90,Y10=$CB$10,110))</f>
        <v>90</v>
      </c>
      <c r="AC10" s="556">
        <v>1</v>
      </c>
      <c r="AD10" s="934" cm="1">
        <f t="array" ref="AD10">IF(Y10="","",_xlfn.IFS(Y10=$CB$6,15.75,Y10=$CB$7,21,Y10=$CB$8,15.25,Y10=$CB$9,15.25,Y10=$CB$10,15.25))</f>
        <v>15.25</v>
      </c>
      <c r="AE10" s="557">
        <v>1</v>
      </c>
      <c r="AF10" s="936">
        <f>IF(Y10="",0,AA10+AB10*AC10+AD10*AE10)</f>
        <v>105.25</v>
      </c>
      <c r="AG10" s="371">
        <f>IF(C10="","",X10+AF10)</f>
        <v>3205.25</v>
      </c>
      <c r="AH10" s="729" t="s">
        <v>319</v>
      </c>
      <c r="AI10" s="730" t="str">
        <f t="shared" ref="AI10:AI49" si="2">IF(B10="","",B10)</f>
        <v>Partenaire 6</v>
      </c>
      <c r="AJ10" s="731" t="str">
        <f t="shared" ref="AJ10:AJ49" si="3">IF(C10="","",C10)</f>
        <v>Développement de nouveaux produits, pratiques, procédés et techniques</v>
      </c>
      <c r="AK10" s="731" t="str">
        <f t="shared" ref="AK10:AK49" si="4">IF(D10="","",D10)</f>
        <v xml:space="preserve">Voyage d'étude à Point-à-Pitre en avion aller/retour, 2 nuits et 6 repas. </v>
      </c>
      <c r="AL10" s="370" t="s">
        <v>152</v>
      </c>
      <c r="AM10" s="732" t="str">
        <f t="shared" ref="AM10:AM49" si="5">IF(F10="","",F10)</f>
        <v xml:space="preserve">Pas de marché public </v>
      </c>
      <c r="AN10" s="731" t="str">
        <f t="shared" ref="AN10:AN49" si="6">IF(G10="","",G10)</f>
        <v>Oui</v>
      </c>
      <c r="AO10" s="731">
        <f t="shared" ref="AO10:AO49" si="7">IF(H10="","",H10)</f>
        <v>1</v>
      </c>
      <c r="AP10" s="731" t="str">
        <f t="shared" ref="AP10:AP49" si="8">IF(I10="","",I10)</f>
        <v>TEST 1</v>
      </c>
      <c r="AQ10" s="731" t="str">
        <f t="shared" ref="AQ10:AQ49" si="9">IF(J10="","",J10)</f>
        <v>TEST 2</v>
      </c>
      <c r="AR10" s="731" t="str">
        <f t="shared" ref="AR10:AR49" si="10">IF(K10="","",K10)</f>
        <v>TEST 3</v>
      </c>
      <c r="AS10" s="733">
        <f t="shared" ref="AS10:AS49" si="11">IF(L10="","",L10)</f>
        <v>3000</v>
      </c>
      <c r="AT10" s="734">
        <f t="shared" ref="AT10:AT49" si="12">IF(M10="","",M10)</f>
        <v>100</v>
      </c>
      <c r="AU10" s="735">
        <f>IF(OR(AS10="", AT10=""), "", IFERROR(VALUE(TRIM(SUBSTITUTE(AS10,CHAR(160),""))),0) + IFERROR(VALUE(TRIM(SUBSTITUTE(AT10,CHAR(160),""))),0))</f>
        <v>3100</v>
      </c>
      <c r="AV10" s="734">
        <f t="shared" ref="AV10:AV49" si="13">IF(O10="","",O10)</f>
        <v>3500</v>
      </c>
      <c r="AW10" s="734">
        <f t="shared" ref="AW10:AW49" si="14">IF(P10="","",P10)</f>
        <v>50</v>
      </c>
      <c r="AX10" s="736">
        <f>IF(OR(AV10="", AW10=""), "", IFERROR(VALUE(TRIM(SUBSTITUTE(AV10,CHAR(160),""))),0) + IFERROR(VALUE(TRIM(SUBSTITUTE(AW10,CHAR(160),""))),0))</f>
        <v>3550</v>
      </c>
      <c r="AY10" s="734" t="str">
        <f t="shared" ref="AY10:AY49" si="15">IF(R10="","",R10)</f>
        <v/>
      </c>
      <c r="AZ10" s="734" t="str">
        <f t="shared" ref="AZ10:AZ49" si="16">IF(S10="","",S10)</f>
        <v/>
      </c>
      <c r="BA10" s="736" t="str">
        <f>IF(OR(AY10="", AZ10=""), "", IFERROR(VALUE(TRIM(SUBSTITUTE(AY10,CHAR(160),""))),0) + IFERROR(VALUE(TRIM(SUBSTITUTE(AZ10,CHAR(160),""))),0))</f>
        <v/>
      </c>
      <c r="BB10" s="638" t="str">
        <f t="shared" ref="BB10:BB49" si="17">IF(U10="","",U10)</f>
        <v>Devis 1</v>
      </c>
      <c r="BC10" s="639" t="s">
        <v>152</v>
      </c>
      <c r="BD10" s="638">
        <f>IF(AS10="","",IF((1.15*MIN(IF((IFERROR(VALUE(TRIM(SUBSTITUTE(AS10,CHAR(160),""))),0))=0,1E+30,(IFERROR(VALUE(TRIM(SUBSTITUTE(AS10,CHAR(160),""))),0))),IF((IFERROR(VALUE(TRIM(SUBSTITUTE(AV10,CHAR(160),""))),0))=0,1E+30,(IFERROR(VALUE(TRIM(SUBSTITUTE(AV10,CHAR(160),""))),0))),IF((IFERROR(VALUE(TRIM(SUBSTITUTE(AY10,CHAR(160),""))),0))=0,1E+30,(IFERROR(VALUE(TRIM(SUBSTITUTE(AY10,CHAR(160),""))),0)))=0)),"",(1.15*MIN(IF((IFERROR(VALUE(TRIM(SUBSTITUTE(AS10,CHAR(160),""))),0))=0,1E+30,(IFERROR(VALUE(TRIM(SUBSTITUTE(AS10,CHAR(160),""))),0))),IF((IFERROR(VALUE(TRIM(SUBSTITUTE(AV10,CHAR(160),""))),0))=0,1E+30,(IFERROR(VALUE(TRIM(SUBSTITUTE(AV10,CHAR(160),""))),0))),IF((IFERROR(VALUE(TRIM(SUBSTITUTE(AY10,CHAR(160),""))),0))=0,1E+30,(IFERROR(VALUE(TRIM(SUBSTITUTE(AY10,CHAR(160),""))),0)))))))</f>
        <v>3449.9999999999995</v>
      </c>
      <c r="BE10" s="638">
        <f>IF(AT10="","",IF((1.15*MIN(IF((IFERROR(VALUE(TRIM(SUBSTITUTE(AT10,CHAR(160),""))),0))=0,1E+30,(IFERROR(VALUE(TRIM(SUBSTITUTE(AT10,CHAR(160),""))),0))),IF((IFERROR(VALUE(TRIM(SUBSTITUTE(AW10,CHAR(160),""))),0))=0,1E+30,(IFERROR(VALUE(TRIM(SUBSTITUTE(AW10,CHAR(160),""))),0))),IF((IFERROR(VALUE(TRIM(SUBSTITUTE(AZ10,CHAR(160),""))),0))=0,1E+30,(IFERROR(VALUE(TRIM(SUBSTITUTE(AZ10,CHAR(160),""))),0)))=0)),"",(1.15*MIN(IF((IFERROR(VALUE(TRIM(SUBSTITUTE(AT10,CHAR(160),""))),0))=0,1E+30,(IFERROR(VALUE(TRIM(SUBSTITUTE(AT10,CHAR(160),""))),0))),IF((IFERROR(VALUE(TRIM(SUBSTITUTE(AW10,CHAR(160),""))),0))=0,1E+30,(IFERROR(VALUE(TRIM(SUBSTITUTE(AW10,CHAR(160),""))),0))),IF((IFERROR(VALUE(TRIM(SUBSTITUTE(AZ10,CHAR(160),""))),0))=0,1E+30,(IFERROR(VALUE(TRIM(SUBSTITUTE(AZ10,CHAR(160),""))),0)))))))</f>
        <v>57.499999999999993</v>
      </c>
      <c r="BF10" s="638">
        <f>IF(BD10="","",BD10+BE10)</f>
        <v>3507.4999999999995</v>
      </c>
      <c r="BG10" s="737" cm="1">
        <f t="array" ref="BG10">IF(AS10="","",IF((IFERROR(_xlfn.IFS($BB10="Devis 1",(IFERROR(VALUE(TRIM(SUBSTITUTE(AS10,CHAR(160),""))),0)),$BB10="Devis 2",(IFERROR(VALUE(TRIM(SUBSTITUTE(AV10,CHAR(160),""))),0)),$BB10="Devis 3",(IFERROR(VALUE(TRIM(SUBSTITUTE(AY10,CHAR(160),""))),0))),0))=0,"",(IFERROR(_xlfn.IFS($BB10="Devis 1",(IFERROR(VALUE(TRIM(SUBSTITUTE(AS10,CHAR(160),""))),0)),$BB10="Devis 2",(IFERROR(VALUE(TRIM(SUBSTITUTE(AV10,CHAR(160),""))),0)),$BB10="Devis 3",(IFERROR(VALUE(TRIM(SUBSTITUTE(AY10,CHAR(160),""))),0))),0))))</f>
        <v>3000</v>
      </c>
      <c r="BH10" s="737" cm="1">
        <f t="array" ref="BH10">IF(AT10="","",IF((IFERROR(_xlfn.IFS($BB10="Devis 1",(IFERROR(VALUE(TRIM(SUBSTITUTE(AT10,CHAR(160),""))),0)),$BB10="Devis 2",(IFERROR(VALUE(TRIM(SUBSTITUTE(AW10,CHAR(160),""))),0)),$BB10="Devis 3",(IFERROR(VALUE(TRIM(SUBSTITUTE(AZ10,CHAR(160),""))),0))),0))=0,"",(IFERROR(_xlfn.IFS($BB10="Devis 1",(IFERROR(VALUE(TRIM(SUBSTITUTE(AT10,CHAR(160),""))),0)),$BB10="Devis 2",(IFERROR(VALUE(TRIM(SUBSTITUTE(AW10,CHAR(160),""))),0)),$BB10="Devis 3",(IFERROR(VALUE(TRIM(SUBSTITUTE(AZ10,CHAR(160),""))),0))),0))))</f>
        <v>100</v>
      </c>
      <c r="BI10" s="738" cm="1">
        <f t="array" ref="BI10">IF(AU10="","",IF(IFERROR(_xlfn.IFS($BB10="Devis 1",IFERROR(VALUE(TRIM(SUBSTITUTE(AU10,CHAR(160),""))),0),$BB10="Devis 2",IFERROR(VALUE(TRIM(SUBSTITUTE(AX10,CHAR(160),""))),0),$BB10="Devis 3",IFERROR(VALUE(TRIM(SUBSTITUTE(BA10,CHAR(160),""))),0)),0)=0,"",IFERROR(_xlfn.IFS($BB10="Devis 1",IFERROR(VALUE(TRIM(SUBSTITUTE(AU10,CHAR(160),""))),0),$BB10="Devis 2",IFERROR(VALUE(TRIM(SUBSTITUTE(AX10,CHAR(160),""))),0),$BB10="Devis 3",IFERROR(VALUE(TRIM(SUBSTITUTE(BA10,CHAR(160),""))),0)),0)))</f>
        <v>3100</v>
      </c>
      <c r="BJ10" s="739">
        <f t="shared" ref="BJ10:BJ49" si="18">IF(AA10="","",AA10)</f>
        <v>0</v>
      </c>
      <c r="BK10" s="740">
        <f t="shared" ref="BK10:BK49" si="19">IF(Z10="","",Z10)</f>
        <v>0</v>
      </c>
      <c r="BL10" s="741">
        <f>IF(AB10="","",AB10)</f>
        <v>90</v>
      </c>
      <c r="BM10" s="741">
        <f>IF(AC10="","",AC10)</f>
        <v>1</v>
      </c>
      <c r="BN10" s="741">
        <f>IF(AD10="","",AD10)</f>
        <v>15.25</v>
      </c>
      <c r="BO10" s="741">
        <f>IF(AE10="","",AE10)</f>
        <v>1</v>
      </c>
      <c r="BP10" s="711">
        <f t="shared" ref="BP10:BP49" si="20">IF(AF10="","",IFERROR(VALUE(TRIM(SUBSTITUTE(BJ10,CHAR(160),""))),0)*IFERROR(VALUE(TRIM(SUBSTITUTE(BK10,CHAR(160),""))),0)+IFERROR(VALUE(TRIM(SUBSTITUTE(BL10,CHAR(160),""))),0)*IFERROR(VALUE(TRIM(SUBSTITUTE(BM10,CHAR(160),""))),0)+IFERROR(VALUE(TRIM(SUBSTITUTE(BN10,CHAR(160),""))),0)*IFERROR(VALUE(TRIM(SUBSTITUTE(BO10,CHAR(160),""))),0))</f>
        <v>105.25</v>
      </c>
      <c r="BQ10" s="372">
        <f>IF(AI10="","",BI10+BP10)</f>
        <v>3205.25</v>
      </c>
      <c r="BR10" s="742" t="s">
        <v>415</v>
      </c>
      <c r="BS10" s="743" t="str" cm="1">
        <f t="array" ref="BS10">IF(OR(BI10="",BF10="",BG10="",BD10="",BH10="",BE10=""),"",_xlfn.IFS((IFERROR(VALUE(TRIM(SUBSTITUTE(BI10,CHAR(160),""))),0))&gt;(IFERROR(VALUE(TRIM(SUBSTITUTE(BF10,CHAR(160),""))),0)),"KO : Le montant retenu TTC est supérieur au montant raisonnable TTC. Merci de revoir la ligne de dépense ou plafonner son montant.",(IFERROR(VALUE(TRIM(SUBSTITUTE(BG10,CHAR(160),""))),0))&gt;(IFERROR(VALUE(TRIM(SUBSTITUTE(BD10,CHAR(160),""))),0)),"Attention : Le montant retenu HT est supérieur au montant HT raisonnable. Merci de revoir la ligne de dépense, plafonner son montant, ou justifier la reventillation HT / TVA.",(IFERROR(VALUE(TRIM(SUBSTITUTE(BH10,CHAR(160),""))),0))&gt;(IFERROR(VALUE(TRIM(SUBSTITUTE(BE10,CHAR(160),""))),0)),"Attention : Le montant TVA retenu est supérieur au montant TVA raisonnable. Merci de revoir la ligne de dépense, plafonner son montant, ou justifier la reventillation HT / TVA.",(IFERROR(VALUE(TRIM(SUBSTITUTE(BI10,CHAR(160),""))),0))=0,"",(IFERROR(VALUE(TRIM(SUBSTITUTE(BF10,CHAR(160),""))),0))=(IFERROR(VALUE(TRIM(SUBSTITUTE(BI10,CHAR(160),""))),0)),"OK",(IFERROR(VALUE(TRIM(SUBSTITUTE(BF10,CHAR(160),""))),0))&gt;(IFERROR(VALUE(TRIM(SUBSTITUTE(BI10,CHAR(160),""))),0))," OK : Montant instruit inférieur au montant raisonnable.",TRUE,""))</f>
        <v>Attention : Le montant TVA retenu est supérieur au montant TVA raisonnable. Merci de revoir la ligne de dépense, plafonner son montant, ou justifier la reventillation HT / TVA.</v>
      </c>
      <c r="BT10" s="637" t="str" cm="1">
        <f t="array" ref="BT10">IF(OR(BI10="",X10="",BG10="",V10="",BH10="",W10=""),"",_xlfn.IFS((IFERROR(VALUE(TRIM(SUBSTITUTE(BI10,CHAR(160),""))),0))=0,"Attention : montant présenté entièrement écarté",(IFERROR(VALUE(TRIM(SUBSTITUTE(BI10,CHAR(160),""))),0))&gt;(IFERROR(VALUE(TRIM(SUBSTITUTE(X10,CHAR(160),""))),0)),"KO : Le montant retenu TTC est supérieur au montant présenté TTC. Merci de revoir la ligne de dépense ou plafonner son montant.",(IFERROR(VALUE(TRIM(SUBSTITUTE(BG10,CHAR(160),""))),0))&gt;(IFERROR(VALUE(TRIM(SUBSTITUTE(V10,CHAR(160),""))),0)),"Attention : Le montant retenu HT est supérieur au montant HT présenté. Merci de revoir la ligne de dépense,plafonner son montant,ou justifier la reventillation HT/TVA.",(IFERROR(VALUE(TRIM(SUBSTITUTE(BH10,CHAR(160),""))),0))&gt;(IFERROR(VALUE(TRIM(SUBSTITUTE(W10,CHAR(160),""))),0)),"Attention : Le montant TVA retenu est supérieur au montant TVA présenté. Merci de revoir la ligne de dépense,plafonner son montant,ou justifier la reventillation HT/TVA.",(IFERROR(VALUE(TRIM(SUBSTITUTE(X10,CHAR(160),""))),0))=0,"Attention : montant présenté entièrement écarté",(IFERROR(VALUE(TRIM(SUBSTITUTE(BI10,CHAR(160),""))),0))=(IFERROR(VALUE(TRIM(SUBSTITUTE(X10,CHAR(160),""))),0)),"OK",
  AND((IFERROR(VALUE(TRIM(SUBSTITUTE(BI10,CHAR(160),""))),0))&lt;(IFERROR(VALUE(TRIM(SUBSTITUTE(X10,CHAR(160),""))),0)),((IFERROR(VALUE(TRIM(SUBSTITUTE(X10,CHAR(160),""))),0))-(IFERROR(VALUE(TRIM(SUBSTITUTE(BI10,CHAR(160),""))),0)))&lt;0.01),"OK",(IFERROR(VALUE(TRIM(SUBSTITUTE(BI10,CHAR(160),""))),0))&lt;(IFERROR(VALUE(TRIM(SUBSTITUTE(X10,CHAR(160),""))),0)),"Attention : Montant présenté partiellement écarté.",
  TRUE,""))</f>
        <v>OK</v>
      </c>
      <c r="BU10" s="373" t="str" cm="1">
        <f t="array" ref="BU10">IF(OR(AF10="",BP10=""),"",_xlfn.IFS((IFERROR(VALUE(TRIM(SUBSTITUTE(BP10,CHAR(160),""))),0))&gt;(IFERROR(VALUE(TRIM(SUBSTITUTE(AF10,CHAR(160),""))),0)),"KO : Le montant retenu est supérieur au montant présenté. Merci de revoir la ligne de contribution ou plafonner son montant.",(IFERROR(VALUE(TRIM(SUBSTITUTE(AF10,CHAR(160),""))),0))=0,"Attention : montant présenté entièrement écarté",(IFERROR(VALUE(TRIM(SUBSTITUTE(BP10,CHAR(160),""))),0))=(IFERROR(VALUE(TRIM(SUBSTITUTE(AF10,CHAR(160),""))),0)),"OK",(IFERROR(VALUE(TRIM(SUBSTITUTE(BP10,CHAR(160),""))),0))&lt;(IFERROR(VALUE(TRIM(SUBSTITUTE(AF10,CHAR(160),""))),0)),"Attention : montant présenté partiellement écarté.",TRUE,""))</f>
        <v>OK</v>
      </c>
      <c r="BV10" s="374">
        <f t="shared" ref="BV10:BV49" si="21">IF(B10="","",((IFERROR(VALUE(TRIM(SUBSTITUTE(V10,CHAR(160),""))),0))+(IFERROR(VALUE(TRIM(SUBSTITUTE(AF10,CHAR(160),""))),0)))-((IFERROR(VALUE(TRIM(SUBSTITUTE(BG10,CHAR(160),""))),0))+(IFERROR(VALUE(TRIM(SUBSTITUTE(BP10,CHAR(160),""))),0))))</f>
        <v>0</v>
      </c>
      <c r="BW10" s="607">
        <f t="shared" ref="BW10:BW49" si="22">IF(OR(W10="",BH10=""),"",(IFERROR(VALUE(TRIM(SUBSTITUTE(W10,CHAR(160),""))),0))-(IFERROR(VALUE(TRIM(SUBSTITUTE(BH10,CHAR(160),""))),0)))</f>
        <v>0</v>
      </c>
      <c r="BX10" s="744">
        <f t="shared" ref="BX10:BX49" si="23">IF(OR(X10="",BI10=""),"",(IFERROR(VALUE(TRIM(SUBSTITUTE(X10,CHAR(160),""))),0))-(IFERROR(VALUE(TRIM(SUBSTITUTE(BI10,CHAR(160),""))),0)))</f>
        <v>0</v>
      </c>
      <c r="CB10" s="923" t="s">
        <v>416</v>
      </c>
    </row>
    <row r="11" spans="1:80" ht="15.95" customHeight="1">
      <c r="A11" s="375">
        <v>2</v>
      </c>
      <c r="B11" s="333"/>
      <c r="C11" s="333"/>
      <c r="D11" s="333"/>
      <c r="E11" s="377"/>
      <c r="F11" s="376"/>
      <c r="G11" s="376"/>
      <c r="H11" s="378"/>
      <c r="I11" s="333"/>
      <c r="J11" s="376"/>
      <c r="K11" s="18"/>
      <c r="L11" s="609"/>
      <c r="M11" s="609"/>
      <c r="N11" s="395" t="str">
        <f>IF(OR(L11="", M11=""), "", IFERROR(VALUE(TRIM(SUBSTITUTE(L11,CHAR(160),""))),0) + IFERROR(VALUE(TRIM(SUBSTITUTE(M11,CHAR(160),""))),0))</f>
        <v/>
      </c>
      <c r="O11" s="609"/>
      <c r="P11" s="609"/>
      <c r="Q11" s="610" t="str">
        <f t="shared" si="0"/>
        <v/>
      </c>
      <c r="R11" s="609"/>
      <c r="S11" s="609"/>
      <c r="T11" s="610" t="str">
        <f t="shared" si="1"/>
        <v/>
      </c>
      <c r="U11" s="611"/>
      <c r="V11" s="395" t="str" cm="1">
        <f t="array" ref="V11">IF((_xlfn.IFS(TRIM(SUBSTITUTE(U11,CHAR(160),""))="Devis 1",IFERROR(VALUE(TRIM(SUBSTITUTE(L11,CHAR(160),""))),0),TRIM(SUBSTITUTE(U11,CHAR(160),""))="Devis 2",IFERROR(VALUE(TRIM(SUBSTITUTE(O11,CHAR(160),""))),0),TRIM(SUBSTITUTE(U11,CHAR(160),""))="Devis 3",IFERROR(VALUE(TRIM(SUBSTITUTE(R11,CHAR(160),""))),0),TRUE,0))=0,"",_xlfn.IFS(TRIM(SUBSTITUTE(U11,CHAR(160),""))="Devis 1",IFERROR(VALUE(TRIM(SUBSTITUTE(L11,CHAR(160),""))),0),TRIM(SUBSTITUTE(U11,CHAR(160),""))="Devis 2",IFERROR(VALUE(TRIM(SUBSTITUTE(O11,CHAR(160),""))),0),TRIM(SUBSTITUTE(U11,CHAR(160),""))="Devis 3",IFERROR(VALUE(TRIM(SUBSTITUTE(R11,CHAR(160),""))),0),TRUE,0))</f>
        <v/>
      </c>
      <c r="W11" s="396" t="str" cm="1">
        <f t="array" ref="W11">IF((_xlfn.IFS(TRIM(SUBSTITUTE(U11,CHAR(160),""))="Devis 1",IFERROR(VALUE(TRIM(SUBSTITUTE(M11,CHAR(160),""))),0),TRIM(SUBSTITUTE(U11,CHAR(160),""))="Devis 2",IFERROR(VALUE(TRIM(SUBSTITUTE(P11,CHAR(160),""))),0),TRIM(SUBSTITUTE(U11,CHAR(160),""))="Devis 3",IFERROR(VALUE(TRIM(SUBSTITUTE(S11,CHAR(160),""))),0),TRUE,0))=0,"",_xlfn.IFS(TRIM(SUBSTITUTE(U11,CHAR(160),""))="Devis 1",IFERROR(VALUE(TRIM(SUBSTITUTE(M11,CHAR(160),""))),0),TRIM(SUBSTITUTE(U11,CHAR(160),""))="Devis 2",IFERROR(VALUE(TRIM(SUBSTITUTE(P11,CHAR(160),""))),0),TRIM(SUBSTITUTE(U11,CHAR(160),""))="Devis 3",IFERROR(VALUE(TRIM(SUBSTITUTE(S11,CHAR(160),""))),0),TRUE,0))</f>
        <v/>
      </c>
      <c r="X11" s="926" t="str" cm="1">
        <f t="array" ref="X11">IF((_xlfn.IFS(TRIM(SUBSTITUTE(U11,CHAR(160),""))="Devis 1",IFERROR(VALUE(TRIM(SUBSTITUTE(N11,CHAR(160),""))),0),TRIM(SUBSTITUTE(U11,CHAR(160),""))="Devis 2",IFERROR(VALUE(TRIM(SUBSTITUTE(Q11,CHAR(160),""))),0),TRIM(SUBSTITUTE(U11,CHAR(160),""))="Devis 3",IFERROR(VALUE(TRIM(SUBSTITUTE(T11,CHAR(160),""))),0),TRUE,0))=0,"",_xlfn.IFS(TRIM(SUBSTITUTE(U11,CHAR(160),""))="Devis 1",IFERROR(VALUE(TRIM(SUBSTITUTE(N11,CHAR(160),""))),0),TRIM(SUBSTITUTE(U11,CHAR(160),""))="Devis 2",IFERROR(VALUE(TRIM(SUBSTITUTE(Q11,CHAR(160),""))),0),TRIM(SUBSTITUTE(U11,CHAR(160),""))="Devis 3",IFERROR(VALUE(TRIM(SUBSTITUTE(T11,CHAR(160),""))),0),TRUE,0))</f>
        <v/>
      </c>
      <c r="Y11" s="933"/>
      <c r="Z11" s="929"/>
      <c r="AA11" s="935" t="str">
        <f t="shared" ref="AA11:AA49" si="24">IF(Z11="","",VALUE(Z11*0.32))</f>
        <v/>
      </c>
      <c r="AB11" s="934" t="str" cm="1">
        <f t="array" ref="AB11">IF(Y11="","",_xlfn.IFS(Y11=$CB$6,70,Y11=$CB$7,90,Y11=$CB$8,70,Y11=$CB$9,90,Y11=$CB$10,110))</f>
        <v/>
      </c>
      <c r="AC11" s="379"/>
      <c r="AD11" s="934" t="str" cm="1">
        <f t="array" ref="AD11">IF(Y11="","",_xlfn.IFS(Y11=$CB$6,15.75,Y11=$CB$7,21,Y11=$CB$8,15.25,Y11=$CB$9,15.25,Y11=$CB$10,15.25))</f>
        <v/>
      </c>
      <c r="AE11" s="380"/>
      <c r="AF11" s="936">
        <f t="shared" ref="AF11:AF49" si="25">IF(Y11="",0,AA11+AB11*AC11+AD11*AE11)</f>
        <v>0</v>
      </c>
      <c r="AG11" s="381" t="str">
        <f t="shared" ref="AG11:AG49" si="26">IF(C11="","",V11+AF11)</f>
        <v/>
      </c>
      <c r="AH11" s="382"/>
      <c r="AI11" s="383" t="str">
        <f t="shared" si="2"/>
        <v/>
      </c>
      <c r="AJ11" s="384" t="str">
        <f t="shared" si="3"/>
        <v/>
      </c>
      <c r="AK11" s="384" t="str">
        <f t="shared" si="4"/>
        <v/>
      </c>
      <c r="AL11" s="377"/>
      <c r="AM11" s="385" t="str">
        <f t="shared" si="5"/>
        <v/>
      </c>
      <c r="AN11" s="384" t="str">
        <f t="shared" si="6"/>
        <v/>
      </c>
      <c r="AO11" s="384" t="str">
        <f t="shared" si="7"/>
        <v/>
      </c>
      <c r="AP11" s="384" t="str">
        <f t="shared" si="8"/>
        <v/>
      </c>
      <c r="AQ11" s="384" t="str">
        <f t="shared" si="9"/>
        <v/>
      </c>
      <c r="AR11" s="384" t="str">
        <f t="shared" si="10"/>
        <v/>
      </c>
      <c r="AS11" s="386" t="str">
        <f t="shared" si="11"/>
        <v/>
      </c>
      <c r="AT11" s="387" t="str">
        <f t="shared" si="12"/>
        <v/>
      </c>
      <c r="AU11" s="388" t="str">
        <f>IF(OR(AS11="", AT11=""), "", IFERROR(VALUE(TRIM(SUBSTITUTE(AS11,CHAR(160),""))),0) + IFERROR(VALUE(TRIM(SUBSTITUTE(AT11,CHAR(160),""))),0))</f>
        <v/>
      </c>
      <c r="AV11" s="387" t="str">
        <f t="shared" si="13"/>
        <v/>
      </c>
      <c r="AW11" s="387" t="str">
        <f t="shared" si="14"/>
        <v/>
      </c>
      <c r="AX11" s="389" t="str">
        <f t="shared" ref="AX11:AX49" si="27">IF(OR(AV11="", AW11=""), "", IFERROR(VALUE(TRIM(SUBSTITUTE(AV11,CHAR(160),""))),0) + IFERROR(VALUE(TRIM(SUBSTITUTE(AW11,CHAR(160),""))),0))</f>
        <v/>
      </c>
      <c r="AY11" s="387" t="str">
        <f t="shared" si="15"/>
        <v/>
      </c>
      <c r="AZ11" s="387" t="str">
        <f t="shared" si="16"/>
        <v/>
      </c>
      <c r="BA11" s="389" t="str">
        <f t="shared" ref="BA11:BA49" si="28">IF(OR(AY11="", AZ11=""), "", IFERROR(VALUE(TRIM(SUBSTITUTE(AY11,CHAR(160),""))),0) + IFERROR(VALUE(TRIM(SUBSTITUTE(AZ11,CHAR(160),""))),0))</f>
        <v/>
      </c>
      <c r="BB11" s="390" t="str">
        <f t="shared" si="17"/>
        <v/>
      </c>
      <c r="BC11" s="391"/>
      <c r="BD11" s="390" t="str">
        <f t="shared" ref="BD11:BE49" si="29">IF(AS11="","",IF((1.15*MIN(IF((IFERROR(VALUE(TRIM(SUBSTITUTE(AS11,CHAR(160),""))),0))=0,1E+30,(IFERROR(VALUE(TRIM(SUBSTITUTE(AS11,CHAR(160),""))),0))),IF((IFERROR(VALUE(TRIM(SUBSTITUTE(AV11,CHAR(160),""))),0))=0,1E+30,(IFERROR(VALUE(TRIM(SUBSTITUTE(AV11,CHAR(160),""))),0))),IF((IFERROR(VALUE(TRIM(SUBSTITUTE(AY11,CHAR(160),""))),0))=0,1E+30,(IFERROR(VALUE(TRIM(SUBSTITUTE(AY11,CHAR(160),""))),0)))=0)),"",(1.15*MIN(IF((IFERROR(VALUE(TRIM(SUBSTITUTE(AS11,CHAR(160),""))),0))=0,1E+30,(IFERROR(VALUE(TRIM(SUBSTITUTE(AS11,CHAR(160),""))),0))),IF((IFERROR(VALUE(TRIM(SUBSTITUTE(AV11,CHAR(160),""))),0))=0,1E+30,(IFERROR(VALUE(TRIM(SUBSTITUTE(AV11,CHAR(160),""))),0))),IF((IFERROR(VALUE(TRIM(SUBSTITUTE(AY11,CHAR(160),""))),0))=0,1E+30,(IFERROR(VALUE(TRIM(SUBSTITUTE(AY11,CHAR(160),""))),0)))))))</f>
        <v/>
      </c>
      <c r="BE11" s="390" t="str">
        <f>IF(AT11="","",IF((1.15*MIN(IF((IFERROR(VALUE(TRIM(SUBSTITUTE(AT11,CHAR(160),""))),0))=0,1E+30,(IFERROR(VALUE(TRIM(SUBSTITUTE(AT11,CHAR(160),""))),0))),IF((IFERROR(VALUE(TRIM(SUBSTITUTE(AW11,CHAR(160),""))),0))=0,1E+30,(IFERROR(VALUE(TRIM(SUBSTITUTE(AW11,CHAR(160),""))),0))),IF((IFERROR(VALUE(TRIM(SUBSTITUTE(AZ11,CHAR(160),""))),0))=0,1E+30,(IFERROR(VALUE(TRIM(SUBSTITUTE(AZ11,CHAR(160),""))),0)))=0)),"",(1.15*MIN(IF((IFERROR(VALUE(TRIM(SUBSTITUTE(AT11,CHAR(160),""))),0))=0,1E+30,(IFERROR(VALUE(TRIM(SUBSTITUTE(AT11,CHAR(160),""))),0))),IF((IFERROR(VALUE(TRIM(SUBSTITUTE(AW11,CHAR(160),""))),0))=0,1E+30,(IFERROR(VALUE(TRIM(SUBSTITUTE(AW11,CHAR(160),""))),0))),IF((IFERROR(VALUE(TRIM(SUBSTITUTE(AZ11,CHAR(160),""))),0))=0,1E+30,(IFERROR(VALUE(TRIM(SUBSTITUTE(AZ11,CHAR(160),""))),0)))))))</f>
        <v/>
      </c>
      <c r="BF11" s="390" t="str">
        <f>IF(BD11="","",BD11+BE11)</f>
        <v/>
      </c>
      <c r="BG11" s="392" t="str" cm="1">
        <f t="array" ref="BG11">IF(AS11="","",IF((IFERROR(_xlfn.IFS($BB11="Devis 1",(IFERROR(VALUE(TRIM(SUBSTITUTE(AS11,CHAR(160),""))),0)),$BB11="Devis 2",(IFERROR(VALUE(TRIM(SUBSTITUTE(AV11,CHAR(160),""))),0)),$BB11="Devis 3",(IFERROR(VALUE(TRIM(SUBSTITUTE(AY11,CHAR(160),""))),0))),0))=0,"",(IFERROR(_xlfn.IFS($BB11="Devis 1",(IFERROR(VALUE(TRIM(SUBSTITUTE(AS11,CHAR(160),""))),0)),$BB11="Devis 2",(IFERROR(VALUE(TRIM(SUBSTITUTE(AV11,CHAR(160),""))),0)),$BB11="Devis 3",(IFERROR(VALUE(TRIM(SUBSTITUTE(AY11,CHAR(160),""))),0))),0))))</f>
        <v/>
      </c>
      <c r="BH11" s="392" t="str" cm="1">
        <f t="array" ref="BH11">IF(AT11="","",IF((IFERROR(_xlfn.IFS($BB11="Devis 1",(IFERROR(VALUE(TRIM(SUBSTITUTE(AT11,CHAR(160),""))),0)),$BB11="Devis 2",(IFERROR(VALUE(TRIM(SUBSTITUTE(AW11,CHAR(160),""))),0)),$BB11="Devis 3",(IFERROR(VALUE(TRIM(SUBSTITUTE(AZ11,CHAR(160),""))),0))),0))=0,"",(IFERROR(_xlfn.IFS($BB11="Devis 1",(IFERROR(VALUE(TRIM(SUBSTITUTE(AT11,CHAR(160),""))),0)),$BB11="Devis 2",(IFERROR(VALUE(TRIM(SUBSTITUTE(AW11,CHAR(160),""))),0)),$BB11="Devis 3",(IFERROR(VALUE(TRIM(SUBSTITUTE(AZ11,CHAR(160),""))),0))),0))))</f>
        <v/>
      </c>
      <c r="BI11" s="700" t="str" cm="1">
        <f t="array" ref="BI11">IF(AU11="","",IF(IFERROR(_xlfn.IFS($BB11="Devis 1",IFERROR(VALUE(TRIM(SUBSTITUTE(AU11,CHAR(160),""))),0),$BB11="Devis 2",IFERROR(VALUE(TRIM(SUBSTITUTE(AX11,CHAR(160),""))),0),$BB11="Devis 3",IFERROR(VALUE(TRIM(SUBSTITUTE(BA11,CHAR(160),""))),0)),0)=0,"",IFERROR(_xlfn.IFS($BB11="Devis 1",IFERROR(VALUE(TRIM(SUBSTITUTE(AU11,CHAR(160),""))),0),$BB11="Devis 2",IFERROR(VALUE(TRIM(SUBSTITUTE(AX11,CHAR(160),""))),0),$BB11="Devis 3",IFERROR(VALUE(TRIM(SUBSTITUTE(BA11,CHAR(160),""))),0)),0)))</f>
        <v/>
      </c>
      <c r="BJ11" s="739" t="str">
        <f t="shared" si="18"/>
        <v/>
      </c>
      <c r="BK11" s="740" t="str">
        <f t="shared" si="19"/>
        <v/>
      </c>
      <c r="BL11" s="741" t="str">
        <f t="shared" ref="BL11:BL47" si="30">IF(AB11="","",AB11)</f>
        <v/>
      </c>
      <c r="BM11" s="741" t="str">
        <f t="shared" ref="BM11:BM47" si="31">IF(AC11="","",AC11)</f>
        <v/>
      </c>
      <c r="BN11" s="741" t="str">
        <f t="shared" ref="BN11:BN49" si="32">IF(AD11="","",AD11)</f>
        <v/>
      </c>
      <c r="BO11" s="741" t="str">
        <f t="shared" ref="BO11:BO46" si="33">IF(AE11="","",AE11)</f>
        <v/>
      </c>
      <c r="BP11" s="711">
        <f t="shared" si="20"/>
        <v>0</v>
      </c>
      <c r="BQ11" s="372" t="str">
        <f t="shared" ref="BQ11:BQ49" si="34">IF(AI11="","",BI11+BP11)</f>
        <v/>
      </c>
      <c r="BR11" s="718"/>
      <c r="BS11" s="393" t="str" cm="1">
        <f t="array" ref="BS11">IF(OR(BI11="",BF11="",BG11="",BD11="",BH11="",BE11=""),"",_xlfn.IFS((IFERROR(VALUE(TRIM(SUBSTITUTE(BI11,CHAR(160),""))),0))&gt;(IFERROR(VALUE(TRIM(SUBSTITUTE(BF11,CHAR(160),""))),0)),"KO : Le montant retenu TTC est supérieur au montant raisonnable TTC. Merci de revoir la ligne de dépense ou plafonner son montant.",(IFERROR(VALUE(TRIM(SUBSTITUTE(BG11,CHAR(160),""))),0))&gt;(IFERROR(VALUE(TRIM(SUBSTITUTE(BD11,CHAR(160),""))),0)),"Attention : Le montant retenu HT est supérieur au montant HT raisonnable. Merci de revoir la ligne de dépense, plafonner son montant, ou justifier la reventillation HT / TVA.",(IFERROR(VALUE(TRIM(SUBSTITUTE(BH11,CHAR(160),""))),0))&gt;(IFERROR(VALUE(TRIM(SUBSTITUTE(BE11,CHAR(160),""))),0)),"Attention : Le montant TVA retenu est supérieur au montant TVA raisonnable. Merci de revoir la ligne de dépense, plafonner son montant, ou justifier la reventillation HT / TVA.",(IFERROR(VALUE(TRIM(SUBSTITUTE(BI11,CHAR(160),""))),0))=0,"",(IFERROR(VALUE(TRIM(SUBSTITUTE(BF11,CHAR(160),""))),0))=(IFERROR(VALUE(TRIM(SUBSTITUTE(BI11,CHAR(160),""))),0)),"OK",(IFERROR(VALUE(TRIM(SUBSTITUTE(BF11,CHAR(160),""))),0))&gt;(IFERROR(VALUE(TRIM(SUBSTITUTE(BI11,CHAR(160),""))),0))," OK : Montant instruit inférieur au montant raisonnable.",TRUE,""))</f>
        <v/>
      </c>
      <c r="BT11" s="394" t="str" cm="1">
        <f t="array" ref="BT11">IF(OR(BI11="",X11="",BG11="",V11="",BH11="",W11=""),"",_xlfn.IFS((IFERROR(VALUE(TRIM(SUBSTITUTE(BI11,CHAR(160),""))),0))=0,"Attention : montant présenté entièrement écarté",(IFERROR(VALUE(TRIM(SUBSTITUTE(BI11,CHAR(160),""))),0))&gt;(IFERROR(VALUE(TRIM(SUBSTITUTE(X11,CHAR(160),""))),0)),"KO : Le montant retenu TTC est supérieur au montant présenté TTC. Merci de revoir la ligne de dépense ou plafonner son montant.",(IFERROR(VALUE(TRIM(SUBSTITUTE(BG11,CHAR(160),""))),0))&gt;(IFERROR(VALUE(TRIM(SUBSTITUTE(V11,CHAR(160),""))),0)),"Attention : Le montant retenu HT est supérieur au montant HT présenté. Merci de revoir la ligne de dépense,plafonner son montant,ou justifier la reventillation HT/TVA.",(IFERROR(VALUE(TRIM(SUBSTITUTE(BH11,CHAR(160),""))),0))&gt;(IFERROR(VALUE(TRIM(SUBSTITUTE(W11,CHAR(160),""))),0)),"Attention : Le montant TVA retenu est supérieur au montant TVA présenté. Merci de revoir la ligne de dépense,plafonner son montant,ou justifier la reventillation HT/TVA.",(IFERROR(VALUE(TRIM(SUBSTITUTE(X11,CHAR(160),""))),0))=0,"Attention : montant présenté entièrement écarté",(IFERROR(VALUE(TRIM(SUBSTITUTE(BI11,CHAR(160),""))),0))=(IFERROR(VALUE(TRIM(SUBSTITUTE(X11,CHAR(160),""))),0)),"OK",
  AND((IFERROR(VALUE(TRIM(SUBSTITUTE(BI11,CHAR(160),""))),0))&lt;(IFERROR(VALUE(TRIM(SUBSTITUTE(X11,CHAR(160),""))),0)),((IFERROR(VALUE(TRIM(SUBSTITUTE(X11,CHAR(160),""))),0))-(IFERROR(VALUE(TRIM(SUBSTITUTE(BI11,CHAR(160),""))),0)))&lt;0.01),"OK",(IFERROR(VALUE(TRIM(SUBSTITUTE(BI11,CHAR(160),""))),0))&lt;(IFERROR(VALUE(TRIM(SUBSTITUTE(X11,CHAR(160),""))),0)),"Attention : Montant présenté partiellement écarté.",
  TRUE,""))</f>
        <v/>
      </c>
      <c r="BU11" s="373" t="str" cm="1">
        <f t="array" ref="BU11">IF(OR(AF11="",BP11=""),"",_xlfn.IFS((IFERROR(VALUE(TRIM(SUBSTITUTE(BP11,CHAR(160),""))),0))&gt;(IFERROR(VALUE(TRIM(SUBSTITUTE(AF11,CHAR(160),""))),0)),"KO : Le montant retenu est supérieur au montant présenté. Merci de revoir la ligne de contribution ou plafonner son montant.",(IFERROR(VALUE(TRIM(SUBSTITUTE(AF11,CHAR(160),""))),0))=0,"Attention : montant présenté entièrement écarté",(IFERROR(VALUE(TRIM(SUBSTITUTE(BP11,CHAR(160),""))),0))=(IFERROR(VALUE(TRIM(SUBSTITUTE(AF11,CHAR(160),""))),0)),"OK",(IFERROR(VALUE(TRIM(SUBSTITUTE(BP11,CHAR(160),""))),0))&lt;(IFERROR(VALUE(TRIM(SUBSTITUTE(AF11,CHAR(160),""))),0)),"Attention : montant présenté partiellement écarté.",TRUE,""))</f>
        <v>Attention : montant présenté entièrement écarté</v>
      </c>
      <c r="BV11" s="395" t="str">
        <f t="shared" si="21"/>
        <v/>
      </c>
      <c r="BW11" s="396" t="str">
        <f t="shared" si="22"/>
        <v/>
      </c>
      <c r="BX11" s="397" t="str">
        <f t="shared" si="23"/>
        <v/>
      </c>
    </row>
    <row r="12" spans="1:80" ht="14.25" customHeight="1">
      <c r="A12" s="375">
        <v>3</v>
      </c>
      <c r="B12" s="333"/>
      <c r="C12" s="333"/>
      <c r="D12" s="333"/>
      <c r="E12" s="377"/>
      <c r="F12" s="376"/>
      <c r="G12" s="376"/>
      <c r="H12" s="378"/>
      <c r="I12" s="333"/>
      <c r="J12" s="376"/>
      <c r="K12" s="18"/>
      <c r="L12" s="609"/>
      <c r="M12" s="609"/>
      <c r="N12" s="395" t="str">
        <f t="shared" ref="N12:N48" si="35">IF(OR(L12="", M12=""), "", IFERROR(VALUE(TRIM(SUBSTITUTE(L12,CHAR(160),""))),0) + IFERROR(VALUE(TRIM(SUBSTITUTE(M12,CHAR(160),""))),0))</f>
        <v/>
      </c>
      <c r="O12" s="609"/>
      <c r="P12" s="609"/>
      <c r="Q12" s="610" t="str">
        <f t="shared" si="0"/>
        <v/>
      </c>
      <c r="R12" s="609"/>
      <c r="S12" s="609"/>
      <c r="T12" s="610" t="str">
        <f t="shared" si="1"/>
        <v/>
      </c>
      <c r="U12" s="611"/>
      <c r="V12" s="395" t="str" cm="1">
        <f t="array" ref="V12">IF((_xlfn.IFS(TRIM(SUBSTITUTE(U12,CHAR(160),""))="Devis 1",IFERROR(VALUE(TRIM(SUBSTITUTE(L12,CHAR(160),""))),0),TRIM(SUBSTITUTE(U12,CHAR(160),""))="Devis 2",IFERROR(VALUE(TRIM(SUBSTITUTE(O12,CHAR(160),""))),0),TRIM(SUBSTITUTE(U12,CHAR(160),""))="Devis 3",IFERROR(VALUE(TRIM(SUBSTITUTE(R12,CHAR(160),""))),0),TRUE,0))=0,"",_xlfn.IFS(TRIM(SUBSTITUTE(U12,CHAR(160),""))="Devis 1",IFERROR(VALUE(TRIM(SUBSTITUTE(L12,CHAR(160),""))),0),TRIM(SUBSTITUTE(U12,CHAR(160),""))="Devis 2",IFERROR(VALUE(TRIM(SUBSTITUTE(O12,CHAR(160),""))),0),TRIM(SUBSTITUTE(U12,CHAR(160),""))="Devis 3",IFERROR(VALUE(TRIM(SUBSTITUTE(R12,CHAR(160),""))),0),TRUE,0))</f>
        <v/>
      </c>
      <c r="W12" s="396" t="str" cm="1">
        <f t="array" ref="W12">IF((_xlfn.IFS(TRIM(SUBSTITUTE(U12,CHAR(160),""))="Devis 1",IFERROR(VALUE(TRIM(SUBSTITUTE(M12,CHAR(160),""))),0),TRIM(SUBSTITUTE(U12,CHAR(160),""))="Devis 2",IFERROR(VALUE(TRIM(SUBSTITUTE(P12,CHAR(160),""))),0),TRIM(SUBSTITUTE(U12,CHAR(160),""))="Devis 3",IFERROR(VALUE(TRIM(SUBSTITUTE(S12,CHAR(160),""))),0),TRUE,0))=0,"",_xlfn.IFS(TRIM(SUBSTITUTE(U12,CHAR(160),""))="Devis 1",IFERROR(VALUE(TRIM(SUBSTITUTE(M12,CHAR(160),""))),0),TRIM(SUBSTITUTE(U12,CHAR(160),""))="Devis 2",IFERROR(VALUE(TRIM(SUBSTITUTE(P12,CHAR(160),""))),0),TRIM(SUBSTITUTE(U12,CHAR(160),""))="Devis 3",IFERROR(VALUE(TRIM(SUBSTITUTE(S12,CHAR(160),""))),0),TRUE,0))</f>
        <v/>
      </c>
      <c r="X12" s="926" t="str" cm="1">
        <f t="array" ref="X12">IF((_xlfn.IFS(TRIM(SUBSTITUTE(U12,CHAR(160),""))="Devis 1",IFERROR(VALUE(TRIM(SUBSTITUTE(N12,CHAR(160),""))),0),TRIM(SUBSTITUTE(U12,CHAR(160),""))="Devis 2",IFERROR(VALUE(TRIM(SUBSTITUTE(Q12,CHAR(160),""))),0),TRIM(SUBSTITUTE(U12,CHAR(160),""))="Devis 3",IFERROR(VALUE(TRIM(SUBSTITUTE(T12,CHAR(160),""))),0),TRUE,0))=0,"",_xlfn.IFS(TRIM(SUBSTITUTE(U12,CHAR(160),""))="Devis 1",IFERROR(VALUE(TRIM(SUBSTITUTE(N12,CHAR(160),""))),0),TRIM(SUBSTITUTE(U12,CHAR(160),""))="Devis 2",IFERROR(VALUE(TRIM(SUBSTITUTE(Q12,CHAR(160),""))),0),TRIM(SUBSTITUTE(U12,CHAR(160),""))="Devis 3",IFERROR(VALUE(TRIM(SUBSTITUTE(T12,CHAR(160),""))),0),TRUE,0))</f>
        <v/>
      </c>
      <c r="Y12" s="933"/>
      <c r="Z12" s="929"/>
      <c r="AA12" s="935" t="str">
        <f t="shared" si="24"/>
        <v/>
      </c>
      <c r="AB12" s="934" t="str" cm="1">
        <f t="array" ref="AB12">IF(Y12="","",_xlfn.IFS(Y12=$CB$6,70,Y12=$CB$7,90,Y12=$CB$8,70,Y12=$CB$9,90,Y12=$CB$10,110))</f>
        <v/>
      </c>
      <c r="AC12" s="379"/>
      <c r="AD12" s="934" t="str" cm="1">
        <f t="array" ref="AD12">IF(Y12="","",_xlfn.IFS(Y12=$CB$6,15.75,Y12=$CB$7,21,Y12=$CB$8,15.25,Y12=$CB$9,15.25,Y12=$CB$10,15.25))</f>
        <v/>
      </c>
      <c r="AE12" s="380"/>
      <c r="AF12" s="936">
        <f t="shared" si="25"/>
        <v>0</v>
      </c>
      <c r="AG12" s="381" t="str">
        <f t="shared" si="26"/>
        <v/>
      </c>
      <c r="AH12" s="382"/>
      <c r="AI12" s="383" t="str">
        <f t="shared" si="2"/>
        <v/>
      </c>
      <c r="AJ12" s="384" t="str">
        <f t="shared" si="3"/>
        <v/>
      </c>
      <c r="AK12" s="384" t="str">
        <f t="shared" si="4"/>
        <v/>
      </c>
      <c r="AL12" s="377"/>
      <c r="AM12" s="385" t="str">
        <f t="shared" si="5"/>
        <v/>
      </c>
      <c r="AN12" s="384" t="str">
        <f t="shared" si="6"/>
        <v/>
      </c>
      <c r="AO12" s="384" t="str">
        <f t="shared" si="7"/>
        <v/>
      </c>
      <c r="AP12" s="384" t="str">
        <f t="shared" si="8"/>
        <v/>
      </c>
      <c r="AQ12" s="384" t="str">
        <f t="shared" si="9"/>
        <v/>
      </c>
      <c r="AR12" s="384" t="str">
        <f t="shared" si="10"/>
        <v/>
      </c>
      <c r="AS12" s="386" t="str">
        <f t="shared" si="11"/>
        <v/>
      </c>
      <c r="AT12" s="387" t="str">
        <f t="shared" si="12"/>
        <v/>
      </c>
      <c r="AU12" s="388" t="str">
        <f t="shared" ref="AU12:AU49" si="36">IF(OR(AS12="", AT12=""), "", IFERROR(VALUE(TRIM(SUBSTITUTE(AS12,CHAR(160),""))),0) + IFERROR(VALUE(TRIM(SUBSTITUTE(AT12,CHAR(160),""))),0))</f>
        <v/>
      </c>
      <c r="AV12" s="387" t="str">
        <f t="shared" si="13"/>
        <v/>
      </c>
      <c r="AW12" s="387" t="str">
        <f t="shared" si="14"/>
        <v/>
      </c>
      <c r="AX12" s="389" t="str">
        <f t="shared" si="27"/>
        <v/>
      </c>
      <c r="AY12" s="387" t="str">
        <f t="shared" si="15"/>
        <v/>
      </c>
      <c r="AZ12" s="387" t="str">
        <f t="shared" si="16"/>
        <v/>
      </c>
      <c r="BA12" s="389" t="str">
        <f t="shared" si="28"/>
        <v/>
      </c>
      <c r="BB12" s="390" t="str">
        <f t="shared" si="17"/>
        <v/>
      </c>
      <c r="BC12" s="391"/>
      <c r="BD12" s="390" t="str">
        <f t="shared" si="29"/>
        <v/>
      </c>
      <c r="BE12" s="390" t="str">
        <f t="shared" si="29"/>
        <v/>
      </c>
      <c r="BF12" s="390" t="str">
        <f t="shared" ref="BF12:BF49" si="37">IF(BD12="","",BD12+BE12)</f>
        <v/>
      </c>
      <c r="BG12" s="392" t="str" cm="1">
        <f t="array" ref="BG12">IF(AS12="","",IF((IFERROR(_xlfn.IFS($BB12="Devis 1",(IFERROR(VALUE(TRIM(SUBSTITUTE(AS12,CHAR(160),""))),0)),$BB12="Devis 2",(IFERROR(VALUE(TRIM(SUBSTITUTE(AV12,CHAR(160),""))),0)),$BB12="Devis 3",(IFERROR(VALUE(TRIM(SUBSTITUTE(AY12,CHAR(160),""))),0))),0))=0,"",(IFERROR(_xlfn.IFS($BB12="Devis 1",(IFERROR(VALUE(TRIM(SUBSTITUTE(AS12,CHAR(160),""))),0)),$BB12="Devis 2",(IFERROR(VALUE(TRIM(SUBSTITUTE(AV12,CHAR(160),""))),0)),$BB12="Devis 3",(IFERROR(VALUE(TRIM(SUBSTITUTE(AY12,CHAR(160),""))),0))),0))))</f>
        <v/>
      </c>
      <c r="BH12" s="392" t="str" cm="1">
        <f t="array" ref="BH12">IF(AT12="","",IF((IFERROR(_xlfn.IFS($BB12="Devis 1",(IFERROR(VALUE(TRIM(SUBSTITUTE(AT12,CHAR(160),""))),0)),$BB12="Devis 2",(IFERROR(VALUE(TRIM(SUBSTITUTE(AW12,CHAR(160),""))),0)),$BB12="Devis 3",(IFERROR(VALUE(TRIM(SUBSTITUTE(AZ12,CHAR(160),""))),0))),0))=0,"",(IFERROR(_xlfn.IFS($BB12="Devis 1",(IFERROR(VALUE(TRIM(SUBSTITUTE(AT12,CHAR(160),""))),0)),$BB12="Devis 2",(IFERROR(VALUE(TRIM(SUBSTITUTE(AW12,CHAR(160),""))),0)),$BB12="Devis 3",(IFERROR(VALUE(TRIM(SUBSTITUTE(AZ12,CHAR(160),""))),0))),0))))</f>
        <v/>
      </c>
      <c r="BI12" s="700" t="str" cm="1">
        <f t="array" ref="BI12">IF(AU12="","",IF(IFERROR(_xlfn.IFS($BB12="Devis 1",IFERROR(VALUE(TRIM(SUBSTITUTE(AU12,CHAR(160),""))),0),$BB12="Devis 2",IFERROR(VALUE(TRIM(SUBSTITUTE(AX12,CHAR(160),""))),0),$BB12="Devis 3",IFERROR(VALUE(TRIM(SUBSTITUTE(BA12,CHAR(160),""))),0)),0)=0,"",IFERROR(_xlfn.IFS($BB12="Devis 1",IFERROR(VALUE(TRIM(SUBSTITUTE(AU12,CHAR(160),""))),0),$BB12="Devis 2",IFERROR(VALUE(TRIM(SUBSTITUTE(AX12,CHAR(160),""))),0),$BB12="Devis 3",IFERROR(VALUE(TRIM(SUBSTITUTE(BA12,CHAR(160),""))),0)),0)))</f>
        <v/>
      </c>
      <c r="BJ12" s="739" t="str">
        <f t="shared" si="18"/>
        <v/>
      </c>
      <c r="BK12" s="740" t="str">
        <f t="shared" si="19"/>
        <v/>
      </c>
      <c r="BL12" s="741" t="str">
        <f t="shared" si="30"/>
        <v/>
      </c>
      <c r="BM12" s="741" t="str">
        <f t="shared" si="31"/>
        <v/>
      </c>
      <c r="BN12" s="741" t="str">
        <f t="shared" si="32"/>
        <v/>
      </c>
      <c r="BO12" s="741" t="str">
        <f t="shared" si="33"/>
        <v/>
      </c>
      <c r="BP12" s="711">
        <f t="shared" si="20"/>
        <v>0</v>
      </c>
      <c r="BQ12" s="372" t="str">
        <f t="shared" si="34"/>
        <v/>
      </c>
      <c r="BR12" s="718"/>
      <c r="BS12" s="393" t="str" cm="1">
        <f t="array" ref="BS12">IF(OR(BI12="",BF12="",BG12="",BD12="",BH12="",BE12=""),"",_xlfn.IFS((IFERROR(VALUE(TRIM(SUBSTITUTE(BI12,CHAR(160),""))),0))&gt;(IFERROR(VALUE(TRIM(SUBSTITUTE(BF12,CHAR(160),""))),0)),"KO : Le montant retenu TTC est supérieur au montant raisonnable TTC. Merci de revoir la ligne de dépense ou plafonner son montant.",(IFERROR(VALUE(TRIM(SUBSTITUTE(BG12,CHAR(160),""))),0))&gt;(IFERROR(VALUE(TRIM(SUBSTITUTE(BD12,CHAR(160),""))),0)),"Attention : Le montant retenu HT est supérieur au montant HT raisonnable. Merci de revoir la ligne de dépense, plafonner son montant, ou justifier la reventillation HT / TVA.",(IFERROR(VALUE(TRIM(SUBSTITUTE(BH12,CHAR(160),""))),0))&gt;(IFERROR(VALUE(TRIM(SUBSTITUTE(BE12,CHAR(160),""))),0)),"Attention : Le montant TVA retenu est supérieur au montant TVA raisonnable. Merci de revoir la ligne de dépense, plafonner son montant, ou justifier la reventillation HT / TVA.",(IFERROR(VALUE(TRIM(SUBSTITUTE(BI12,CHAR(160),""))),0))=0,"",(IFERROR(VALUE(TRIM(SUBSTITUTE(BF12,CHAR(160),""))),0))=(IFERROR(VALUE(TRIM(SUBSTITUTE(BI12,CHAR(160),""))),0)),"OK",(IFERROR(VALUE(TRIM(SUBSTITUTE(BF12,CHAR(160),""))),0))&gt;(IFERROR(VALUE(TRIM(SUBSTITUTE(BI12,CHAR(160),""))),0))," OK : Montant instruit inférieur au montant raisonnable.",TRUE,""))</f>
        <v/>
      </c>
      <c r="BT12" s="394" t="str" cm="1">
        <f t="array" ref="BT12">IF(OR(BI12="",X12="",BG12="",V12="",BH12="",W12=""),"",_xlfn.IFS((IFERROR(VALUE(TRIM(SUBSTITUTE(BI12,CHAR(160),""))),0))=0,"Attention : montant présenté entièrement écarté",(IFERROR(VALUE(TRIM(SUBSTITUTE(BI12,CHAR(160),""))),0))&gt;(IFERROR(VALUE(TRIM(SUBSTITUTE(X12,CHAR(160),""))),0)),"KO : Le montant retenu TTC est supérieur au montant présenté TTC. Merci de revoir la ligne de dépense ou plafonner son montant.",(IFERROR(VALUE(TRIM(SUBSTITUTE(BG12,CHAR(160),""))),0))&gt;(IFERROR(VALUE(TRIM(SUBSTITUTE(V12,CHAR(160),""))),0)),"Attention : Le montant retenu HT est supérieur au montant HT présenté. Merci de revoir la ligne de dépense,plafonner son montant,ou justifier la reventillation HT/TVA.",(IFERROR(VALUE(TRIM(SUBSTITUTE(BH12,CHAR(160),""))),0))&gt;(IFERROR(VALUE(TRIM(SUBSTITUTE(W12,CHAR(160),""))),0)),"Attention : Le montant TVA retenu est supérieur au montant TVA présenté. Merci de revoir la ligne de dépense,plafonner son montant,ou justifier la reventillation HT/TVA.",(IFERROR(VALUE(TRIM(SUBSTITUTE(X12,CHAR(160),""))),0))=0,"Attention : montant présenté entièrement écarté",(IFERROR(VALUE(TRIM(SUBSTITUTE(BI12,CHAR(160),""))),0))=(IFERROR(VALUE(TRIM(SUBSTITUTE(X12,CHAR(160),""))),0)),"OK",
  AND((IFERROR(VALUE(TRIM(SUBSTITUTE(BI12,CHAR(160),""))),0))&lt;(IFERROR(VALUE(TRIM(SUBSTITUTE(X12,CHAR(160),""))),0)),((IFERROR(VALUE(TRIM(SUBSTITUTE(X12,CHAR(160),""))),0))-(IFERROR(VALUE(TRIM(SUBSTITUTE(BI12,CHAR(160),""))),0)))&lt;0.01),"OK",(IFERROR(VALUE(TRIM(SUBSTITUTE(BI12,CHAR(160),""))),0))&lt;(IFERROR(VALUE(TRIM(SUBSTITUTE(X12,CHAR(160),""))),0)),"Attention : Montant présenté partiellement écarté.",
  TRUE,""))</f>
        <v/>
      </c>
      <c r="BU12" s="373" t="str" cm="1">
        <f t="array" ref="BU12">IF(OR(AF12="",BP12=""),"",_xlfn.IFS((IFERROR(VALUE(TRIM(SUBSTITUTE(BP12,CHAR(160),""))),0))&gt;(IFERROR(VALUE(TRIM(SUBSTITUTE(AF12,CHAR(160),""))),0)),"KO : Le montant retenu est supérieur au montant présenté. Merci de revoir la ligne de contribution ou plafonner son montant.",(IFERROR(VALUE(TRIM(SUBSTITUTE(AF12,CHAR(160),""))),0))=0,"Attention : montant présenté entièrement écarté",(IFERROR(VALUE(TRIM(SUBSTITUTE(BP12,CHAR(160),""))),0))=(IFERROR(VALUE(TRIM(SUBSTITUTE(AF12,CHAR(160),""))),0)),"OK",(IFERROR(VALUE(TRIM(SUBSTITUTE(BP12,CHAR(160),""))),0))&lt;(IFERROR(VALUE(TRIM(SUBSTITUTE(AF12,CHAR(160),""))),0)),"Attention : montant présenté partiellement écarté.",TRUE,""))</f>
        <v>Attention : montant présenté entièrement écarté</v>
      </c>
      <c r="BV12" s="395" t="str">
        <f t="shared" si="21"/>
        <v/>
      </c>
      <c r="BW12" s="396" t="str">
        <f t="shared" si="22"/>
        <v/>
      </c>
      <c r="BX12" s="397" t="str">
        <f t="shared" si="23"/>
        <v/>
      </c>
    </row>
    <row r="13" spans="1:80" ht="14.25" customHeight="1">
      <c r="A13" s="375">
        <v>4</v>
      </c>
      <c r="B13" s="333"/>
      <c r="C13" s="333"/>
      <c r="D13" s="333"/>
      <c r="E13" s="377"/>
      <c r="F13" s="376"/>
      <c r="G13" s="376"/>
      <c r="H13" s="378"/>
      <c r="I13" s="333"/>
      <c r="J13" s="376"/>
      <c r="K13" s="18"/>
      <c r="L13" s="609"/>
      <c r="M13" s="609"/>
      <c r="N13" s="395" t="str">
        <f t="shared" si="35"/>
        <v/>
      </c>
      <c r="O13" s="609"/>
      <c r="P13" s="609"/>
      <c r="Q13" s="610" t="str">
        <f t="shared" si="0"/>
        <v/>
      </c>
      <c r="R13" s="609"/>
      <c r="S13" s="609"/>
      <c r="T13" s="610" t="str">
        <f t="shared" si="1"/>
        <v/>
      </c>
      <c r="U13" s="611"/>
      <c r="V13" s="395" t="str" cm="1">
        <f t="array" ref="V13">IF((_xlfn.IFS(TRIM(SUBSTITUTE(U13,CHAR(160),""))="Devis 1",IFERROR(VALUE(TRIM(SUBSTITUTE(L13,CHAR(160),""))),0),TRIM(SUBSTITUTE(U13,CHAR(160),""))="Devis 2",IFERROR(VALUE(TRIM(SUBSTITUTE(O13,CHAR(160),""))),0),TRIM(SUBSTITUTE(U13,CHAR(160),""))="Devis 3",IFERROR(VALUE(TRIM(SUBSTITUTE(R13,CHAR(160),""))),0),TRUE,0))=0,"",_xlfn.IFS(TRIM(SUBSTITUTE(U13,CHAR(160),""))="Devis 1",IFERROR(VALUE(TRIM(SUBSTITUTE(L13,CHAR(160),""))),0),TRIM(SUBSTITUTE(U13,CHAR(160),""))="Devis 2",IFERROR(VALUE(TRIM(SUBSTITUTE(O13,CHAR(160),""))),0),TRIM(SUBSTITUTE(U13,CHAR(160),""))="Devis 3",IFERROR(VALUE(TRIM(SUBSTITUTE(R13,CHAR(160),""))),0),TRUE,0))</f>
        <v/>
      </c>
      <c r="W13" s="396" t="str" cm="1">
        <f t="array" ref="W13">IF((_xlfn.IFS(TRIM(SUBSTITUTE(U13,CHAR(160),""))="Devis 1",IFERROR(VALUE(TRIM(SUBSTITUTE(M13,CHAR(160),""))),0),TRIM(SUBSTITUTE(U13,CHAR(160),""))="Devis 2",IFERROR(VALUE(TRIM(SUBSTITUTE(P13,CHAR(160),""))),0),TRIM(SUBSTITUTE(U13,CHAR(160),""))="Devis 3",IFERROR(VALUE(TRIM(SUBSTITUTE(S13,CHAR(160),""))),0),TRUE,0))=0,"",_xlfn.IFS(TRIM(SUBSTITUTE(U13,CHAR(160),""))="Devis 1",IFERROR(VALUE(TRIM(SUBSTITUTE(M13,CHAR(160),""))),0),TRIM(SUBSTITUTE(U13,CHAR(160),""))="Devis 2",IFERROR(VALUE(TRIM(SUBSTITUTE(P13,CHAR(160),""))),0),TRIM(SUBSTITUTE(U13,CHAR(160),""))="Devis 3",IFERROR(VALUE(TRIM(SUBSTITUTE(S13,CHAR(160),""))),0),TRUE,0))</f>
        <v/>
      </c>
      <c r="X13" s="926" t="str" cm="1">
        <f t="array" ref="X13">IF((_xlfn.IFS(TRIM(SUBSTITUTE(U13,CHAR(160),""))="Devis 1",IFERROR(VALUE(TRIM(SUBSTITUTE(N13,CHAR(160),""))),0),TRIM(SUBSTITUTE(U13,CHAR(160),""))="Devis 2",IFERROR(VALUE(TRIM(SUBSTITUTE(Q13,CHAR(160),""))),0),TRIM(SUBSTITUTE(U13,CHAR(160),""))="Devis 3",IFERROR(VALUE(TRIM(SUBSTITUTE(T13,CHAR(160),""))),0),TRUE,0))=0,"",_xlfn.IFS(TRIM(SUBSTITUTE(U13,CHAR(160),""))="Devis 1",IFERROR(VALUE(TRIM(SUBSTITUTE(N13,CHAR(160),""))),0),TRIM(SUBSTITUTE(U13,CHAR(160),""))="Devis 2",IFERROR(VALUE(TRIM(SUBSTITUTE(Q13,CHAR(160),""))),0),TRIM(SUBSTITUTE(U13,CHAR(160),""))="Devis 3",IFERROR(VALUE(TRIM(SUBSTITUTE(T13,CHAR(160),""))),0),TRUE,0))</f>
        <v/>
      </c>
      <c r="Y13" s="933"/>
      <c r="Z13" s="929"/>
      <c r="AA13" s="935" t="str">
        <f t="shared" si="24"/>
        <v/>
      </c>
      <c r="AB13" s="934" t="str" cm="1">
        <f t="array" ref="AB13">IF(Y13="","",_xlfn.IFS(Y13=$CB$6,70,Y13=$CB$7,90,Y13=$CB$8,70,Y13=$CB$9,90,Y13=$CB$10,110))</f>
        <v/>
      </c>
      <c r="AC13" s="379"/>
      <c r="AD13" s="934" t="str" cm="1">
        <f t="array" ref="AD13">IF(Y13="","",_xlfn.IFS(Y13=$CB$6,15.75,Y13=$CB$7,21,Y13=$CB$8,15.25,Y13=$CB$9,15.25,Y13=$CB$10,15.25))</f>
        <v/>
      </c>
      <c r="AE13" s="380"/>
      <c r="AF13" s="936">
        <f t="shared" si="25"/>
        <v>0</v>
      </c>
      <c r="AG13" s="381" t="str">
        <f t="shared" si="26"/>
        <v/>
      </c>
      <c r="AH13" s="382"/>
      <c r="AI13" s="383" t="str">
        <f t="shared" si="2"/>
        <v/>
      </c>
      <c r="AJ13" s="384" t="str">
        <f t="shared" si="3"/>
        <v/>
      </c>
      <c r="AK13" s="384" t="str">
        <f t="shared" si="4"/>
        <v/>
      </c>
      <c r="AL13" s="377"/>
      <c r="AM13" s="385" t="str">
        <f t="shared" si="5"/>
        <v/>
      </c>
      <c r="AN13" s="384" t="str">
        <f t="shared" si="6"/>
        <v/>
      </c>
      <c r="AO13" s="384" t="str">
        <f t="shared" si="7"/>
        <v/>
      </c>
      <c r="AP13" s="384" t="str">
        <f t="shared" si="8"/>
        <v/>
      </c>
      <c r="AQ13" s="384" t="str">
        <f t="shared" si="9"/>
        <v/>
      </c>
      <c r="AR13" s="384" t="str">
        <f t="shared" si="10"/>
        <v/>
      </c>
      <c r="AS13" s="386" t="str">
        <f t="shared" si="11"/>
        <v/>
      </c>
      <c r="AT13" s="387" t="str">
        <f t="shared" si="12"/>
        <v/>
      </c>
      <c r="AU13" s="388" t="str">
        <f t="shared" si="36"/>
        <v/>
      </c>
      <c r="AV13" s="387" t="str">
        <f t="shared" si="13"/>
        <v/>
      </c>
      <c r="AW13" s="387" t="str">
        <f t="shared" si="14"/>
        <v/>
      </c>
      <c r="AX13" s="389" t="str">
        <f t="shared" si="27"/>
        <v/>
      </c>
      <c r="AY13" s="387" t="str">
        <f t="shared" si="15"/>
        <v/>
      </c>
      <c r="AZ13" s="387" t="str">
        <f t="shared" si="16"/>
        <v/>
      </c>
      <c r="BA13" s="389" t="str">
        <f t="shared" si="28"/>
        <v/>
      </c>
      <c r="BB13" s="390" t="str">
        <f t="shared" si="17"/>
        <v/>
      </c>
      <c r="BC13" s="391"/>
      <c r="BD13" s="390" t="str">
        <f t="shared" si="29"/>
        <v/>
      </c>
      <c r="BE13" s="390" t="str">
        <f t="shared" si="29"/>
        <v/>
      </c>
      <c r="BF13" s="390" t="str">
        <f t="shared" si="37"/>
        <v/>
      </c>
      <c r="BG13" s="392" t="str" cm="1">
        <f t="array" ref="BG13">IF(AS13="","",IF((IFERROR(_xlfn.IFS($BB13="Devis 1",(IFERROR(VALUE(TRIM(SUBSTITUTE(AS13,CHAR(160),""))),0)),$BB13="Devis 2",(IFERROR(VALUE(TRIM(SUBSTITUTE(AV13,CHAR(160),""))),0)),$BB13="Devis 3",(IFERROR(VALUE(TRIM(SUBSTITUTE(AY13,CHAR(160),""))),0))),0))=0,"",(IFERROR(_xlfn.IFS($BB13="Devis 1",(IFERROR(VALUE(TRIM(SUBSTITUTE(AS13,CHAR(160),""))),0)),$BB13="Devis 2",(IFERROR(VALUE(TRIM(SUBSTITUTE(AV13,CHAR(160),""))),0)),$BB13="Devis 3",(IFERROR(VALUE(TRIM(SUBSTITUTE(AY13,CHAR(160),""))),0))),0))))</f>
        <v/>
      </c>
      <c r="BH13" s="392" t="str" cm="1">
        <f t="array" ref="BH13">IF(AT13="","",IF((IFERROR(_xlfn.IFS($BB13="Devis 1",(IFERROR(VALUE(TRIM(SUBSTITUTE(AT13,CHAR(160),""))),0)),$BB13="Devis 2",(IFERROR(VALUE(TRIM(SUBSTITUTE(AW13,CHAR(160),""))),0)),$BB13="Devis 3",(IFERROR(VALUE(TRIM(SUBSTITUTE(AZ13,CHAR(160),""))),0))),0))=0,"",(IFERROR(_xlfn.IFS($BB13="Devis 1",(IFERROR(VALUE(TRIM(SUBSTITUTE(AT13,CHAR(160),""))),0)),$BB13="Devis 2",(IFERROR(VALUE(TRIM(SUBSTITUTE(AW13,CHAR(160),""))),0)),$BB13="Devis 3",(IFERROR(VALUE(TRIM(SUBSTITUTE(AZ13,CHAR(160),""))),0))),0))))</f>
        <v/>
      </c>
      <c r="BI13" s="700" t="str" cm="1">
        <f t="array" ref="BI13">IF(AU13="","",IF(IFERROR(_xlfn.IFS($BB13="Devis 1",IFERROR(VALUE(TRIM(SUBSTITUTE(AU13,CHAR(160),""))),0),$BB13="Devis 2",IFERROR(VALUE(TRIM(SUBSTITUTE(AX13,CHAR(160),""))),0),$BB13="Devis 3",IFERROR(VALUE(TRIM(SUBSTITUTE(BA13,CHAR(160),""))),0)),0)=0,"",IFERROR(_xlfn.IFS($BB13="Devis 1",IFERROR(VALUE(TRIM(SUBSTITUTE(AU13,CHAR(160),""))),0),$BB13="Devis 2",IFERROR(VALUE(TRIM(SUBSTITUTE(AX13,CHAR(160),""))),0),$BB13="Devis 3",IFERROR(VALUE(TRIM(SUBSTITUTE(BA13,CHAR(160),""))),0)),0)))</f>
        <v/>
      </c>
      <c r="BJ13" s="739" t="str">
        <f t="shared" si="18"/>
        <v/>
      </c>
      <c r="BK13" s="740" t="str">
        <f t="shared" si="19"/>
        <v/>
      </c>
      <c r="BL13" s="741" t="str">
        <f t="shared" si="30"/>
        <v/>
      </c>
      <c r="BM13" s="741" t="str">
        <f t="shared" si="31"/>
        <v/>
      </c>
      <c r="BN13" s="741" t="str">
        <f t="shared" si="32"/>
        <v/>
      </c>
      <c r="BO13" s="741" t="str">
        <f t="shared" si="33"/>
        <v/>
      </c>
      <c r="BP13" s="711">
        <f t="shared" si="20"/>
        <v>0</v>
      </c>
      <c r="BQ13" s="372" t="str">
        <f t="shared" si="34"/>
        <v/>
      </c>
      <c r="BR13" s="718"/>
      <c r="BS13" s="393" t="str" cm="1">
        <f t="array" ref="BS13">IF(OR(BI13="",BF13="",BG13="",BD13="",BH13="",BE13=""),"",_xlfn.IFS((IFERROR(VALUE(TRIM(SUBSTITUTE(BI13,CHAR(160),""))),0))&gt;(IFERROR(VALUE(TRIM(SUBSTITUTE(BF13,CHAR(160),""))),0)),"KO : Le montant retenu TTC est supérieur au montant raisonnable TTC. Merci de revoir la ligne de dépense ou plafonner son montant.",(IFERROR(VALUE(TRIM(SUBSTITUTE(BG13,CHAR(160),""))),0))&gt;(IFERROR(VALUE(TRIM(SUBSTITUTE(BD13,CHAR(160),""))),0)),"Attention : Le montant retenu HT est supérieur au montant HT raisonnable. Merci de revoir la ligne de dépense, plafonner son montant, ou justifier la reventillation HT / TVA.",(IFERROR(VALUE(TRIM(SUBSTITUTE(BH13,CHAR(160),""))),0))&gt;(IFERROR(VALUE(TRIM(SUBSTITUTE(BE13,CHAR(160),""))),0)),"Attention : Le montant TVA retenu est supérieur au montant TVA raisonnable. Merci de revoir la ligne de dépense, plafonner son montant, ou justifier la reventillation HT / TVA.",(IFERROR(VALUE(TRIM(SUBSTITUTE(BI13,CHAR(160),""))),0))=0,"",(IFERROR(VALUE(TRIM(SUBSTITUTE(BF13,CHAR(160),""))),0))=(IFERROR(VALUE(TRIM(SUBSTITUTE(BI13,CHAR(160),""))),0)),"OK",(IFERROR(VALUE(TRIM(SUBSTITUTE(BF13,CHAR(160),""))),0))&gt;(IFERROR(VALUE(TRIM(SUBSTITUTE(BI13,CHAR(160),""))),0))," OK : Montant instruit inférieur au montant raisonnable.",TRUE,""))</f>
        <v/>
      </c>
      <c r="BT13" s="394" t="str" cm="1">
        <f t="array" ref="BT13">IF(OR(BI13="",X13="",BG13="",V13="",BH13="",W13=""),"",_xlfn.IFS((IFERROR(VALUE(TRIM(SUBSTITUTE(BI13,CHAR(160),""))),0))=0,"Attention : montant présenté entièrement écarté",(IFERROR(VALUE(TRIM(SUBSTITUTE(BI13,CHAR(160),""))),0))&gt;(IFERROR(VALUE(TRIM(SUBSTITUTE(X13,CHAR(160),""))),0)),"KO : Le montant retenu TTC est supérieur au montant présenté TTC. Merci de revoir la ligne de dépense ou plafonner son montant.",(IFERROR(VALUE(TRIM(SUBSTITUTE(BG13,CHAR(160),""))),0))&gt;(IFERROR(VALUE(TRIM(SUBSTITUTE(V13,CHAR(160),""))),0)),"Attention : Le montant retenu HT est supérieur au montant HT présenté. Merci de revoir la ligne de dépense,plafonner son montant,ou justifier la reventillation HT/TVA.",(IFERROR(VALUE(TRIM(SUBSTITUTE(BH13,CHAR(160),""))),0))&gt;(IFERROR(VALUE(TRIM(SUBSTITUTE(W13,CHAR(160),""))),0)),"Attention : Le montant TVA retenu est supérieur au montant TVA présenté. Merci de revoir la ligne de dépense,plafonner son montant,ou justifier la reventillation HT/TVA.",(IFERROR(VALUE(TRIM(SUBSTITUTE(X13,CHAR(160),""))),0))=0,"Attention : montant présenté entièrement écarté",(IFERROR(VALUE(TRIM(SUBSTITUTE(BI13,CHAR(160),""))),0))=(IFERROR(VALUE(TRIM(SUBSTITUTE(X13,CHAR(160),""))),0)),"OK",
  AND((IFERROR(VALUE(TRIM(SUBSTITUTE(BI13,CHAR(160),""))),0))&lt;(IFERROR(VALUE(TRIM(SUBSTITUTE(X13,CHAR(160),""))),0)),((IFERROR(VALUE(TRIM(SUBSTITUTE(X13,CHAR(160),""))),0))-(IFERROR(VALUE(TRIM(SUBSTITUTE(BI13,CHAR(160),""))),0)))&lt;0.01),"OK",(IFERROR(VALUE(TRIM(SUBSTITUTE(BI13,CHAR(160),""))),0))&lt;(IFERROR(VALUE(TRIM(SUBSTITUTE(X13,CHAR(160),""))),0)),"Attention : Montant présenté partiellement écarté.",
  TRUE,""))</f>
        <v/>
      </c>
      <c r="BU13" s="373" t="str" cm="1">
        <f t="array" ref="BU13">IF(OR(AF13="",BP13=""),"",_xlfn.IFS((IFERROR(VALUE(TRIM(SUBSTITUTE(BP13,CHAR(160),""))),0))&gt;(IFERROR(VALUE(TRIM(SUBSTITUTE(AF13,CHAR(160),""))),0)),"KO : Le montant retenu est supérieur au montant présenté. Merci de revoir la ligne de contribution ou plafonner son montant.",(IFERROR(VALUE(TRIM(SUBSTITUTE(AF13,CHAR(160),""))),0))=0,"Attention : montant présenté entièrement écarté",(IFERROR(VALUE(TRIM(SUBSTITUTE(BP13,CHAR(160),""))),0))=(IFERROR(VALUE(TRIM(SUBSTITUTE(AF13,CHAR(160),""))),0)),"OK",(IFERROR(VALUE(TRIM(SUBSTITUTE(BP13,CHAR(160),""))),0))&lt;(IFERROR(VALUE(TRIM(SUBSTITUTE(AF13,CHAR(160),""))),0)),"Attention : montant présenté partiellement écarté.",TRUE,""))</f>
        <v>Attention : montant présenté entièrement écarté</v>
      </c>
      <c r="BV13" s="395" t="str">
        <f t="shared" si="21"/>
        <v/>
      </c>
      <c r="BW13" s="396" t="str">
        <f t="shared" si="22"/>
        <v/>
      </c>
      <c r="BX13" s="397" t="str">
        <f t="shared" si="23"/>
        <v/>
      </c>
    </row>
    <row r="14" spans="1:80" ht="14.25" customHeight="1">
      <c r="A14" s="375">
        <v>5</v>
      </c>
      <c r="B14" s="333"/>
      <c r="C14" s="333"/>
      <c r="D14" s="333"/>
      <c r="E14" s="377"/>
      <c r="F14" s="376"/>
      <c r="G14" s="376"/>
      <c r="H14" s="398"/>
      <c r="I14" s="399"/>
      <c r="J14" s="400"/>
      <c r="K14" s="612"/>
      <c r="L14" s="613"/>
      <c r="M14" s="613"/>
      <c r="N14" s="395" t="str">
        <f t="shared" si="35"/>
        <v/>
      </c>
      <c r="O14" s="613"/>
      <c r="P14" s="613"/>
      <c r="Q14" s="610" t="str">
        <f t="shared" si="0"/>
        <v/>
      </c>
      <c r="R14" s="613"/>
      <c r="S14" s="613"/>
      <c r="T14" s="610" t="str">
        <f t="shared" si="1"/>
        <v/>
      </c>
      <c r="U14" s="611"/>
      <c r="V14" s="395" t="str" cm="1">
        <f t="array" ref="V14">IF((_xlfn.IFS(TRIM(SUBSTITUTE(U14,CHAR(160),""))="Devis 1",IFERROR(VALUE(TRIM(SUBSTITUTE(L14,CHAR(160),""))),0),TRIM(SUBSTITUTE(U14,CHAR(160),""))="Devis 2",IFERROR(VALUE(TRIM(SUBSTITUTE(O14,CHAR(160),""))),0),TRIM(SUBSTITUTE(U14,CHAR(160),""))="Devis 3",IFERROR(VALUE(TRIM(SUBSTITUTE(R14,CHAR(160),""))),0),TRUE,0))=0,"",_xlfn.IFS(TRIM(SUBSTITUTE(U14,CHAR(160),""))="Devis 1",IFERROR(VALUE(TRIM(SUBSTITUTE(L14,CHAR(160),""))),0),TRIM(SUBSTITUTE(U14,CHAR(160),""))="Devis 2",IFERROR(VALUE(TRIM(SUBSTITUTE(O14,CHAR(160),""))),0),TRIM(SUBSTITUTE(U14,CHAR(160),""))="Devis 3",IFERROR(VALUE(TRIM(SUBSTITUTE(R14,CHAR(160),""))),0),TRUE,0))</f>
        <v/>
      </c>
      <c r="W14" s="396" t="str" cm="1">
        <f t="array" ref="W14">IF((_xlfn.IFS(TRIM(SUBSTITUTE(U14,CHAR(160),""))="Devis 1",IFERROR(VALUE(TRIM(SUBSTITUTE(M14,CHAR(160),""))),0),TRIM(SUBSTITUTE(U14,CHAR(160),""))="Devis 2",IFERROR(VALUE(TRIM(SUBSTITUTE(P14,CHAR(160),""))),0),TRIM(SUBSTITUTE(U14,CHAR(160),""))="Devis 3",IFERROR(VALUE(TRIM(SUBSTITUTE(S14,CHAR(160),""))),0),TRUE,0))=0,"",_xlfn.IFS(TRIM(SUBSTITUTE(U14,CHAR(160),""))="Devis 1",IFERROR(VALUE(TRIM(SUBSTITUTE(M14,CHAR(160),""))),0),TRIM(SUBSTITUTE(U14,CHAR(160),""))="Devis 2",IFERROR(VALUE(TRIM(SUBSTITUTE(P14,CHAR(160),""))),0),TRIM(SUBSTITUTE(U14,CHAR(160),""))="Devis 3",IFERROR(VALUE(TRIM(SUBSTITUTE(S14,CHAR(160),""))),0),TRUE,0))</f>
        <v/>
      </c>
      <c r="X14" s="926" t="str" cm="1">
        <f t="array" ref="X14">IF((_xlfn.IFS(TRIM(SUBSTITUTE(U14,CHAR(160),""))="Devis 1",IFERROR(VALUE(TRIM(SUBSTITUTE(N14,CHAR(160),""))),0),TRIM(SUBSTITUTE(U14,CHAR(160),""))="Devis 2",IFERROR(VALUE(TRIM(SUBSTITUTE(Q14,CHAR(160),""))),0),TRIM(SUBSTITUTE(U14,CHAR(160),""))="Devis 3",IFERROR(VALUE(TRIM(SUBSTITUTE(T14,CHAR(160),""))),0),TRUE,0))=0,"",_xlfn.IFS(TRIM(SUBSTITUTE(U14,CHAR(160),""))="Devis 1",IFERROR(VALUE(TRIM(SUBSTITUTE(N14,CHAR(160),""))),0),TRIM(SUBSTITUTE(U14,CHAR(160),""))="Devis 2",IFERROR(VALUE(TRIM(SUBSTITUTE(Q14,CHAR(160),""))),0),TRIM(SUBSTITUTE(U14,CHAR(160),""))="Devis 3",IFERROR(VALUE(TRIM(SUBSTITUTE(T14,CHAR(160),""))),0),TRUE,0))</f>
        <v/>
      </c>
      <c r="Y14" s="933"/>
      <c r="Z14" s="929"/>
      <c r="AA14" s="935" t="str">
        <f t="shared" si="24"/>
        <v/>
      </c>
      <c r="AB14" s="934" t="str" cm="1">
        <f t="array" ref="AB14">IF(Y14="","",_xlfn.IFS(Y14=$CB$6,70,Y14=$CB$7,90,Y14=$CB$8,70,Y14=$CB$9,90,Y14=$CB$10,110))</f>
        <v/>
      </c>
      <c r="AC14" s="379"/>
      <c r="AD14" s="934" t="str" cm="1">
        <f t="array" ref="AD14">IF(Y14="","",_xlfn.IFS(Y14=$CB$6,15.75,Y14=$CB$7,21,Y14=$CB$8,15.25,Y14=$CB$9,15.25,Y14=$CB$10,15.25))</f>
        <v/>
      </c>
      <c r="AE14" s="380"/>
      <c r="AF14" s="936">
        <f t="shared" si="25"/>
        <v>0</v>
      </c>
      <c r="AG14" s="381" t="str">
        <f t="shared" si="26"/>
        <v/>
      </c>
      <c r="AH14" s="398"/>
      <c r="AI14" s="383" t="str">
        <f t="shared" si="2"/>
        <v/>
      </c>
      <c r="AJ14" s="384" t="str">
        <f t="shared" si="3"/>
        <v/>
      </c>
      <c r="AK14" s="384" t="str">
        <f t="shared" si="4"/>
        <v/>
      </c>
      <c r="AL14" s="377"/>
      <c r="AM14" s="385" t="str">
        <f t="shared" si="5"/>
        <v/>
      </c>
      <c r="AN14" s="384" t="str">
        <f t="shared" si="6"/>
        <v/>
      </c>
      <c r="AO14" s="384" t="str">
        <f t="shared" si="7"/>
        <v/>
      </c>
      <c r="AP14" s="384" t="str">
        <f t="shared" si="8"/>
        <v/>
      </c>
      <c r="AQ14" s="384" t="str">
        <f t="shared" si="9"/>
        <v/>
      </c>
      <c r="AR14" s="384" t="str">
        <f t="shared" si="10"/>
        <v/>
      </c>
      <c r="AS14" s="386" t="str">
        <f t="shared" si="11"/>
        <v/>
      </c>
      <c r="AT14" s="387" t="str">
        <f t="shared" si="12"/>
        <v/>
      </c>
      <c r="AU14" s="388" t="str">
        <f t="shared" si="36"/>
        <v/>
      </c>
      <c r="AV14" s="387" t="str">
        <f t="shared" si="13"/>
        <v/>
      </c>
      <c r="AW14" s="387" t="str">
        <f t="shared" si="14"/>
        <v/>
      </c>
      <c r="AX14" s="389" t="str">
        <f t="shared" si="27"/>
        <v/>
      </c>
      <c r="AY14" s="387" t="str">
        <f t="shared" si="15"/>
        <v/>
      </c>
      <c r="AZ14" s="387" t="str">
        <f t="shared" si="16"/>
        <v/>
      </c>
      <c r="BA14" s="389" t="str">
        <f t="shared" si="28"/>
        <v/>
      </c>
      <c r="BB14" s="390" t="str">
        <f t="shared" si="17"/>
        <v/>
      </c>
      <c r="BC14" s="391"/>
      <c r="BD14" s="390" t="str">
        <f t="shared" si="29"/>
        <v/>
      </c>
      <c r="BE14" s="390" t="str">
        <f t="shared" si="29"/>
        <v/>
      </c>
      <c r="BF14" s="390" t="str">
        <f t="shared" si="37"/>
        <v/>
      </c>
      <c r="BG14" s="392" t="str" cm="1">
        <f t="array" ref="BG14">IF(AS14="","",IF((IFERROR(_xlfn.IFS($BB14="Devis 1",(IFERROR(VALUE(TRIM(SUBSTITUTE(AS14,CHAR(160),""))),0)),$BB14="Devis 2",(IFERROR(VALUE(TRIM(SUBSTITUTE(AV14,CHAR(160),""))),0)),$BB14="Devis 3",(IFERROR(VALUE(TRIM(SUBSTITUTE(AY14,CHAR(160),""))),0))),0))=0,"",(IFERROR(_xlfn.IFS($BB14="Devis 1",(IFERROR(VALUE(TRIM(SUBSTITUTE(AS14,CHAR(160),""))),0)),$BB14="Devis 2",(IFERROR(VALUE(TRIM(SUBSTITUTE(AV14,CHAR(160),""))),0)),$BB14="Devis 3",(IFERROR(VALUE(TRIM(SUBSTITUTE(AY14,CHAR(160),""))),0))),0))))</f>
        <v/>
      </c>
      <c r="BH14" s="392" t="str" cm="1">
        <f t="array" ref="BH14">IF(AT14="","",IF((IFERROR(_xlfn.IFS($BB14="Devis 1",(IFERROR(VALUE(TRIM(SUBSTITUTE(AT14,CHAR(160),""))),0)),$BB14="Devis 2",(IFERROR(VALUE(TRIM(SUBSTITUTE(AW14,CHAR(160),""))),0)),$BB14="Devis 3",(IFERROR(VALUE(TRIM(SUBSTITUTE(AZ14,CHAR(160),""))),0))),0))=0,"",(IFERROR(_xlfn.IFS($BB14="Devis 1",(IFERROR(VALUE(TRIM(SUBSTITUTE(AT14,CHAR(160),""))),0)),$BB14="Devis 2",(IFERROR(VALUE(TRIM(SUBSTITUTE(AW14,CHAR(160),""))),0)),$BB14="Devis 3",(IFERROR(VALUE(TRIM(SUBSTITUTE(AZ14,CHAR(160),""))),0))),0))))</f>
        <v/>
      </c>
      <c r="BI14" s="700" t="str" cm="1">
        <f t="array" ref="BI14">IF(AU14="","",IF(IFERROR(_xlfn.IFS($BB14="Devis 1",IFERROR(VALUE(TRIM(SUBSTITUTE(AU14,CHAR(160),""))),0),$BB14="Devis 2",IFERROR(VALUE(TRIM(SUBSTITUTE(AX14,CHAR(160),""))),0),$BB14="Devis 3",IFERROR(VALUE(TRIM(SUBSTITUTE(BA14,CHAR(160),""))),0)),0)=0,"",IFERROR(_xlfn.IFS($BB14="Devis 1",IFERROR(VALUE(TRIM(SUBSTITUTE(AU14,CHAR(160),""))),0),$BB14="Devis 2",IFERROR(VALUE(TRIM(SUBSTITUTE(AX14,CHAR(160),""))),0),$BB14="Devis 3",IFERROR(VALUE(TRIM(SUBSTITUTE(BA14,CHAR(160),""))),0)),0)))</f>
        <v/>
      </c>
      <c r="BJ14" s="739" t="str">
        <f t="shared" si="18"/>
        <v/>
      </c>
      <c r="BK14" s="740" t="str">
        <f t="shared" si="19"/>
        <v/>
      </c>
      <c r="BL14" s="741" t="str">
        <f t="shared" si="30"/>
        <v/>
      </c>
      <c r="BM14" s="741" t="str">
        <f t="shared" si="31"/>
        <v/>
      </c>
      <c r="BN14" s="741" t="str">
        <f t="shared" si="32"/>
        <v/>
      </c>
      <c r="BO14" s="741" t="str">
        <f t="shared" si="33"/>
        <v/>
      </c>
      <c r="BP14" s="711">
        <f t="shared" si="20"/>
        <v>0</v>
      </c>
      <c r="BQ14" s="372" t="str">
        <f t="shared" si="34"/>
        <v/>
      </c>
      <c r="BR14" s="718"/>
      <c r="BS14" s="393" t="str" cm="1">
        <f t="array" ref="BS14">IF(OR(BI14="",BF14="",BG14="",BD14="",BH14="",BE14=""),"",_xlfn.IFS((IFERROR(VALUE(TRIM(SUBSTITUTE(BI14,CHAR(160),""))),0))&gt;(IFERROR(VALUE(TRIM(SUBSTITUTE(BF14,CHAR(160),""))),0)),"KO : Le montant retenu TTC est supérieur au montant raisonnable TTC. Merci de revoir la ligne de dépense ou plafonner son montant.",(IFERROR(VALUE(TRIM(SUBSTITUTE(BG14,CHAR(160),""))),0))&gt;(IFERROR(VALUE(TRIM(SUBSTITUTE(BD14,CHAR(160),""))),0)),"Attention : Le montant retenu HT est supérieur au montant HT raisonnable. Merci de revoir la ligne de dépense, plafonner son montant, ou justifier la reventillation HT / TVA.",(IFERROR(VALUE(TRIM(SUBSTITUTE(BH14,CHAR(160),""))),0))&gt;(IFERROR(VALUE(TRIM(SUBSTITUTE(BE14,CHAR(160),""))),0)),"Attention : Le montant TVA retenu est supérieur au montant TVA raisonnable. Merci de revoir la ligne de dépense, plafonner son montant, ou justifier la reventillation HT / TVA.",(IFERROR(VALUE(TRIM(SUBSTITUTE(BI14,CHAR(160),""))),0))=0,"",(IFERROR(VALUE(TRIM(SUBSTITUTE(BF14,CHAR(160),""))),0))=(IFERROR(VALUE(TRIM(SUBSTITUTE(BI14,CHAR(160),""))),0)),"OK",(IFERROR(VALUE(TRIM(SUBSTITUTE(BF14,CHAR(160),""))),0))&gt;(IFERROR(VALUE(TRIM(SUBSTITUTE(BI14,CHAR(160),""))),0))," OK : Montant instruit inférieur au montant raisonnable.",TRUE,""))</f>
        <v/>
      </c>
      <c r="BT14" s="394" t="str" cm="1">
        <f t="array" ref="BT14">IF(OR(BI14="",X14="",BG14="",V14="",BH14="",W14=""),"",_xlfn.IFS((IFERROR(VALUE(TRIM(SUBSTITUTE(BI14,CHAR(160),""))),0))=0,"Attention : montant présenté entièrement écarté",(IFERROR(VALUE(TRIM(SUBSTITUTE(BI14,CHAR(160),""))),0))&gt;(IFERROR(VALUE(TRIM(SUBSTITUTE(X14,CHAR(160),""))),0)),"KO : Le montant retenu TTC est supérieur au montant présenté TTC. Merci de revoir la ligne de dépense ou plafonner son montant.",(IFERROR(VALUE(TRIM(SUBSTITUTE(BG14,CHAR(160),""))),0))&gt;(IFERROR(VALUE(TRIM(SUBSTITUTE(V14,CHAR(160),""))),0)),"Attention : Le montant retenu HT est supérieur au montant HT présenté. Merci de revoir la ligne de dépense,plafonner son montant,ou justifier la reventillation HT/TVA.",(IFERROR(VALUE(TRIM(SUBSTITUTE(BH14,CHAR(160),""))),0))&gt;(IFERROR(VALUE(TRIM(SUBSTITUTE(W14,CHAR(160),""))),0)),"Attention : Le montant TVA retenu est supérieur au montant TVA présenté. Merci de revoir la ligne de dépense,plafonner son montant,ou justifier la reventillation HT/TVA.",(IFERROR(VALUE(TRIM(SUBSTITUTE(X14,CHAR(160),""))),0))=0,"Attention : montant présenté entièrement écarté",(IFERROR(VALUE(TRIM(SUBSTITUTE(BI14,CHAR(160),""))),0))=(IFERROR(VALUE(TRIM(SUBSTITUTE(X14,CHAR(160),""))),0)),"OK",
  AND((IFERROR(VALUE(TRIM(SUBSTITUTE(BI14,CHAR(160),""))),0))&lt;(IFERROR(VALUE(TRIM(SUBSTITUTE(X14,CHAR(160),""))),0)),((IFERROR(VALUE(TRIM(SUBSTITUTE(X14,CHAR(160),""))),0))-(IFERROR(VALUE(TRIM(SUBSTITUTE(BI14,CHAR(160),""))),0)))&lt;0.01),"OK",(IFERROR(VALUE(TRIM(SUBSTITUTE(BI14,CHAR(160),""))),0))&lt;(IFERROR(VALUE(TRIM(SUBSTITUTE(X14,CHAR(160),""))),0)),"Attention : Montant présenté partiellement écarté.",
  TRUE,""))</f>
        <v/>
      </c>
      <c r="BU14" s="373" t="str" cm="1">
        <f t="array" ref="BU14">IF(OR(AF14="",BP14=""),"",_xlfn.IFS((IFERROR(VALUE(TRIM(SUBSTITUTE(BP14,CHAR(160),""))),0))&gt;(IFERROR(VALUE(TRIM(SUBSTITUTE(AF14,CHAR(160),""))),0)),"KO : Le montant retenu est supérieur au montant présenté. Merci de revoir la ligne de contribution ou plafonner son montant.",(IFERROR(VALUE(TRIM(SUBSTITUTE(AF14,CHAR(160),""))),0))=0,"Attention : montant présenté entièrement écarté",(IFERROR(VALUE(TRIM(SUBSTITUTE(BP14,CHAR(160),""))),0))=(IFERROR(VALUE(TRIM(SUBSTITUTE(AF14,CHAR(160),""))),0)),"OK",(IFERROR(VALUE(TRIM(SUBSTITUTE(BP14,CHAR(160),""))),0))&lt;(IFERROR(VALUE(TRIM(SUBSTITUTE(AF14,CHAR(160),""))),0)),"Attention : montant présenté partiellement écarté.",TRUE,""))</f>
        <v>Attention : montant présenté entièrement écarté</v>
      </c>
      <c r="BV14" s="395" t="str">
        <f t="shared" si="21"/>
        <v/>
      </c>
      <c r="BW14" s="396" t="str">
        <f t="shared" si="22"/>
        <v/>
      </c>
      <c r="BX14" s="397" t="str">
        <f t="shared" si="23"/>
        <v/>
      </c>
    </row>
    <row r="15" spans="1:80" ht="14.25" customHeight="1">
      <c r="A15" s="375">
        <v>6</v>
      </c>
      <c r="B15" s="333"/>
      <c r="C15" s="333"/>
      <c r="D15" s="333"/>
      <c r="E15" s="377"/>
      <c r="F15" s="376"/>
      <c r="G15" s="376"/>
      <c r="H15" s="398"/>
      <c r="I15" s="399"/>
      <c r="J15" s="400"/>
      <c r="K15" s="612"/>
      <c r="L15" s="613"/>
      <c r="M15" s="613"/>
      <c r="N15" s="395" t="str">
        <f t="shared" si="35"/>
        <v/>
      </c>
      <c r="O15" s="613"/>
      <c r="P15" s="613"/>
      <c r="Q15" s="610" t="str">
        <f t="shared" si="0"/>
        <v/>
      </c>
      <c r="R15" s="613"/>
      <c r="S15" s="613"/>
      <c r="T15" s="610" t="str">
        <f t="shared" si="1"/>
        <v/>
      </c>
      <c r="U15" s="611"/>
      <c r="V15" s="395" t="str" cm="1">
        <f t="array" ref="V15">IF((_xlfn.IFS(TRIM(SUBSTITUTE(U15,CHAR(160),""))="Devis 1",IFERROR(VALUE(TRIM(SUBSTITUTE(L15,CHAR(160),""))),0),TRIM(SUBSTITUTE(U15,CHAR(160),""))="Devis 2",IFERROR(VALUE(TRIM(SUBSTITUTE(O15,CHAR(160),""))),0),TRIM(SUBSTITUTE(U15,CHAR(160),""))="Devis 3",IFERROR(VALUE(TRIM(SUBSTITUTE(R15,CHAR(160),""))),0),TRUE,0))=0,"",_xlfn.IFS(TRIM(SUBSTITUTE(U15,CHAR(160),""))="Devis 1",IFERROR(VALUE(TRIM(SUBSTITUTE(L15,CHAR(160),""))),0),TRIM(SUBSTITUTE(U15,CHAR(160),""))="Devis 2",IFERROR(VALUE(TRIM(SUBSTITUTE(O15,CHAR(160),""))),0),TRIM(SUBSTITUTE(U15,CHAR(160),""))="Devis 3",IFERROR(VALUE(TRIM(SUBSTITUTE(R15,CHAR(160),""))),0),TRUE,0))</f>
        <v/>
      </c>
      <c r="W15" s="396" t="str" cm="1">
        <f t="array" ref="W15">IF((_xlfn.IFS(TRIM(SUBSTITUTE(U15,CHAR(160),""))="Devis 1",IFERROR(VALUE(TRIM(SUBSTITUTE(M15,CHAR(160),""))),0),TRIM(SUBSTITUTE(U15,CHAR(160),""))="Devis 2",IFERROR(VALUE(TRIM(SUBSTITUTE(P15,CHAR(160),""))),0),TRIM(SUBSTITUTE(U15,CHAR(160),""))="Devis 3",IFERROR(VALUE(TRIM(SUBSTITUTE(S15,CHAR(160),""))),0),TRUE,0))=0,"",_xlfn.IFS(TRIM(SUBSTITUTE(U15,CHAR(160),""))="Devis 1",IFERROR(VALUE(TRIM(SUBSTITUTE(M15,CHAR(160),""))),0),TRIM(SUBSTITUTE(U15,CHAR(160),""))="Devis 2",IFERROR(VALUE(TRIM(SUBSTITUTE(P15,CHAR(160),""))),0),TRIM(SUBSTITUTE(U15,CHAR(160),""))="Devis 3",IFERROR(VALUE(TRIM(SUBSTITUTE(S15,CHAR(160),""))),0),TRUE,0))</f>
        <v/>
      </c>
      <c r="X15" s="926" t="str" cm="1">
        <f t="array" ref="X15">IF((_xlfn.IFS(TRIM(SUBSTITUTE(U15,CHAR(160),""))="Devis 1",IFERROR(VALUE(TRIM(SUBSTITUTE(N15,CHAR(160),""))),0),TRIM(SUBSTITUTE(U15,CHAR(160),""))="Devis 2",IFERROR(VALUE(TRIM(SUBSTITUTE(Q15,CHAR(160),""))),0),TRIM(SUBSTITUTE(U15,CHAR(160),""))="Devis 3",IFERROR(VALUE(TRIM(SUBSTITUTE(T15,CHAR(160),""))),0),TRUE,0))=0,"",_xlfn.IFS(TRIM(SUBSTITUTE(U15,CHAR(160),""))="Devis 1",IFERROR(VALUE(TRIM(SUBSTITUTE(N15,CHAR(160),""))),0),TRIM(SUBSTITUTE(U15,CHAR(160),""))="Devis 2",IFERROR(VALUE(TRIM(SUBSTITUTE(Q15,CHAR(160),""))),0),TRIM(SUBSTITUTE(U15,CHAR(160),""))="Devis 3",IFERROR(VALUE(TRIM(SUBSTITUTE(T15,CHAR(160),""))),0),TRUE,0))</f>
        <v/>
      </c>
      <c r="Y15" s="933"/>
      <c r="Z15" s="929"/>
      <c r="AA15" s="935" t="str">
        <f t="shared" si="24"/>
        <v/>
      </c>
      <c r="AB15" s="934" t="str" cm="1">
        <f t="array" ref="AB15">IF(Y15="","",_xlfn.IFS(Y15=$CB$6,70,Y15=$CB$7,90,Y15=$CB$8,70,Y15=$CB$9,90,Y15=$CB$10,110))</f>
        <v/>
      </c>
      <c r="AC15" s="379"/>
      <c r="AD15" s="934" t="str" cm="1">
        <f t="array" ref="AD15">IF(Y15="","",_xlfn.IFS(Y15=$CB$6,15.75,Y15=$CB$7,21,Y15=$CB$8,15.25,Y15=$CB$9,15.25,Y15=$CB$10,15.25))</f>
        <v/>
      </c>
      <c r="AE15" s="380"/>
      <c r="AF15" s="936">
        <f t="shared" si="25"/>
        <v>0</v>
      </c>
      <c r="AG15" s="381" t="str">
        <f t="shared" si="26"/>
        <v/>
      </c>
      <c r="AH15" s="398"/>
      <c r="AI15" s="383" t="str">
        <f t="shared" si="2"/>
        <v/>
      </c>
      <c r="AJ15" s="384" t="str">
        <f t="shared" si="3"/>
        <v/>
      </c>
      <c r="AK15" s="384" t="str">
        <f t="shared" si="4"/>
        <v/>
      </c>
      <c r="AL15" s="377"/>
      <c r="AM15" s="385" t="str">
        <f t="shared" si="5"/>
        <v/>
      </c>
      <c r="AN15" s="384" t="str">
        <f t="shared" si="6"/>
        <v/>
      </c>
      <c r="AO15" s="384" t="str">
        <f t="shared" si="7"/>
        <v/>
      </c>
      <c r="AP15" s="384" t="str">
        <f t="shared" si="8"/>
        <v/>
      </c>
      <c r="AQ15" s="384" t="str">
        <f t="shared" si="9"/>
        <v/>
      </c>
      <c r="AR15" s="384" t="str">
        <f t="shared" si="10"/>
        <v/>
      </c>
      <c r="AS15" s="386" t="str">
        <f t="shared" si="11"/>
        <v/>
      </c>
      <c r="AT15" s="387" t="str">
        <f t="shared" si="12"/>
        <v/>
      </c>
      <c r="AU15" s="388" t="str">
        <f t="shared" si="36"/>
        <v/>
      </c>
      <c r="AV15" s="387" t="str">
        <f t="shared" si="13"/>
        <v/>
      </c>
      <c r="AW15" s="387" t="str">
        <f t="shared" si="14"/>
        <v/>
      </c>
      <c r="AX15" s="389" t="str">
        <f t="shared" si="27"/>
        <v/>
      </c>
      <c r="AY15" s="387" t="str">
        <f t="shared" si="15"/>
        <v/>
      </c>
      <c r="AZ15" s="387" t="str">
        <f t="shared" si="16"/>
        <v/>
      </c>
      <c r="BA15" s="389" t="str">
        <f t="shared" si="28"/>
        <v/>
      </c>
      <c r="BB15" s="390" t="str">
        <f t="shared" si="17"/>
        <v/>
      </c>
      <c r="BC15" s="391"/>
      <c r="BD15" s="390" t="str">
        <f t="shared" si="29"/>
        <v/>
      </c>
      <c r="BE15" s="390" t="str">
        <f t="shared" si="29"/>
        <v/>
      </c>
      <c r="BF15" s="390" t="str">
        <f t="shared" si="37"/>
        <v/>
      </c>
      <c r="BG15" s="392" t="str" cm="1">
        <f t="array" ref="BG15">IF(AS15="","",IF((IFERROR(_xlfn.IFS($BB15="Devis 1",(IFERROR(VALUE(TRIM(SUBSTITUTE(AS15,CHAR(160),""))),0)),$BB15="Devis 2",(IFERROR(VALUE(TRIM(SUBSTITUTE(AV15,CHAR(160),""))),0)),$BB15="Devis 3",(IFERROR(VALUE(TRIM(SUBSTITUTE(AY15,CHAR(160),""))),0))),0))=0,"",(IFERROR(_xlfn.IFS($BB15="Devis 1",(IFERROR(VALUE(TRIM(SUBSTITUTE(AS15,CHAR(160),""))),0)),$BB15="Devis 2",(IFERROR(VALUE(TRIM(SUBSTITUTE(AV15,CHAR(160),""))),0)),$BB15="Devis 3",(IFERROR(VALUE(TRIM(SUBSTITUTE(AY15,CHAR(160),""))),0))),0))))</f>
        <v/>
      </c>
      <c r="BH15" s="392" t="str" cm="1">
        <f t="array" ref="BH15">IF(AT15="","",IF((IFERROR(_xlfn.IFS($BB15="Devis 1",(IFERROR(VALUE(TRIM(SUBSTITUTE(AT15,CHAR(160),""))),0)),$BB15="Devis 2",(IFERROR(VALUE(TRIM(SUBSTITUTE(AW15,CHAR(160),""))),0)),$BB15="Devis 3",(IFERROR(VALUE(TRIM(SUBSTITUTE(AZ15,CHAR(160),""))),0))),0))=0,"",(IFERROR(_xlfn.IFS($BB15="Devis 1",(IFERROR(VALUE(TRIM(SUBSTITUTE(AT15,CHAR(160),""))),0)),$BB15="Devis 2",(IFERROR(VALUE(TRIM(SUBSTITUTE(AW15,CHAR(160),""))),0)),$BB15="Devis 3",(IFERROR(VALUE(TRIM(SUBSTITUTE(AZ15,CHAR(160),""))),0))),0))))</f>
        <v/>
      </c>
      <c r="BI15" s="700" t="str" cm="1">
        <f t="array" ref="BI15">IF(AU15="","",IF(IFERROR(_xlfn.IFS($BB15="Devis 1",IFERROR(VALUE(TRIM(SUBSTITUTE(AU15,CHAR(160),""))),0),$BB15="Devis 2",IFERROR(VALUE(TRIM(SUBSTITUTE(AX15,CHAR(160),""))),0),$BB15="Devis 3",IFERROR(VALUE(TRIM(SUBSTITUTE(BA15,CHAR(160),""))),0)),0)=0,"",IFERROR(_xlfn.IFS($BB15="Devis 1",IFERROR(VALUE(TRIM(SUBSTITUTE(AU15,CHAR(160),""))),0),$BB15="Devis 2",IFERROR(VALUE(TRIM(SUBSTITUTE(AX15,CHAR(160),""))),0),$BB15="Devis 3",IFERROR(VALUE(TRIM(SUBSTITUTE(BA15,CHAR(160),""))),0)),0)))</f>
        <v/>
      </c>
      <c r="BJ15" s="739" t="str">
        <f t="shared" si="18"/>
        <v/>
      </c>
      <c r="BK15" s="740" t="str">
        <f t="shared" si="19"/>
        <v/>
      </c>
      <c r="BL15" s="741" t="str">
        <f t="shared" si="30"/>
        <v/>
      </c>
      <c r="BM15" s="741" t="str">
        <f t="shared" si="31"/>
        <v/>
      </c>
      <c r="BN15" s="741" t="str">
        <f t="shared" si="32"/>
        <v/>
      </c>
      <c r="BO15" s="741" t="str">
        <f t="shared" si="33"/>
        <v/>
      </c>
      <c r="BP15" s="711">
        <f t="shared" si="20"/>
        <v>0</v>
      </c>
      <c r="BQ15" s="372" t="str">
        <f t="shared" si="34"/>
        <v/>
      </c>
      <c r="BR15" s="718"/>
      <c r="BS15" s="393" t="str" cm="1">
        <f t="array" ref="BS15">IF(OR(BI15="",BF15="",BG15="",BD15="",BH15="",BE15=""),"",_xlfn.IFS((IFERROR(VALUE(TRIM(SUBSTITUTE(BI15,CHAR(160),""))),0))&gt;(IFERROR(VALUE(TRIM(SUBSTITUTE(BF15,CHAR(160),""))),0)),"KO : Le montant retenu TTC est supérieur au montant raisonnable TTC. Merci de revoir la ligne de dépense ou plafonner son montant.",(IFERROR(VALUE(TRIM(SUBSTITUTE(BG15,CHAR(160),""))),0))&gt;(IFERROR(VALUE(TRIM(SUBSTITUTE(BD15,CHAR(160),""))),0)),"Attention : Le montant retenu HT est supérieur au montant HT raisonnable. Merci de revoir la ligne de dépense, plafonner son montant, ou justifier la reventillation HT / TVA.",(IFERROR(VALUE(TRIM(SUBSTITUTE(BH15,CHAR(160),""))),0))&gt;(IFERROR(VALUE(TRIM(SUBSTITUTE(BE15,CHAR(160),""))),0)),"Attention : Le montant TVA retenu est supérieur au montant TVA raisonnable. Merci de revoir la ligne de dépense, plafonner son montant, ou justifier la reventillation HT / TVA.",(IFERROR(VALUE(TRIM(SUBSTITUTE(BI15,CHAR(160),""))),0))=0,"",(IFERROR(VALUE(TRIM(SUBSTITUTE(BF15,CHAR(160),""))),0))=(IFERROR(VALUE(TRIM(SUBSTITUTE(BI15,CHAR(160),""))),0)),"OK",(IFERROR(VALUE(TRIM(SUBSTITUTE(BF15,CHAR(160),""))),0))&gt;(IFERROR(VALUE(TRIM(SUBSTITUTE(BI15,CHAR(160),""))),0))," OK : Montant instruit inférieur au montant raisonnable.",TRUE,""))</f>
        <v/>
      </c>
      <c r="BT15" s="394" t="str" cm="1">
        <f t="array" ref="BT15">IF(OR(BI15="",X15="",BG15="",V15="",BH15="",W15=""),"",_xlfn.IFS((IFERROR(VALUE(TRIM(SUBSTITUTE(BI15,CHAR(160),""))),0))=0,"Attention : montant présenté entièrement écarté",(IFERROR(VALUE(TRIM(SUBSTITUTE(BI15,CHAR(160),""))),0))&gt;(IFERROR(VALUE(TRIM(SUBSTITUTE(X15,CHAR(160),""))),0)),"KO : Le montant retenu TTC est supérieur au montant présenté TTC. Merci de revoir la ligne de dépense ou plafonner son montant.",(IFERROR(VALUE(TRIM(SUBSTITUTE(BG15,CHAR(160),""))),0))&gt;(IFERROR(VALUE(TRIM(SUBSTITUTE(V15,CHAR(160),""))),0)),"Attention : Le montant retenu HT est supérieur au montant HT présenté. Merci de revoir la ligne de dépense,plafonner son montant,ou justifier la reventillation HT/TVA.",(IFERROR(VALUE(TRIM(SUBSTITUTE(BH15,CHAR(160),""))),0))&gt;(IFERROR(VALUE(TRIM(SUBSTITUTE(W15,CHAR(160),""))),0)),"Attention : Le montant TVA retenu est supérieur au montant TVA présenté. Merci de revoir la ligne de dépense,plafonner son montant,ou justifier la reventillation HT/TVA.",(IFERROR(VALUE(TRIM(SUBSTITUTE(X15,CHAR(160),""))),0))=0,"Attention : montant présenté entièrement écarté",(IFERROR(VALUE(TRIM(SUBSTITUTE(BI15,CHAR(160),""))),0))=(IFERROR(VALUE(TRIM(SUBSTITUTE(X15,CHAR(160),""))),0)),"OK",
  AND((IFERROR(VALUE(TRIM(SUBSTITUTE(BI15,CHAR(160),""))),0))&lt;(IFERROR(VALUE(TRIM(SUBSTITUTE(X15,CHAR(160),""))),0)),((IFERROR(VALUE(TRIM(SUBSTITUTE(X15,CHAR(160),""))),0))-(IFERROR(VALUE(TRIM(SUBSTITUTE(BI15,CHAR(160),""))),0)))&lt;0.01),"OK",(IFERROR(VALUE(TRIM(SUBSTITUTE(BI15,CHAR(160),""))),0))&lt;(IFERROR(VALUE(TRIM(SUBSTITUTE(X15,CHAR(160),""))),0)),"Attention : Montant présenté partiellement écarté.",
  TRUE,""))</f>
        <v/>
      </c>
      <c r="BU15" s="373" t="str" cm="1">
        <f t="array" ref="BU15">IF(OR(AF15="",BP15=""),"",_xlfn.IFS((IFERROR(VALUE(TRIM(SUBSTITUTE(BP15,CHAR(160),""))),0))&gt;(IFERROR(VALUE(TRIM(SUBSTITUTE(AF15,CHAR(160),""))),0)),"KO : Le montant retenu est supérieur au montant présenté. Merci de revoir la ligne de contribution ou plafonner son montant.",(IFERROR(VALUE(TRIM(SUBSTITUTE(AF15,CHAR(160),""))),0))=0,"Attention : montant présenté entièrement écarté",(IFERROR(VALUE(TRIM(SUBSTITUTE(BP15,CHAR(160),""))),0))=(IFERROR(VALUE(TRIM(SUBSTITUTE(AF15,CHAR(160),""))),0)),"OK",(IFERROR(VALUE(TRIM(SUBSTITUTE(BP15,CHAR(160),""))),0))&lt;(IFERROR(VALUE(TRIM(SUBSTITUTE(AF15,CHAR(160),""))),0)),"Attention : montant présenté partiellement écarté.",TRUE,""))</f>
        <v>Attention : montant présenté entièrement écarté</v>
      </c>
      <c r="BV15" s="395" t="str">
        <f t="shared" si="21"/>
        <v/>
      </c>
      <c r="BW15" s="396" t="str">
        <f t="shared" si="22"/>
        <v/>
      </c>
      <c r="BX15" s="397" t="str">
        <f t="shared" si="23"/>
        <v/>
      </c>
    </row>
    <row r="16" spans="1:80" ht="14.25" customHeight="1">
      <c r="A16" s="375">
        <v>7</v>
      </c>
      <c r="B16" s="333"/>
      <c r="C16" s="333"/>
      <c r="D16" s="333"/>
      <c r="E16" s="377"/>
      <c r="F16" s="376"/>
      <c r="G16" s="376"/>
      <c r="H16" s="398"/>
      <c r="I16" s="399"/>
      <c r="J16" s="400"/>
      <c r="K16" s="612"/>
      <c r="L16" s="613"/>
      <c r="M16" s="613"/>
      <c r="N16" s="395" t="str">
        <f t="shared" si="35"/>
        <v/>
      </c>
      <c r="O16" s="613"/>
      <c r="P16" s="613"/>
      <c r="Q16" s="610" t="str">
        <f t="shared" si="0"/>
        <v/>
      </c>
      <c r="R16" s="613"/>
      <c r="S16" s="613"/>
      <c r="T16" s="610" t="str">
        <f t="shared" si="1"/>
        <v/>
      </c>
      <c r="U16" s="611"/>
      <c r="V16" s="395" t="str" cm="1">
        <f t="array" ref="V16">IF((_xlfn.IFS(TRIM(SUBSTITUTE(U16,CHAR(160),""))="Devis 1",IFERROR(VALUE(TRIM(SUBSTITUTE(L16,CHAR(160),""))),0),TRIM(SUBSTITUTE(U16,CHAR(160),""))="Devis 2",IFERROR(VALUE(TRIM(SUBSTITUTE(O16,CHAR(160),""))),0),TRIM(SUBSTITUTE(U16,CHAR(160),""))="Devis 3",IFERROR(VALUE(TRIM(SUBSTITUTE(R16,CHAR(160),""))),0),TRUE,0))=0,"",_xlfn.IFS(TRIM(SUBSTITUTE(U16,CHAR(160),""))="Devis 1",IFERROR(VALUE(TRIM(SUBSTITUTE(L16,CHAR(160),""))),0),TRIM(SUBSTITUTE(U16,CHAR(160),""))="Devis 2",IFERROR(VALUE(TRIM(SUBSTITUTE(O16,CHAR(160),""))),0),TRIM(SUBSTITUTE(U16,CHAR(160),""))="Devis 3",IFERROR(VALUE(TRIM(SUBSTITUTE(R16,CHAR(160),""))),0),TRUE,0))</f>
        <v/>
      </c>
      <c r="W16" s="396" t="str" cm="1">
        <f t="array" ref="W16">IF((_xlfn.IFS(TRIM(SUBSTITUTE(U16,CHAR(160),""))="Devis 1",IFERROR(VALUE(TRIM(SUBSTITUTE(M16,CHAR(160),""))),0),TRIM(SUBSTITUTE(U16,CHAR(160),""))="Devis 2",IFERROR(VALUE(TRIM(SUBSTITUTE(P16,CHAR(160),""))),0),TRIM(SUBSTITUTE(U16,CHAR(160),""))="Devis 3",IFERROR(VALUE(TRIM(SUBSTITUTE(S16,CHAR(160),""))),0),TRUE,0))=0,"",_xlfn.IFS(TRIM(SUBSTITUTE(U16,CHAR(160),""))="Devis 1",IFERROR(VALUE(TRIM(SUBSTITUTE(M16,CHAR(160),""))),0),TRIM(SUBSTITUTE(U16,CHAR(160),""))="Devis 2",IFERROR(VALUE(TRIM(SUBSTITUTE(P16,CHAR(160),""))),0),TRIM(SUBSTITUTE(U16,CHAR(160),""))="Devis 3",IFERROR(VALUE(TRIM(SUBSTITUTE(S16,CHAR(160),""))),0),TRUE,0))</f>
        <v/>
      </c>
      <c r="X16" s="926" t="str" cm="1">
        <f t="array" ref="X16">IF((_xlfn.IFS(TRIM(SUBSTITUTE(U16,CHAR(160),""))="Devis 1",IFERROR(VALUE(TRIM(SUBSTITUTE(N16,CHAR(160),""))),0),TRIM(SUBSTITUTE(U16,CHAR(160),""))="Devis 2",IFERROR(VALUE(TRIM(SUBSTITUTE(Q16,CHAR(160),""))),0),TRIM(SUBSTITUTE(U16,CHAR(160),""))="Devis 3",IFERROR(VALUE(TRIM(SUBSTITUTE(T16,CHAR(160),""))),0),TRUE,0))=0,"",_xlfn.IFS(TRIM(SUBSTITUTE(U16,CHAR(160),""))="Devis 1",IFERROR(VALUE(TRIM(SUBSTITUTE(N16,CHAR(160),""))),0),TRIM(SUBSTITUTE(U16,CHAR(160),""))="Devis 2",IFERROR(VALUE(TRIM(SUBSTITUTE(Q16,CHAR(160),""))),0),TRIM(SUBSTITUTE(U16,CHAR(160),""))="Devis 3",IFERROR(VALUE(TRIM(SUBSTITUTE(T16,CHAR(160),""))),0),TRUE,0))</f>
        <v/>
      </c>
      <c r="Y16" s="933"/>
      <c r="Z16" s="929"/>
      <c r="AA16" s="935" t="str">
        <f t="shared" si="24"/>
        <v/>
      </c>
      <c r="AB16" s="934" t="str" cm="1">
        <f t="array" ref="AB16">IF(Y16="","",_xlfn.IFS(Y16=$CB$6,70,Y16=$CB$7,90,Y16=$CB$8,70,Y16=$CB$9,90,Y16=$CB$10,110))</f>
        <v/>
      </c>
      <c r="AC16" s="379"/>
      <c r="AD16" s="934" t="str" cm="1">
        <f t="array" ref="AD16">IF(Y16="","",_xlfn.IFS(Y16=$CB$6,15.75,Y16=$CB$7,21,Y16=$CB$8,15.25,Y16=$CB$9,15.25,Y16=$CB$10,15.25))</f>
        <v/>
      </c>
      <c r="AE16" s="380"/>
      <c r="AF16" s="936">
        <f t="shared" si="25"/>
        <v>0</v>
      </c>
      <c r="AG16" s="381" t="str">
        <f t="shared" si="26"/>
        <v/>
      </c>
      <c r="AH16" s="398"/>
      <c r="AI16" s="383" t="str">
        <f t="shared" si="2"/>
        <v/>
      </c>
      <c r="AJ16" s="384" t="str">
        <f t="shared" si="3"/>
        <v/>
      </c>
      <c r="AK16" s="384" t="str">
        <f t="shared" si="4"/>
        <v/>
      </c>
      <c r="AL16" s="377"/>
      <c r="AM16" s="385" t="str">
        <f t="shared" si="5"/>
        <v/>
      </c>
      <c r="AN16" s="384" t="str">
        <f t="shared" si="6"/>
        <v/>
      </c>
      <c r="AO16" s="384" t="str">
        <f t="shared" si="7"/>
        <v/>
      </c>
      <c r="AP16" s="384" t="str">
        <f t="shared" si="8"/>
        <v/>
      </c>
      <c r="AQ16" s="384" t="str">
        <f t="shared" si="9"/>
        <v/>
      </c>
      <c r="AR16" s="384" t="str">
        <f t="shared" si="10"/>
        <v/>
      </c>
      <c r="AS16" s="386" t="str">
        <f t="shared" si="11"/>
        <v/>
      </c>
      <c r="AT16" s="387" t="str">
        <f t="shared" si="12"/>
        <v/>
      </c>
      <c r="AU16" s="388" t="str">
        <f t="shared" si="36"/>
        <v/>
      </c>
      <c r="AV16" s="387" t="str">
        <f t="shared" si="13"/>
        <v/>
      </c>
      <c r="AW16" s="387" t="str">
        <f t="shared" si="14"/>
        <v/>
      </c>
      <c r="AX16" s="389" t="str">
        <f t="shared" si="27"/>
        <v/>
      </c>
      <c r="AY16" s="387" t="str">
        <f t="shared" si="15"/>
        <v/>
      </c>
      <c r="AZ16" s="387" t="str">
        <f t="shared" si="16"/>
        <v/>
      </c>
      <c r="BA16" s="389" t="str">
        <f t="shared" si="28"/>
        <v/>
      </c>
      <c r="BB16" s="390" t="str">
        <f t="shared" si="17"/>
        <v/>
      </c>
      <c r="BC16" s="391"/>
      <c r="BD16" s="390" t="str">
        <f t="shared" si="29"/>
        <v/>
      </c>
      <c r="BE16" s="390" t="str">
        <f t="shared" si="29"/>
        <v/>
      </c>
      <c r="BF16" s="390" t="str">
        <f t="shared" si="37"/>
        <v/>
      </c>
      <c r="BG16" s="392" t="str" cm="1">
        <f t="array" ref="BG16">IF(AS16="","",IF((IFERROR(_xlfn.IFS($BB16="Devis 1",(IFERROR(VALUE(TRIM(SUBSTITUTE(AS16,CHAR(160),""))),0)),$BB16="Devis 2",(IFERROR(VALUE(TRIM(SUBSTITUTE(AV16,CHAR(160),""))),0)),$BB16="Devis 3",(IFERROR(VALUE(TRIM(SUBSTITUTE(AY16,CHAR(160),""))),0))),0))=0,"",(IFERROR(_xlfn.IFS($BB16="Devis 1",(IFERROR(VALUE(TRIM(SUBSTITUTE(AS16,CHAR(160),""))),0)),$BB16="Devis 2",(IFERROR(VALUE(TRIM(SUBSTITUTE(AV16,CHAR(160),""))),0)),$BB16="Devis 3",(IFERROR(VALUE(TRIM(SUBSTITUTE(AY16,CHAR(160),""))),0))),0))))</f>
        <v/>
      </c>
      <c r="BH16" s="392" t="str" cm="1">
        <f t="array" ref="BH16">IF(AT16="","",IF((IFERROR(_xlfn.IFS($BB16="Devis 1",(IFERROR(VALUE(TRIM(SUBSTITUTE(AT16,CHAR(160),""))),0)),$BB16="Devis 2",(IFERROR(VALUE(TRIM(SUBSTITUTE(AW16,CHAR(160),""))),0)),$BB16="Devis 3",(IFERROR(VALUE(TRIM(SUBSTITUTE(AZ16,CHAR(160),""))),0))),0))=0,"",(IFERROR(_xlfn.IFS($BB16="Devis 1",(IFERROR(VALUE(TRIM(SUBSTITUTE(AT16,CHAR(160),""))),0)),$BB16="Devis 2",(IFERROR(VALUE(TRIM(SUBSTITUTE(AW16,CHAR(160),""))),0)),$BB16="Devis 3",(IFERROR(VALUE(TRIM(SUBSTITUTE(AZ16,CHAR(160),""))),0))),0))))</f>
        <v/>
      </c>
      <c r="BI16" s="700" t="str" cm="1">
        <f t="array" ref="BI16">IF(AU16="","",IF(IFERROR(_xlfn.IFS($BB16="Devis 1",IFERROR(VALUE(TRIM(SUBSTITUTE(AU16,CHAR(160),""))),0),$BB16="Devis 2",IFERROR(VALUE(TRIM(SUBSTITUTE(AX16,CHAR(160),""))),0),$BB16="Devis 3",IFERROR(VALUE(TRIM(SUBSTITUTE(BA16,CHAR(160),""))),0)),0)=0,"",IFERROR(_xlfn.IFS($BB16="Devis 1",IFERROR(VALUE(TRIM(SUBSTITUTE(AU16,CHAR(160),""))),0),$BB16="Devis 2",IFERROR(VALUE(TRIM(SUBSTITUTE(AX16,CHAR(160),""))),0),$BB16="Devis 3",IFERROR(VALUE(TRIM(SUBSTITUTE(BA16,CHAR(160),""))),0)),0)))</f>
        <v/>
      </c>
      <c r="BJ16" s="739" t="str">
        <f t="shared" si="18"/>
        <v/>
      </c>
      <c r="BK16" s="740" t="str">
        <f t="shared" si="19"/>
        <v/>
      </c>
      <c r="BL16" s="741" t="str">
        <f t="shared" si="30"/>
        <v/>
      </c>
      <c r="BM16" s="741" t="str">
        <f t="shared" si="31"/>
        <v/>
      </c>
      <c r="BN16" s="741" t="str">
        <f t="shared" si="32"/>
        <v/>
      </c>
      <c r="BO16" s="741" t="str">
        <f t="shared" si="33"/>
        <v/>
      </c>
      <c r="BP16" s="711">
        <f t="shared" si="20"/>
        <v>0</v>
      </c>
      <c r="BQ16" s="372" t="str">
        <f t="shared" si="34"/>
        <v/>
      </c>
      <c r="BR16" s="718"/>
      <c r="BS16" s="393" t="str" cm="1">
        <f t="array" ref="BS16">IF(OR(BI16="",BF16="",BG16="",BD16="",BH16="",BE16=""),"",_xlfn.IFS((IFERROR(VALUE(TRIM(SUBSTITUTE(BI16,CHAR(160),""))),0))&gt;(IFERROR(VALUE(TRIM(SUBSTITUTE(BF16,CHAR(160),""))),0)),"KO : Le montant retenu TTC est supérieur au montant raisonnable TTC. Merci de revoir la ligne de dépense ou plafonner son montant.",(IFERROR(VALUE(TRIM(SUBSTITUTE(BG16,CHAR(160),""))),0))&gt;(IFERROR(VALUE(TRIM(SUBSTITUTE(BD16,CHAR(160),""))),0)),"Attention : Le montant retenu HT est supérieur au montant HT raisonnable. Merci de revoir la ligne de dépense, plafonner son montant, ou justifier la reventillation HT / TVA.",(IFERROR(VALUE(TRIM(SUBSTITUTE(BH16,CHAR(160),""))),0))&gt;(IFERROR(VALUE(TRIM(SUBSTITUTE(BE16,CHAR(160),""))),0)),"Attention : Le montant TVA retenu est supérieur au montant TVA raisonnable. Merci de revoir la ligne de dépense, plafonner son montant, ou justifier la reventillation HT / TVA.",(IFERROR(VALUE(TRIM(SUBSTITUTE(BI16,CHAR(160),""))),0))=0,"",(IFERROR(VALUE(TRIM(SUBSTITUTE(BF16,CHAR(160),""))),0))=(IFERROR(VALUE(TRIM(SUBSTITUTE(BI16,CHAR(160),""))),0)),"OK",(IFERROR(VALUE(TRIM(SUBSTITUTE(BF16,CHAR(160),""))),0))&gt;(IFERROR(VALUE(TRIM(SUBSTITUTE(BI16,CHAR(160),""))),0))," OK : Montant instruit inférieur au montant raisonnable.",TRUE,""))</f>
        <v/>
      </c>
      <c r="BT16" s="394" t="str" cm="1">
        <f t="array" ref="BT16">IF(OR(BI16="",X16="",BG16="",V16="",BH16="",W16=""),"",_xlfn.IFS((IFERROR(VALUE(TRIM(SUBSTITUTE(BI16,CHAR(160),""))),0))=0,"Attention : montant présenté entièrement écarté",(IFERROR(VALUE(TRIM(SUBSTITUTE(BI16,CHAR(160),""))),0))&gt;(IFERROR(VALUE(TRIM(SUBSTITUTE(X16,CHAR(160),""))),0)),"KO : Le montant retenu TTC est supérieur au montant présenté TTC. Merci de revoir la ligne de dépense ou plafonner son montant.",(IFERROR(VALUE(TRIM(SUBSTITUTE(BG16,CHAR(160),""))),0))&gt;(IFERROR(VALUE(TRIM(SUBSTITUTE(V16,CHAR(160),""))),0)),"Attention : Le montant retenu HT est supérieur au montant HT présenté. Merci de revoir la ligne de dépense,plafonner son montant,ou justifier la reventillation HT/TVA.",(IFERROR(VALUE(TRIM(SUBSTITUTE(BH16,CHAR(160),""))),0))&gt;(IFERROR(VALUE(TRIM(SUBSTITUTE(W16,CHAR(160),""))),0)),"Attention : Le montant TVA retenu est supérieur au montant TVA présenté. Merci de revoir la ligne de dépense,plafonner son montant,ou justifier la reventillation HT/TVA.",(IFERROR(VALUE(TRIM(SUBSTITUTE(X16,CHAR(160),""))),0))=0,"Attention : montant présenté entièrement écarté",(IFERROR(VALUE(TRIM(SUBSTITUTE(BI16,CHAR(160),""))),0))=(IFERROR(VALUE(TRIM(SUBSTITUTE(X16,CHAR(160),""))),0)),"OK",
  AND((IFERROR(VALUE(TRIM(SUBSTITUTE(BI16,CHAR(160),""))),0))&lt;(IFERROR(VALUE(TRIM(SUBSTITUTE(X16,CHAR(160),""))),0)),((IFERROR(VALUE(TRIM(SUBSTITUTE(X16,CHAR(160),""))),0))-(IFERROR(VALUE(TRIM(SUBSTITUTE(BI16,CHAR(160),""))),0)))&lt;0.01),"OK",(IFERROR(VALUE(TRIM(SUBSTITUTE(BI16,CHAR(160),""))),0))&lt;(IFERROR(VALUE(TRIM(SUBSTITUTE(X16,CHAR(160),""))),0)),"Attention : Montant présenté partiellement écarté.",
  TRUE,""))</f>
        <v/>
      </c>
      <c r="BU16" s="373" t="str" cm="1">
        <f t="array" ref="BU16">IF(OR(AF16="",BP16=""),"",_xlfn.IFS((IFERROR(VALUE(TRIM(SUBSTITUTE(BP16,CHAR(160),""))),0))&gt;(IFERROR(VALUE(TRIM(SUBSTITUTE(AF16,CHAR(160),""))),0)),"KO : Le montant retenu est supérieur au montant présenté. Merci de revoir la ligne de contribution ou plafonner son montant.",(IFERROR(VALUE(TRIM(SUBSTITUTE(AF16,CHAR(160),""))),0))=0,"Attention : montant présenté entièrement écarté",(IFERROR(VALUE(TRIM(SUBSTITUTE(BP16,CHAR(160),""))),0))=(IFERROR(VALUE(TRIM(SUBSTITUTE(AF16,CHAR(160),""))),0)),"OK",(IFERROR(VALUE(TRIM(SUBSTITUTE(BP16,CHAR(160),""))),0))&lt;(IFERROR(VALUE(TRIM(SUBSTITUTE(AF16,CHAR(160),""))),0)),"Attention : montant présenté partiellement écarté.",TRUE,""))</f>
        <v>Attention : montant présenté entièrement écarté</v>
      </c>
      <c r="BV16" s="395" t="str">
        <f t="shared" si="21"/>
        <v/>
      </c>
      <c r="BW16" s="396" t="str">
        <f t="shared" si="22"/>
        <v/>
      </c>
      <c r="BX16" s="397" t="str">
        <f t="shared" si="23"/>
        <v/>
      </c>
    </row>
    <row r="17" spans="1:76" ht="14.25" customHeight="1">
      <c r="A17" s="375">
        <v>8</v>
      </c>
      <c r="B17" s="333"/>
      <c r="C17" s="333"/>
      <c r="D17" s="333"/>
      <c r="E17" s="377"/>
      <c r="F17" s="376"/>
      <c r="G17" s="376"/>
      <c r="H17" s="400"/>
      <c r="I17" s="400"/>
      <c r="J17" s="400"/>
      <c r="K17" s="612"/>
      <c r="L17" s="613"/>
      <c r="M17" s="613"/>
      <c r="N17" s="395" t="str">
        <f t="shared" si="35"/>
        <v/>
      </c>
      <c r="O17" s="613"/>
      <c r="P17" s="613"/>
      <c r="Q17" s="610" t="str">
        <f t="shared" si="0"/>
        <v/>
      </c>
      <c r="R17" s="613"/>
      <c r="S17" s="613"/>
      <c r="T17" s="610" t="str">
        <f t="shared" si="1"/>
        <v/>
      </c>
      <c r="U17" s="611"/>
      <c r="V17" s="395" t="str" cm="1">
        <f t="array" ref="V17">IF((_xlfn.IFS(TRIM(SUBSTITUTE(U17,CHAR(160),""))="Devis 1",IFERROR(VALUE(TRIM(SUBSTITUTE(L17,CHAR(160),""))),0),TRIM(SUBSTITUTE(U17,CHAR(160),""))="Devis 2",IFERROR(VALUE(TRIM(SUBSTITUTE(O17,CHAR(160),""))),0),TRIM(SUBSTITUTE(U17,CHAR(160),""))="Devis 3",IFERROR(VALUE(TRIM(SUBSTITUTE(R17,CHAR(160),""))),0),TRUE,0))=0,"",_xlfn.IFS(TRIM(SUBSTITUTE(U17,CHAR(160),""))="Devis 1",IFERROR(VALUE(TRIM(SUBSTITUTE(L17,CHAR(160),""))),0),TRIM(SUBSTITUTE(U17,CHAR(160),""))="Devis 2",IFERROR(VALUE(TRIM(SUBSTITUTE(O17,CHAR(160),""))),0),TRIM(SUBSTITUTE(U17,CHAR(160),""))="Devis 3",IFERROR(VALUE(TRIM(SUBSTITUTE(R17,CHAR(160),""))),0),TRUE,0))</f>
        <v/>
      </c>
      <c r="W17" s="396" t="str" cm="1">
        <f t="array" ref="W17">IF((_xlfn.IFS(TRIM(SUBSTITUTE(U17,CHAR(160),""))="Devis 1",IFERROR(VALUE(TRIM(SUBSTITUTE(M17,CHAR(160),""))),0),TRIM(SUBSTITUTE(U17,CHAR(160),""))="Devis 2",IFERROR(VALUE(TRIM(SUBSTITUTE(P17,CHAR(160),""))),0),TRIM(SUBSTITUTE(U17,CHAR(160),""))="Devis 3",IFERROR(VALUE(TRIM(SUBSTITUTE(S17,CHAR(160),""))),0),TRUE,0))=0,"",_xlfn.IFS(TRIM(SUBSTITUTE(U17,CHAR(160),""))="Devis 1",IFERROR(VALUE(TRIM(SUBSTITUTE(M17,CHAR(160),""))),0),TRIM(SUBSTITUTE(U17,CHAR(160),""))="Devis 2",IFERROR(VALUE(TRIM(SUBSTITUTE(P17,CHAR(160),""))),0),TRIM(SUBSTITUTE(U17,CHAR(160),""))="Devis 3",IFERROR(VALUE(TRIM(SUBSTITUTE(S17,CHAR(160),""))),0),TRUE,0))</f>
        <v/>
      </c>
      <c r="X17" s="926" t="str" cm="1">
        <f t="array" ref="X17">IF((_xlfn.IFS(TRIM(SUBSTITUTE(U17,CHAR(160),""))="Devis 1",IFERROR(VALUE(TRIM(SUBSTITUTE(N17,CHAR(160),""))),0),TRIM(SUBSTITUTE(U17,CHAR(160),""))="Devis 2",IFERROR(VALUE(TRIM(SUBSTITUTE(Q17,CHAR(160),""))),0),TRIM(SUBSTITUTE(U17,CHAR(160),""))="Devis 3",IFERROR(VALUE(TRIM(SUBSTITUTE(T17,CHAR(160),""))),0),TRUE,0))=0,"",_xlfn.IFS(TRIM(SUBSTITUTE(U17,CHAR(160),""))="Devis 1",IFERROR(VALUE(TRIM(SUBSTITUTE(N17,CHAR(160),""))),0),TRIM(SUBSTITUTE(U17,CHAR(160),""))="Devis 2",IFERROR(VALUE(TRIM(SUBSTITUTE(Q17,CHAR(160),""))),0),TRIM(SUBSTITUTE(U17,CHAR(160),""))="Devis 3",IFERROR(VALUE(TRIM(SUBSTITUTE(T17,CHAR(160),""))),0),TRUE,0))</f>
        <v/>
      </c>
      <c r="Y17" s="933"/>
      <c r="Z17" s="929"/>
      <c r="AA17" s="935" t="str">
        <f t="shared" si="24"/>
        <v/>
      </c>
      <c r="AB17" s="934" t="str" cm="1">
        <f t="array" ref="AB17">IF(Y17="","",_xlfn.IFS(Y17=$CB$6,70,Y17=$CB$7,90,Y17=$CB$8,70,Y17=$CB$9,90,Y17=$CB$10,110))</f>
        <v/>
      </c>
      <c r="AC17" s="379"/>
      <c r="AD17" s="934" t="str" cm="1">
        <f t="array" ref="AD17">IF(Y17="","",_xlfn.IFS(Y17=$CB$6,15.75,Y17=$CB$7,21,Y17=$CB$8,15.25,Y17=$CB$9,15.25,Y17=$CB$10,15.25))</f>
        <v/>
      </c>
      <c r="AE17" s="380"/>
      <c r="AF17" s="936">
        <f t="shared" si="25"/>
        <v>0</v>
      </c>
      <c r="AG17" s="381" t="str">
        <f t="shared" si="26"/>
        <v/>
      </c>
      <c r="AH17" s="398"/>
      <c r="AI17" s="383" t="str">
        <f t="shared" si="2"/>
        <v/>
      </c>
      <c r="AJ17" s="384" t="str">
        <f t="shared" si="3"/>
        <v/>
      </c>
      <c r="AK17" s="384" t="str">
        <f t="shared" si="4"/>
        <v/>
      </c>
      <c r="AL17" s="377"/>
      <c r="AM17" s="385" t="str">
        <f t="shared" si="5"/>
        <v/>
      </c>
      <c r="AN17" s="384" t="str">
        <f t="shared" si="6"/>
        <v/>
      </c>
      <c r="AO17" s="384" t="str">
        <f t="shared" si="7"/>
        <v/>
      </c>
      <c r="AP17" s="384" t="str">
        <f t="shared" si="8"/>
        <v/>
      </c>
      <c r="AQ17" s="384" t="str">
        <f t="shared" si="9"/>
        <v/>
      </c>
      <c r="AR17" s="384" t="str">
        <f t="shared" si="10"/>
        <v/>
      </c>
      <c r="AS17" s="386" t="str">
        <f t="shared" si="11"/>
        <v/>
      </c>
      <c r="AT17" s="387" t="str">
        <f t="shared" si="12"/>
        <v/>
      </c>
      <c r="AU17" s="388" t="str">
        <f t="shared" si="36"/>
        <v/>
      </c>
      <c r="AV17" s="387" t="str">
        <f t="shared" si="13"/>
        <v/>
      </c>
      <c r="AW17" s="387" t="str">
        <f t="shared" si="14"/>
        <v/>
      </c>
      <c r="AX17" s="389" t="str">
        <f t="shared" si="27"/>
        <v/>
      </c>
      <c r="AY17" s="387" t="str">
        <f t="shared" si="15"/>
        <v/>
      </c>
      <c r="AZ17" s="387" t="str">
        <f t="shared" si="16"/>
        <v/>
      </c>
      <c r="BA17" s="389" t="str">
        <f t="shared" si="28"/>
        <v/>
      </c>
      <c r="BB17" s="390" t="str">
        <f t="shared" si="17"/>
        <v/>
      </c>
      <c r="BC17" s="391"/>
      <c r="BD17" s="390" t="str">
        <f t="shared" si="29"/>
        <v/>
      </c>
      <c r="BE17" s="390" t="str">
        <f t="shared" si="29"/>
        <v/>
      </c>
      <c r="BF17" s="390" t="str">
        <f t="shared" si="37"/>
        <v/>
      </c>
      <c r="BG17" s="392" t="str" cm="1">
        <f t="array" ref="BG17">IF(AS17="","",IF((IFERROR(_xlfn.IFS($BB17="Devis 1",(IFERROR(VALUE(TRIM(SUBSTITUTE(AS17,CHAR(160),""))),0)),$BB17="Devis 2",(IFERROR(VALUE(TRIM(SUBSTITUTE(AV17,CHAR(160),""))),0)),$BB17="Devis 3",(IFERROR(VALUE(TRIM(SUBSTITUTE(AY17,CHAR(160),""))),0))),0))=0,"",(IFERROR(_xlfn.IFS($BB17="Devis 1",(IFERROR(VALUE(TRIM(SUBSTITUTE(AS17,CHAR(160),""))),0)),$BB17="Devis 2",(IFERROR(VALUE(TRIM(SUBSTITUTE(AV17,CHAR(160),""))),0)),$BB17="Devis 3",(IFERROR(VALUE(TRIM(SUBSTITUTE(AY17,CHAR(160),""))),0))),0))))</f>
        <v/>
      </c>
      <c r="BH17" s="392" t="str" cm="1">
        <f t="array" ref="BH17">IF(AT17="","",IF((IFERROR(_xlfn.IFS($BB17="Devis 1",(IFERROR(VALUE(TRIM(SUBSTITUTE(AT17,CHAR(160),""))),0)),$BB17="Devis 2",(IFERROR(VALUE(TRIM(SUBSTITUTE(AW17,CHAR(160),""))),0)),$BB17="Devis 3",(IFERROR(VALUE(TRIM(SUBSTITUTE(AZ17,CHAR(160),""))),0))),0))=0,"",(IFERROR(_xlfn.IFS($BB17="Devis 1",(IFERROR(VALUE(TRIM(SUBSTITUTE(AT17,CHAR(160),""))),0)),$BB17="Devis 2",(IFERROR(VALUE(TRIM(SUBSTITUTE(AW17,CHAR(160),""))),0)),$BB17="Devis 3",(IFERROR(VALUE(TRIM(SUBSTITUTE(AZ17,CHAR(160),""))),0))),0))))</f>
        <v/>
      </c>
      <c r="BI17" s="700" t="str" cm="1">
        <f t="array" ref="BI17">IF(AU17="","",IF(IFERROR(_xlfn.IFS($BB17="Devis 1",IFERROR(VALUE(TRIM(SUBSTITUTE(AU17,CHAR(160),""))),0),$BB17="Devis 2",IFERROR(VALUE(TRIM(SUBSTITUTE(AX17,CHAR(160),""))),0),$BB17="Devis 3",IFERROR(VALUE(TRIM(SUBSTITUTE(BA17,CHAR(160),""))),0)),0)=0,"",IFERROR(_xlfn.IFS($BB17="Devis 1",IFERROR(VALUE(TRIM(SUBSTITUTE(AU17,CHAR(160),""))),0),$BB17="Devis 2",IFERROR(VALUE(TRIM(SUBSTITUTE(AX17,CHAR(160),""))),0),$BB17="Devis 3",IFERROR(VALUE(TRIM(SUBSTITUTE(BA17,CHAR(160),""))),0)),0)))</f>
        <v/>
      </c>
      <c r="BJ17" s="739" t="str">
        <f t="shared" si="18"/>
        <v/>
      </c>
      <c r="BK17" s="740" t="str">
        <f t="shared" si="19"/>
        <v/>
      </c>
      <c r="BL17" s="741" t="str">
        <f t="shared" si="30"/>
        <v/>
      </c>
      <c r="BM17" s="741" t="str">
        <f t="shared" si="31"/>
        <v/>
      </c>
      <c r="BN17" s="741" t="str">
        <f t="shared" si="32"/>
        <v/>
      </c>
      <c r="BO17" s="741" t="str">
        <f t="shared" si="33"/>
        <v/>
      </c>
      <c r="BP17" s="711">
        <f t="shared" si="20"/>
        <v>0</v>
      </c>
      <c r="BQ17" s="372" t="str">
        <f t="shared" si="34"/>
        <v/>
      </c>
      <c r="BR17" s="718"/>
      <c r="BS17" s="393" t="str" cm="1">
        <f t="array" ref="BS17">IF(OR(BI17="",BF17="",BG17="",BD17="",BH17="",BE17=""),"",_xlfn.IFS((IFERROR(VALUE(TRIM(SUBSTITUTE(BI17,CHAR(160),""))),0))&gt;(IFERROR(VALUE(TRIM(SUBSTITUTE(BF17,CHAR(160),""))),0)),"KO : Le montant retenu TTC est supérieur au montant raisonnable TTC. Merci de revoir la ligne de dépense ou plafonner son montant.",(IFERROR(VALUE(TRIM(SUBSTITUTE(BG17,CHAR(160),""))),0))&gt;(IFERROR(VALUE(TRIM(SUBSTITUTE(BD17,CHAR(160),""))),0)),"Attention : Le montant retenu HT est supérieur au montant HT raisonnable. Merci de revoir la ligne de dépense, plafonner son montant, ou justifier la reventillation HT / TVA.",(IFERROR(VALUE(TRIM(SUBSTITUTE(BH17,CHAR(160),""))),0))&gt;(IFERROR(VALUE(TRIM(SUBSTITUTE(BE17,CHAR(160),""))),0)),"Attention : Le montant TVA retenu est supérieur au montant TVA raisonnable. Merci de revoir la ligne de dépense, plafonner son montant, ou justifier la reventillation HT / TVA.",(IFERROR(VALUE(TRIM(SUBSTITUTE(BI17,CHAR(160),""))),0))=0,"",(IFERROR(VALUE(TRIM(SUBSTITUTE(BF17,CHAR(160),""))),0))=(IFERROR(VALUE(TRIM(SUBSTITUTE(BI17,CHAR(160),""))),0)),"OK",(IFERROR(VALUE(TRIM(SUBSTITUTE(BF17,CHAR(160),""))),0))&gt;(IFERROR(VALUE(TRIM(SUBSTITUTE(BI17,CHAR(160),""))),0))," OK : Montant instruit inférieur au montant raisonnable.",TRUE,""))</f>
        <v/>
      </c>
      <c r="BT17" s="394" t="str" cm="1">
        <f t="array" ref="BT17">IF(OR(BI17="",X17="",BG17="",V17="",BH17="",W17=""),"",_xlfn.IFS((IFERROR(VALUE(TRIM(SUBSTITUTE(BI17,CHAR(160),""))),0))=0,"Attention : montant présenté entièrement écarté",(IFERROR(VALUE(TRIM(SUBSTITUTE(BI17,CHAR(160),""))),0))&gt;(IFERROR(VALUE(TRIM(SUBSTITUTE(X17,CHAR(160),""))),0)),"KO : Le montant retenu TTC est supérieur au montant présenté TTC. Merci de revoir la ligne de dépense ou plafonner son montant.",(IFERROR(VALUE(TRIM(SUBSTITUTE(BG17,CHAR(160),""))),0))&gt;(IFERROR(VALUE(TRIM(SUBSTITUTE(V17,CHAR(160),""))),0)),"Attention : Le montant retenu HT est supérieur au montant HT présenté. Merci de revoir la ligne de dépense,plafonner son montant,ou justifier la reventillation HT/TVA.",(IFERROR(VALUE(TRIM(SUBSTITUTE(BH17,CHAR(160),""))),0))&gt;(IFERROR(VALUE(TRIM(SUBSTITUTE(W17,CHAR(160),""))),0)),"Attention : Le montant TVA retenu est supérieur au montant TVA présenté. Merci de revoir la ligne de dépense,plafonner son montant,ou justifier la reventillation HT/TVA.",(IFERROR(VALUE(TRIM(SUBSTITUTE(X17,CHAR(160),""))),0))=0,"Attention : montant présenté entièrement écarté",(IFERROR(VALUE(TRIM(SUBSTITUTE(BI17,CHAR(160),""))),0))=(IFERROR(VALUE(TRIM(SUBSTITUTE(X17,CHAR(160),""))),0)),"OK",
  AND((IFERROR(VALUE(TRIM(SUBSTITUTE(BI17,CHAR(160),""))),0))&lt;(IFERROR(VALUE(TRIM(SUBSTITUTE(X17,CHAR(160),""))),0)),((IFERROR(VALUE(TRIM(SUBSTITUTE(X17,CHAR(160),""))),0))-(IFERROR(VALUE(TRIM(SUBSTITUTE(BI17,CHAR(160),""))),0)))&lt;0.01),"OK",(IFERROR(VALUE(TRIM(SUBSTITUTE(BI17,CHAR(160),""))),0))&lt;(IFERROR(VALUE(TRIM(SUBSTITUTE(X17,CHAR(160),""))),0)),"Attention : Montant présenté partiellement écarté.",
  TRUE,""))</f>
        <v/>
      </c>
      <c r="BU17" s="373" t="str" cm="1">
        <f t="array" ref="BU17">IF(OR(AF17="",BP17=""),"",_xlfn.IFS((IFERROR(VALUE(TRIM(SUBSTITUTE(BP17,CHAR(160),""))),0))&gt;(IFERROR(VALUE(TRIM(SUBSTITUTE(AF17,CHAR(160),""))),0)),"KO : Le montant retenu est supérieur au montant présenté. Merci de revoir la ligne de contribution ou plafonner son montant.",(IFERROR(VALUE(TRIM(SUBSTITUTE(AF17,CHAR(160),""))),0))=0,"Attention : montant présenté entièrement écarté",(IFERROR(VALUE(TRIM(SUBSTITUTE(BP17,CHAR(160),""))),0))=(IFERROR(VALUE(TRIM(SUBSTITUTE(AF17,CHAR(160),""))),0)),"OK",(IFERROR(VALUE(TRIM(SUBSTITUTE(BP17,CHAR(160),""))),0))&lt;(IFERROR(VALUE(TRIM(SUBSTITUTE(AF17,CHAR(160),""))),0)),"Attention : montant présenté partiellement écarté.",TRUE,""))</f>
        <v>Attention : montant présenté entièrement écarté</v>
      </c>
      <c r="BV17" s="395" t="str">
        <f t="shared" si="21"/>
        <v/>
      </c>
      <c r="BW17" s="396" t="str">
        <f t="shared" si="22"/>
        <v/>
      </c>
      <c r="BX17" s="397" t="str">
        <f t="shared" si="23"/>
        <v/>
      </c>
    </row>
    <row r="18" spans="1:76" ht="14.25" customHeight="1">
      <c r="A18" s="375">
        <v>9</v>
      </c>
      <c r="B18" s="333"/>
      <c r="C18" s="333"/>
      <c r="D18" s="333"/>
      <c r="E18" s="377"/>
      <c r="F18" s="376"/>
      <c r="G18" s="376"/>
      <c r="H18" s="400"/>
      <c r="I18" s="400"/>
      <c r="J18" s="400"/>
      <c r="K18" s="612"/>
      <c r="L18" s="613"/>
      <c r="M18" s="613"/>
      <c r="N18" s="395" t="str">
        <f t="shared" si="35"/>
        <v/>
      </c>
      <c r="O18" s="613"/>
      <c r="P18" s="613"/>
      <c r="Q18" s="610" t="str">
        <f t="shared" si="0"/>
        <v/>
      </c>
      <c r="R18" s="613"/>
      <c r="S18" s="613"/>
      <c r="T18" s="610" t="str">
        <f t="shared" si="1"/>
        <v/>
      </c>
      <c r="U18" s="611"/>
      <c r="V18" s="395" t="str" cm="1">
        <f t="array" ref="V18">IF((_xlfn.IFS(TRIM(SUBSTITUTE(U18,CHAR(160),""))="Devis 1",IFERROR(VALUE(TRIM(SUBSTITUTE(L18,CHAR(160),""))),0),TRIM(SUBSTITUTE(U18,CHAR(160),""))="Devis 2",IFERROR(VALUE(TRIM(SUBSTITUTE(O18,CHAR(160),""))),0),TRIM(SUBSTITUTE(U18,CHAR(160),""))="Devis 3",IFERROR(VALUE(TRIM(SUBSTITUTE(R18,CHAR(160),""))),0),TRUE,0))=0,"",_xlfn.IFS(TRIM(SUBSTITUTE(U18,CHAR(160),""))="Devis 1",IFERROR(VALUE(TRIM(SUBSTITUTE(L18,CHAR(160),""))),0),TRIM(SUBSTITUTE(U18,CHAR(160),""))="Devis 2",IFERROR(VALUE(TRIM(SUBSTITUTE(O18,CHAR(160),""))),0),TRIM(SUBSTITUTE(U18,CHAR(160),""))="Devis 3",IFERROR(VALUE(TRIM(SUBSTITUTE(R18,CHAR(160),""))),0),TRUE,0))</f>
        <v/>
      </c>
      <c r="W18" s="396" t="str" cm="1">
        <f t="array" ref="W18">IF((_xlfn.IFS(TRIM(SUBSTITUTE(U18,CHAR(160),""))="Devis 1",IFERROR(VALUE(TRIM(SUBSTITUTE(M18,CHAR(160),""))),0),TRIM(SUBSTITUTE(U18,CHAR(160),""))="Devis 2",IFERROR(VALUE(TRIM(SUBSTITUTE(P18,CHAR(160),""))),0),TRIM(SUBSTITUTE(U18,CHAR(160),""))="Devis 3",IFERROR(VALUE(TRIM(SUBSTITUTE(S18,CHAR(160),""))),0),TRUE,0))=0,"",_xlfn.IFS(TRIM(SUBSTITUTE(U18,CHAR(160),""))="Devis 1",IFERROR(VALUE(TRIM(SUBSTITUTE(M18,CHAR(160),""))),0),TRIM(SUBSTITUTE(U18,CHAR(160),""))="Devis 2",IFERROR(VALUE(TRIM(SUBSTITUTE(P18,CHAR(160),""))),0),TRIM(SUBSTITUTE(U18,CHAR(160),""))="Devis 3",IFERROR(VALUE(TRIM(SUBSTITUTE(S18,CHAR(160),""))),0),TRUE,0))</f>
        <v/>
      </c>
      <c r="X18" s="926" t="str" cm="1">
        <f t="array" ref="X18">IF((_xlfn.IFS(TRIM(SUBSTITUTE(U18,CHAR(160),""))="Devis 1",IFERROR(VALUE(TRIM(SUBSTITUTE(N18,CHAR(160),""))),0),TRIM(SUBSTITUTE(U18,CHAR(160),""))="Devis 2",IFERROR(VALUE(TRIM(SUBSTITUTE(Q18,CHAR(160),""))),0),TRIM(SUBSTITUTE(U18,CHAR(160),""))="Devis 3",IFERROR(VALUE(TRIM(SUBSTITUTE(T18,CHAR(160),""))),0),TRUE,0))=0,"",_xlfn.IFS(TRIM(SUBSTITUTE(U18,CHAR(160),""))="Devis 1",IFERROR(VALUE(TRIM(SUBSTITUTE(N18,CHAR(160),""))),0),TRIM(SUBSTITUTE(U18,CHAR(160),""))="Devis 2",IFERROR(VALUE(TRIM(SUBSTITUTE(Q18,CHAR(160),""))),0),TRIM(SUBSTITUTE(U18,CHAR(160),""))="Devis 3",IFERROR(VALUE(TRIM(SUBSTITUTE(T18,CHAR(160),""))),0),TRUE,0))</f>
        <v/>
      </c>
      <c r="Y18" s="933"/>
      <c r="Z18" s="929"/>
      <c r="AA18" s="935" t="str">
        <f t="shared" si="24"/>
        <v/>
      </c>
      <c r="AB18" s="934" t="str" cm="1">
        <f t="array" ref="AB18">IF(Y18="","",_xlfn.IFS(Y18=$CB$6,70,Y18=$CB$7,90,Y18=$CB$8,70,Y18=$CB$9,90,Y18=$CB$10,110))</f>
        <v/>
      </c>
      <c r="AC18" s="379"/>
      <c r="AD18" s="934" t="str" cm="1">
        <f t="array" ref="AD18">IF(Y18="","",_xlfn.IFS(Y18=$CB$6,15.75,Y18=$CB$7,21,Y18=$CB$8,15.25,Y18=$CB$9,15.25,Y18=$CB$10,15.25))</f>
        <v/>
      </c>
      <c r="AE18" s="380"/>
      <c r="AF18" s="936">
        <f t="shared" si="25"/>
        <v>0</v>
      </c>
      <c r="AG18" s="381" t="str">
        <f t="shared" si="26"/>
        <v/>
      </c>
      <c r="AH18" s="398"/>
      <c r="AI18" s="383" t="str">
        <f t="shared" si="2"/>
        <v/>
      </c>
      <c r="AJ18" s="384" t="str">
        <f t="shared" si="3"/>
        <v/>
      </c>
      <c r="AK18" s="384" t="str">
        <f t="shared" si="4"/>
        <v/>
      </c>
      <c r="AL18" s="377"/>
      <c r="AM18" s="385" t="str">
        <f t="shared" si="5"/>
        <v/>
      </c>
      <c r="AN18" s="384" t="str">
        <f t="shared" si="6"/>
        <v/>
      </c>
      <c r="AO18" s="384" t="str">
        <f t="shared" si="7"/>
        <v/>
      </c>
      <c r="AP18" s="384" t="str">
        <f t="shared" si="8"/>
        <v/>
      </c>
      <c r="AQ18" s="384" t="str">
        <f t="shared" si="9"/>
        <v/>
      </c>
      <c r="AR18" s="384" t="str">
        <f t="shared" si="10"/>
        <v/>
      </c>
      <c r="AS18" s="386" t="str">
        <f t="shared" si="11"/>
        <v/>
      </c>
      <c r="AT18" s="387" t="str">
        <f t="shared" si="12"/>
        <v/>
      </c>
      <c r="AU18" s="388" t="str">
        <f t="shared" si="36"/>
        <v/>
      </c>
      <c r="AV18" s="387" t="str">
        <f t="shared" si="13"/>
        <v/>
      </c>
      <c r="AW18" s="387" t="str">
        <f t="shared" si="14"/>
        <v/>
      </c>
      <c r="AX18" s="389" t="str">
        <f t="shared" si="27"/>
        <v/>
      </c>
      <c r="AY18" s="387" t="str">
        <f t="shared" si="15"/>
        <v/>
      </c>
      <c r="AZ18" s="387" t="str">
        <f t="shared" si="16"/>
        <v/>
      </c>
      <c r="BA18" s="389" t="str">
        <f t="shared" si="28"/>
        <v/>
      </c>
      <c r="BB18" s="390" t="str">
        <f t="shared" si="17"/>
        <v/>
      </c>
      <c r="BC18" s="391"/>
      <c r="BD18" s="390" t="str">
        <f t="shared" si="29"/>
        <v/>
      </c>
      <c r="BE18" s="390" t="str">
        <f t="shared" si="29"/>
        <v/>
      </c>
      <c r="BF18" s="390" t="str">
        <f t="shared" si="37"/>
        <v/>
      </c>
      <c r="BG18" s="392" t="str" cm="1">
        <f t="array" ref="BG18">IF(AS18="","",IF((IFERROR(_xlfn.IFS($BB18="Devis 1",(IFERROR(VALUE(TRIM(SUBSTITUTE(AS18,CHAR(160),""))),0)),$BB18="Devis 2",(IFERROR(VALUE(TRIM(SUBSTITUTE(AV18,CHAR(160),""))),0)),$BB18="Devis 3",(IFERROR(VALUE(TRIM(SUBSTITUTE(AY18,CHAR(160),""))),0))),0))=0,"",(IFERROR(_xlfn.IFS($BB18="Devis 1",(IFERROR(VALUE(TRIM(SUBSTITUTE(AS18,CHAR(160),""))),0)),$BB18="Devis 2",(IFERROR(VALUE(TRIM(SUBSTITUTE(AV18,CHAR(160),""))),0)),$BB18="Devis 3",(IFERROR(VALUE(TRIM(SUBSTITUTE(AY18,CHAR(160),""))),0))),0))))</f>
        <v/>
      </c>
      <c r="BH18" s="392" t="str" cm="1">
        <f t="array" ref="BH18">IF(AT18="","",IF((IFERROR(_xlfn.IFS($BB18="Devis 1",(IFERROR(VALUE(TRIM(SUBSTITUTE(AT18,CHAR(160),""))),0)),$BB18="Devis 2",(IFERROR(VALUE(TRIM(SUBSTITUTE(AW18,CHAR(160),""))),0)),$BB18="Devis 3",(IFERROR(VALUE(TRIM(SUBSTITUTE(AZ18,CHAR(160),""))),0))),0))=0,"",(IFERROR(_xlfn.IFS($BB18="Devis 1",(IFERROR(VALUE(TRIM(SUBSTITUTE(AT18,CHAR(160),""))),0)),$BB18="Devis 2",(IFERROR(VALUE(TRIM(SUBSTITUTE(AW18,CHAR(160),""))),0)),$BB18="Devis 3",(IFERROR(VALUE(TRIM(SUBSTITUTE(AZ18,CHAR(160),""))),0))),0))))</f>
        <v/>
      </c>
      <c r="BI18" s="700" t="str" cm="1">
        <f t="array" ref="BI18">IF(AU18="","",IF(IFERROR(_xlfn.IFS($BB18="Devis 1",IFERROR(VALUE(TRIM(SUBSTITUTE(AU18,CHAR(160),""))),0),$BB18="Devis 2",IFERROR(VALUE(TRIM(SUBSTITUTE(AX18,CHAR(160),""))),0),$BB18="Devis 3",IFERROR(VALUE(TRIM(SUBSTITUTE(BA18,CHAR(160),""))),0)),0)=0,"",IFERROR(_xlfn.IFS($BB18="Devis 1",IFERROR(VALUE(TRIM(SUBSTITUTE(AU18,CHAR(160),""))),0),$BB18="Devis 2",IFERROR(VALUE(TRIM(SUBSTITUTE(AX18,CHAR(160),""))),0),$BB18="Devis 3",IFERROR(VALUE(TRIM(SUBSTITUTE(BA18,CHAR(160),""))),0)),0)))</f>
        <v/>
      </c>
      <c r="BJ18" s="739" t="str">
        <f t="shared" si="18"/>
        <v/>
      </c>
      <c r="BK18" s="740" t="str">
        <f t="shared" si="19"/>
        <v/>
      </c>
      <c r="BL18" s="741" t="str">
        <f t="shared" si="30"/>
        <v/>
      </c>
      <c r="BM18" s="741" t="str">
        <f t="shared" si="31"/>
        <v/>
      </c>
      <c r="BN18" s="741" t="str">
        <f t="shared" si="32"/>
        <v/>
      </c>
      <c r="BO18" s="741" t="str">
        <f t="shared" si="33"/>
        <v/>
      </c>
      <c r="BP18" s="711">
        <f t="shared" si="20"/>
        <v>0</v>
      </c>
      <c r="BQ18" s="372" t="str">
        <f t="shared" si="34"/>
        <v/>
      </c>
      <c r="BR18" s="718"/>
      <c r="BS18" s="393" t="str" cm="1">
        <f t="array" ref="BS18">IF(OR(BI18="",BF18="",BG18="",BD18="",BH18="",BE18=""),"",_xlfn.IFS((IFERROR(VALUE(TRIM(SUBSTITUTE(BI18,CHAR(160),""))),0))&gt;(IFERROR(VALUE(TRIM(SUBSTITUTE(BF18,CHAR(160),""))),0)),"KO : Le montant retenu TTC est supérieur au montant raisonnable TTC. Merci de revoir la ligne de dépense ou plafonner son montant.",(IFERROR(VALUE(TRIM(SUBSTITUTE(BG18,CHAR(160),""))),0))&gt;(IFERROR(VALUE(TRIM(SUBSTITUTE(BD18,CHAR(160),""))),0)),"Attention : Le montant retenu HT est supérieur au montant HT raisonnable. Merci de revoir la ligne de dépense, plafonner son montant, ou justifier la reventillation HT / TVA.",(IFERROR(VALUE(TRIM(SUBSTITUTE(BH18,CHAR(160),""))),0))&gt;(IFERROR(VALUE(TRIM(SUBSTITUTE(BE18,CHAR(160),""))),0)),"Attention : Le montant TVA retenu est supérieur au montant TVA raisonnable. Merci de revoir la ligne de dépense, plafonner son montant, ou justifier la reventillation HT / TVA.",(IFERROR(VALUE(TRIM(SUBSTITUTE(BI18,CHAR(160),""))),0))=0,"",(IFERROR(VALUE(TRIM(SUBSTITUTE(BF18,CHAR(160),""))),0))=(IFERROR(VALUE(TRIM(SUBSTITUTE(BI18,CHAR(160),""))),0)),"OK",(IFERROR(VALUE(TRIM(SUBSTITUTE(BF18,CHAR(160),""))),0))&gt;(IFERROR(VALUE(TRIM(SUBSTITUTE(BI18,CHAR(160),""))),0))," OK : Montant instruit inférieur au montant raisonnable.",TRUE,""))</f>
        <v/>
      </c>
      <c r="BT18" s="394" t="str" cm="1">
        <f t="array" ref="BT18">IF(OR(BI18="",X18="",BG18="",V18="",BH18="",W18=""),"",_xlfn.IFS((IFERROR(VALUE(TRIM(SUBSTITUTE(BI18,CHAR(160),""))),0))=0,"Attention : montant présenté entièrement écarté",(IFERROR(VALUE(TRIM(SUBSTITUTE(BI18,CHAR(160),""))),0))&gt;(IFERROR(VALUE(TRIM(SUBSTITUTE(X18,CHAR(160),""))),0)),"KO : Le montant retenu TTC est supérieur au montant présenté TTC. Merci de revoir la ligne de dépense ou plafonner son montant.",(IFERROR(VALUE(TRIM(SUBSTITUTE(BG18,CHAR(160),""))),0))&gt;(IFERROR(VALUE(TRIM(SUBSTITUTE(V18,CHAR(160),""))),0)),"Attention : Le montant retenu HT est supérieur au montant HT présenté. Merci de revoir la ligne de dépense,plafonner son montant,ou justifier la reventillation HT/TVA.",(IFERROR(VALUE(TRIM(SUBSTITUTE(BH18,CHAR(160),""))),0))&gt;(IFERROR(VALUE(TRIM(SUBSTITUTE(W18,CHAR(160),""))),0)),"Attention : Le montant TVA retenu est supérieur au montant TVA présenté. Merci de revoir la ligne de dépense,plafonner son montant,ou justifier la reventillation HT/TVA.",(IFERROR(VALUE(TRIM(SUBSTITUTE(X18,CHAR(160),""))),0))=0,"Attention : montant présenté entièrement écarté",(IFERROR(VALUE(TRIM(SUBSTITUTE(BI18,CHAR(160),""))),0))=(IFERROR(VALUE(TRIM(SUBSTITUTE(X18,CHAR(160),""))),0)),"OK",
  AND((IFERROR(VALUE(TRIM(SUBSTITUTE(BI18,CHAR(160),""))),0))&lt;(IFERROR(VALUE(TRIM(SUBSTITUTE(X18,CHAR(160),""))),0)),((IFERROR(VALUE(TRIM(SUBSTITUTE(X18,CHAR(160),""))),0))-(IFERROR(VALUE(TRIM(SUBSTITUTE(BI18,CHAR(160),""))),0)))&lt;0.01),"OK",(IFERROR(VALUE(TRIM(SUBSTITUTE(BI18,CHAR(160),""))),0))&lt;(IFERROR(VALUE(TRIM(SUBSTITUTE(X18,CHAR(160),""))),0)),"Attention : Montant présenté partiellement écarté.",
  TRUE,""))</f>
        <v/>
      </c>
      <c r="BU18" s="373" t="str" cm="1">
        <f t="array" ref="BU18">IF(OR(AF18="",BP18=""),"",_xlfn.IFS((IFERROR(VALUE(TRIM(SUBSTITUTE(BP18,CHAR(160),""))),0))&gt;(IFERROR(VALUE(TRIM(SUBSTITUTE(AF18,CHAR(160),""))),0)),"KO : Le montant retenu est supérieur au montant présenté. Merci de revoir la ligne de contribution ou plafonner son montant.",(IFERROR(VALUE(TRIM(SUBSTITUTE(AF18,CHAR(160),""))),0))=0,"Attention : montant présenté entièrement écarté",(IFERROR(VALUE(TRIM(SUBSTITUTE(BP18,CHAR(160),""))),0))=(IFERROR(VALUE(TRIM(SUBSTITUTE(AF18,CHAR(160),""))),0)),"OK",(IFERROR(VALUE(TRIM(SUBSTITUTE(BP18,CHAR(160),""))),0))&lt;(IFERROR(VALUE(TRIM(SUBSTITUTE(AF18,CHAR(160),""))),0)),"Attention : montant présenté partiellement écarté.",TRUE,""))</f>
        <v>Attention : montant présenté entièrement écarté</v>
      </c>
      <c r="BV18" s="395" t="str">
        <f t="shared" si="21"/>
        <v/>
      </c>
      <c r="BW18" s="396" t="str">
        <f t="shared" si="22"/>
        <v/>
      </c>
      <c r="BX18" s="397" t="str">
        <f t="shared" si="23"/>
        <v/>
      </c>
    </row>
    <row r="19" spans="1:76" ht="14.25" customHeight="1">
      <c r="A19" s="375">
        <v>10</v>
      </c>
      <c r="B19" s="333"/>
      <c r="C19" s="333"/>
      <c r="D19" s="333"/>
      <c r="E19" s="377"/>
      <c r="F19" s="376"/>
      <c r="G19" s="376"/>
      <c r="H19" s="400"/>
      <c r="I19" s="400"/>
      <c r="J19" s="400"/>
      <c r="K19" s="612"/>
      <c r="L19" s="613"/>
      <c r="M19" s="613"/>
      <c r="N19" s="395" t="str">
        <f t="shared" si="35"/>
        <v/>
      </c>
      <c r="O19" s="613"/>
      <c r="P19" s="613"/>
      <c r="Q19" s="610" t="str">
        <f t="shared" si="0"/>
        <v/>
      </c>
      <c r="R19" s="613"/>
      <c r="S19" s="613"/>
      <c r="T19" s="610" t="str">
        <f t="shared" si="1"/>
        <v/>
      </c>
      <c r="U19" s="611"/>
      <c r="V19" s="395" t="str" cm="1">
        <f t="array" ref="V19">IF((_xlfn.IFS(TRIM(SUBSTITUTE(U19,CHAR(160),""))="Devis 1",IFERROR(VALUE(TRIM(SUBSTITUTE(L19,CHAR(160),""))),0),TRIM(SUBSTITUTE(U19,CHAR(160),""))="Devis 2",IFERROR(VALUE(TRIM(SUBSTITUTE(O19,CHAR(160),""))),0),TRIM(SUBSTITUTE(U19,CHAR(160),""))="Devis 3",IFERROR(VALUE(TRIM(SUBSTITUTE(R19,CHAR(160),""))),0),TRUE,0))=0,"",_xlfn.IFS(TRIM(SUBSTITUTE(U19,CHAR(160),""))="Devis 1",IFERROR(VALUE(TRIM(SUBSTITUTE(L19,CHAR(160),""))),0),TRIM(SUBSTITUTE(U19,CHAR(160),""))="Devis 2",IFERROR(VALUE(TRIM(SUBSTITUTE(O19,CHAR(160),""))),0),TRIM(SUBSTITUTE(U19,CHAR(160),""))="Devis 3",IFERROR(VALUE(TRIM(SUBSTITUTE(R19,CHAR(160),""))),0),TRUE,0))</f>
        <v/>
      </c>
      <c r="W19" s="396" t="str" cm="1">
        <f t="array" ref="W19">IF((_xlfn.IFS(TRIM(SUBSTITUTE(U19,CHAR(160),""))="Devis 1",IFERROR(VALUE(TRIM(SUBSTITUTE(M19,CHAR(160),""))),0),TRIM(SUBSTITUTE(U19,CHAR(160),""))="Devis 2",IFERROR(VALUE(TRIM(SUBSTITUTE(P19,CHAR(160),""))),0),TRIM(SUBSTITUTE(U19,CHAR(160),""))="Devis 3",IFERROR(VALUE(TRIM(SUBSTITUTE(S19,CHAR(160),""))),0),TRUE,0))=0,"",_xlfn.IFS(TRIM(SUBSTITUTE(U19,CHAR(160),""))="Devis 1",IFERROR(VALUE(TRIM(SUBSTITUTE(M19,CHAR(160),""))),0),TRIM(SUBSTITUTE(U19,CHAR(160),""))="Devis 2",IFERROR(VALUE(TRIM(SUBSTITUTE(P19,CHAR(160),""))),0),TRIM(SUBSTITUTE(U19,CHAR(160),""))="Devis 3",IFERROR(VALUE(TRIM(SUBSTITUTE(S19,CHAR(160),""))),0),TRUE,0))</f>
        <v/>
      </c>
      <c r="X19" s="926" t="str" cm="1">
        <f t="array" ref="X19">IF((_xlfn.IFS(TRIM(SUBSTITUTE(U19,CHAR(160),""))="Devis 1",IFERROR(VALUE(TRIM(SUBSTITUTE(N19,CHAR(160),""))),0),TRIM(SUBSTITUTE(U19,CHAR(160),""))="Devis 2",IFERROR(VALUE(TRIM(SUBSTITUTE(Q19,CHAR(160),""))),0),TRIM(SUBSTITUTE(U19,CHAR(160),""))="Devis 3",IFERROR(VALUE(TRIM(SUBSTITUTE(T19,CHAR(160),""))),0),TRUE,0))=0,"",_xlfn.IFS(TRIM(SUBSTITUTE(U19,CHAR(160),""))="Devis 1",IFERROR(VALUE(TRIM(SUBSTITUTE(N19,CHAR(160),""))),0),TRIM(SUBSTITUTE(U19,CHAR(160),""))="Devis 2",IFERROR(VALUE(TRIM(SUBSTITUTE(Q19,CHAR(160),""))),0),TRIM(SUBSTITUTE(U19,CHAR(160),""))="Devis 3",IFERROR(VALUE(TRIM(SUBSTITUTE(T19,CHAR(160),""))),0),TRUE,0))</f>
        <v/>
      </c>
      <c r="Y19" s="933"/>
      <c r="Z19" s="929"/>
      <c r="AA19" s="935" t="str">
        <f t="shared" si="24"/>
        <v/>
      </c>
      <c r="AB19" s="934" t="str" cm="1">
        <f t="array" ref="AB19">IF(Y19="","",_xlfn.IFS(Y19=$CB$6,70,Y19=$CB$7,90,Y19=$CB$8,70,Y19=$CB$9,90,Y19=$CB$10,110))</f>
        <v/>
      </c>
      <c r="AC19" s="379"/>
      <c r="AD19" s="934" t="str" cm="1">
        <f t="array" ref="AD19">IF(Y19="","",_xlfn.IFS(Y19=$CB$6,15.75,Y19=$CB$7,21,Y19=$CB$8,15.25,Y19=$CB$9,15.25,Y19=$CB$10,15.25))</f>
        <v/>
      </c>
      <c r="AE19" s="380"/>
      <c r="AF19" s="936">
        <f t="shared" si="25"/>
        <v>0</v>
      </c>
      <c r="AG19" s="381" t="str">
        <f t="shared" si="26"/>
        <v/>
      </c>
      <c r="AH19" s="398"/>
      <c r="AI19" s="383" t="str">
        <f t="shared" si="2"/>
        <v/>
      </c>
      <c r="AJ19" s="384" t="str">
        <f t="shared" si="3"/>
        <v/>
      </c>
      <c r="AK19" s="384" t="str">
        <f t="shared" si="4"/>
        <v/>
      </c>
      <c r="AL19" s="377"/>
      <c r="AM19" s="385" t="str">
        <f t="shared" si="5"/>
        <v/>
      </c>
      <c r="AN19" s="384" t="str">
        <f t="shared" si="6"/>
        <v/>
      </c>
      <c r="AO19" s="384" t="str">
        <f t="shared" si="7"/>
        <v/>
      </c>
      <c r="AP19" s="384" t="str">
        <f t="shared" si="8"/>
        <v/>
      </c>
      <c r="AQ19" s="384" t="str">
        <f t="shared" si="9"/>
        <v/>
      </c>
      <c r="AR19" s="384" t="str">
        <f t="shared" si="10"/>
        <v/>
      </c>
      <c r="AS19" s="386" t="str">
        <f t="shared" si="11"/>
        <v/>
      </c>
      <c r="AT19" s="387" t="str">
        <f t="shared" si="12"/>
        <v/>
      </c>
      <c r="AU19" s="388" t="str">
        <f t="shared" si="36"/>
        <v/>
      </c>
      <c r="AV19" s="387" t="str">
        <f t="shared" si="13"/>
        <v/>
      </c>
      <c r="AW19" s="387" t="str">
        <f t="shared" si="14"/>
        <v/>
      </c>
      <c r="AX19" s="389" t="str">
        <f t="shared" si="27"/>
        <v/>
      </c>
      <c r="AY19" s="387" t="str">
        <f t="shared" si="15"/>
        <v/>
      </c>
      <c r="AZ19" s="387" t="str">
        <f t="shared" si="16"/>
        <v/>
      </c>
      <c r="BA19" s="389" t="str">
        <f t="shared" si="28"/>
        <v/>
      </c>
      <c r="BB19" s="390" t="str">
        <f t="shared" si="17"/>
        <v/>
      </c>
      <c r="BC19" s="391"/>
      <c r="BD19" s="390" t="str">
        <f t="shared" si="29"/>
        <v/>
      </c>
      <c r="BE19" s="390" t="str">
        <f t="shared" si="29"/>
        <v/>
      </c>
      <c r="BF19" s="390" t="str">
        <f t="shared" si="37"/>
        <v/>
      </c>
      <c r="BG19" s="392" t="str" cm="1">
        <f t="array" ref="BG19">IF(AS19="","",IF((IFERROR(_xlfn.IFS($BB19="Devis 1",(IFERROR(VALUE(TRIM(SUBSTITUTE(AS19,CHAR(160),""))),0)),$BB19="Devis 2",(IFERROR(VALUE(TRIM(SUBSTITUTE(AV19,CHAR(160),""))),0)),$BB19="Devis 3",(IFERROR(VALUE(TRIM(SUBSTITUTE(AY19,CHAR(160),""))),0))),0))=0,"",(IFERROR(_xlfn.IFS($BB19="Devis 1",(IFERROR(VALUE(TRIM(SUBSTITUTE(AS19,CHAR(160),""))),0)),$BB19="Devis 2",(IFERROR(VALUE(TRIM(SUBSTITUTE(AV19,CHAR(160),""))),0)),$BB19="Devis 3",(IFERROR(VALUE(TRIM(SUBSTITUTE(AY19,CHAR(160),""))),0))),0))))</f>
        <v/>
      </c>
      <c r="BH19" s="392" t="str" cm="1">
        <f t="array" ref="BH19">IF(AT19="","",IF((IFERROR(_xlfn.IFS($BB19="Devis 1",(IFERROR(VALUE(TRIM(SUBSTITUTE(AT19,CHAR(160),""))),0)),$BB19="Devis 2",(IFERROR(VALUE(TRIM(SUBSTITUTE(AW19,CHAR(160),""))),0)),$BB19="Devis 3",(IFERROR(VALUE(TRIM(SUBSTITUTE(AZ19,CHAR(160),""))),0))),0))=0,"",(IFERROR(_xlfn.IFS($BB19="Devis 1",(IFERROR(VALUE(TRIM(SUBSTITUTE(AT19,CHAR(160),""))),0)),$BB19="Devis 2",(IFERROR(VALUE(TRIM(SUBSTITUTE(AW19,CHAR(160),""))),0)),$BB19="Devis 3",(IFERROR(VALUE(TRIM(SUBSTITUTE(AZ19,CHAR(160),""))),0))),0))))</f>
        <v/>
      </c>
      <c r="BI19" s="700" t="str" cm="1">
        <f t="array" ref="BI19">IF(AU19="","",IF(IFERROR(_xlfn.IFS($BB19="Devis 1",IFERROR(VALUE(TRIM(SUBSTITUTE(AU19,CHAR(160),""))),0),$BB19="Devis 2",IFERROR(VALUE(TRIM(SUBSTITUTE(AX19,CHAR(160),""))),0),$BB19="Devis 3",IFERROR(VALUE(TRIM(SUBSTITUTE(BA19,CHAR(160),""))),0)),0)=0,"",IFERROR(_xlfn.IFS($BB19="Devis 1",IFERROR(VALUE(TRIM(SUBSTITUTE(AU19,CHAR(160),""))),0),$BB19="Devis 2",IFERROR(VALUE(TRIM(SUBSTITUTE(AX19,CHAR(160),""))),0),$BB19="Devis 3",IFERROR(VALUE(TRIM(SUBSTITUTE(BA19,CHAR(160),""))),0)),0)))</f>
        <v/>
      </c>
      <c r="BJ19" s="739" t="str">
        <f t="shared" si="18"/>
        <v/>
      </c>
      <c r="BK19" s="740" t="str">
        <f t="shared" si="19"/>
        <v/>
      </c>
      <c r="BL19" s="741" t="str">
        <f t="shared" si="30"/>
        <v/>
      </c>
      <c r="BM19" s="741" t="str">
        <f t="shared" si="31"/>
        <v/>
      </c>
      <c r="BN19" s="741" t="str">
        <f t="shared" si="32"/>
        <v/>
      </c>
      <c r="BO19" s="741" t="str">
        <f t="shared" si="33"/>
        <v/>
      </c>
      <c r="BP19" s="711">
        <f t="shared" si="20"/>
        <v>0</v>
      </c>
      <c r="BQ19" s="372" t="str">
        <f>IF(AI19="","",BI19+BP19)</f>
        <v/>
      </c>
      <c r="BR19" s="718"/>
      <c r="BS19" s="393" t="str" cm="1">
        <f t="array" ref="BS19">IF(OR(BI19="",BF19="",BG19="",BD19="",BH19="",BE19=""),"",_xlfn.IFS((IFERROR(VALUE(TRIM(SUBSTITUTE(BI19,CHAR(160),""))),0))&gt;(IFERROR(VALUE(TRIM(SUBSTITUTE(BF19,CHAR(160),""))),0)),"KO : Le montant retenu TTC est supérieur au montant raisonnable TTC. Merci de revoir la ligne de dépense ou plafonner son montant.",(IFERROR(VALUE(TRIM(SUBSTITUTE(BG19,CHAR(160),""))),0))&gt;(IFERROR(VALUE(TRIM(SUBSTITUTE(BD19,CHAR(160),""))),0)),"Attention : Le montant retenu HT est supérieur au montant HT raisonnable. Merci de revoir la ligne de dépense, plafonner son montant, ou justifier la reventillation HT / TVA.",(IFERROR(VALUE(TRIM(SUBSTITUTE(BH19,CHAR(160),""))),0))&gt;(IFERROR(VALUE(TRIM(SUBSTITUTE(BE19,CHAR(160),""))),0)),"Attention : Le montant TVA retenu est supérieur au montant TVA raisonnable. Merci de revoir la ligne de dépense, plafonner son montant, ou justifier la reventillation HT / TVA.",(IFERROR(VALUE(TRIM(SUBSTITUTE(BI19,CHAR(160),""))),0))=0,"",(IFERROR(VALUE(TRIM(SUBSTITUTE(BF19,CHAR(160),""))),0))=(IFERROR(VALUE(TRIM(SUBSTITUTE(BI19,CHAR(160),""))),0)),"OK",(IFERROR(VALUE(TRIM(SUBSTITUTE(BF19,CHAR(160),""))),0))&gt;(IFERROR(VALUE(TRIM(SUBSTITUTE(BI19,CHAR(160),""))),0))," OK : Montant instruit inférieur au montant raisonnable.",TRUE,""))</f>
        <v/>
      </c>
      <c r="BT19" s="394" t="str" cm="1">
        <f t="array" ref="BT19">IF(OR(BI19="",X19="",BG19="",V19="",BH19="",W19=""),"",_xlfn.IFS((IFERROR(VALUE(TRIM(SUBSTITUTE(BI19,CHAR(160),""))),0))=0,"Attention : montant présenté entièrement écarté",(IFERROR(VALUE(TRIM(SUBSTITUTE(BI19,CHAR(160),""))),0))&gt;(IFERROR(VALUE(TRIM(SUBSTITUTE(X19,CHAR(160),""))),0)),"KO : Le montant retenu TTC est supérieur au montant présenté TTC. Merci de revoir la ligne de dépense ou plafonner son montant.",(IFERROR(VALUE(TRIM(SUBSTITUTE(BG19,CHAR(160),""))),0))&gt;(IFERROR(VALUE(TRIM(SUBSTITUTE(V19,CHAR(160),""))),0)),"Attention : Le montant retenu HT est supérieur au montant HT présenté. Merci de revoir la ligne de dépense,plafonner son montant,ou justifier la reventillation HT/TVA.",(IFERROR(VALUE(TRIM(SUBSTITUTE(BH19,CHAR(160),""))),0))&gt;(IFERROR(VALUE(TRIM(SUBSTITUTE(W19,CHAR(160),""))),0)),"Attention : Le montant TVA retenu est supérieur au montant TVA présenté. Merci de revoir la ligne de dépense,plafonner son montant,ou justifier la reventillation HT/TVA.",(IFERROR(VALUE(TRIM(SUBSTITUTE(X19,CHAR(160),""))),0))=0,"Attention : montant présenté entièrement écarté",(IFERROR(VALUE(TRIM(SUBSTITUTE(BI19,CHAR(160),""))),0))=(IFERROR(VALUE(TRIM(SUBSTITUTE(X19,CHAR(160),""))),0)),"OK",
  AND((IFERROR(VALUE(TRIM(SUBSTITUTE(BI19,CHAR(160),""))),0))&lt;(IFERROR(VALUE(TRIM(SUBSTITUTE(X19,CHAR(160),""))),0)),((IFERROR(VALUE(TRIM(SUBSTITUTE(X19,CHAR(160),""))),0))-(IFERROR(VALUE(TRIM(SUBSTITUTE(BI19,CHAR(160),""))),0)))&lt;0.01),"OK",(IFERROR(VALUE(TRIM(SUBSTITUTE(BI19,CHAR(160),""))),0))&lt;(IFERROR(VALUE(TRIM(SUBSTITUTE(X19,CHAR(160),""))),0)),"Attention : Montant présenté partiellement écarté.",
  TRUE,""))</f>
        <v/>
      </c>
      <c r="BU19" s="373" t="str" cm="1">
        <f t="array" ref="BU19">IF(OR(AF19="",BP19=""),"",_xlfn.IFS((IFERROR(VALUE(TRIM(SUBSTITUTE(BP19,CHAR(160),""))),0))&gt;(IFERROR(VALUE(TRIM(SUBSTITUTE(AF19,CHAR(160),""))),0)),"KO : Le montant retenu est supérieur au montant présenté. Merci de revoir la ligne de contribution ou plafonner son montant.",(IFERROR(VALUE(TRIM(SUBSTITUTE(AF19,CHAR(160),""))),0))=0,"Attention : montant présenté entièrement écarté",(IFERROR(VALUE(TRIM(SUBSTITUTE(BP19,CHAR(160),""))),0))=(IFERROR(VALUE(TRIM(SUBSTITUTE(AF19,CHAR(160),""))),0)),"OK",(IFERROR(VALUE(TRIM(SUBSTITUTE(BP19,CHAR(160),""))),0))&lt;(IFERROR(VALUE(TRIM(SUBSTITUTE(AF19,CHAR(160),""))),0)),"Attention : montant présenté partiellement écarté.",TRUE,""))</f>
        <v>Attention : montant présenté entièrement écarté</v>
      </c>
      <c r="BV19" s="395" t="str">
        <f t="shared" si="21"/>
        <v/>
      </c>
      <c r="BW19" s="396" t="str">
        <f t="shared" si="22"/>
        <v/>
      </c>
      <c r="BX19" s="397" t="str">
        <f t="shared" si="23"/>
        <v/>
      </c>
    </row>
    <row r="20" spans="1:76" ht="14.25" customHeight="1">
      <c r="A20" s="375">
        <v>11</v>
      </c>
      <c r="B20" s="333"/>
      <c r="C20" s="333"/>
      <c r="D20" s="333"/>
      <c r="E20" s="377"/>
      <c r="F20" s="376"/>
      <c r="G20" s="376"/>
      <c r="H20" s="400"/>
      <c r="I20" s="400"/>
      <c r="J20" s="400"/>
      <c r="K20" s="612"/>
      <c r="L20" s="613"/>
      <c r="M20" s="613"/>
      <c r="N20" s="395" t="str">
        <f t="shared" si="35"/>
        <v/>
      </c>
      <c r="O20" s="613"/>
      <c r="P20" s="613"/>
      <c r="Q20" s="610" t="str">
        <f t="shared" si="0"/>
        <v/>
      </c>
      <c r="R20" s="613"/>
      <c r="S20" s="613"/>
      <c r="T20" s="610" t="str">
        <f t="shared" si="1"/>
        <v/>
      </c>
      <c r="U20" s="611"/>
      <c r="V20" s="395" t="str" cm="1">
        <f t="array" ref="V20">IF((_xlfn.IFS(TRIM(SUBSTITUTE(U20,CHAR(160),""))="Devis 1",IFERROR(VALUE(TRIM(SUBSTITUTE(L20,CHAR(160),""))),0),TRIM(SUBSTITUTE(U20,CHAR(160),""))="Devis 2",IFERROR(VALUE(TRIM(SUBSTITUTE(O20,CHAR(160),""))),0),TRIM(SUBSTITUTE(U20,CHAR(160),""))="Devis 3",IFERROR(VALUE(TRIM(SUBSTITUTE(R20,CHAR(160),""))),0),TRUE,0))=0,"",_xlfn.IFS(TRIM(SUBSTITUTE(U20,CHAR(160),""))="Devis 1",IFERROR(VALUE(TRIM(SUBSTITUTE(L20,CHAR(160),""))),0),TRIM(SUBSTITUTE(U20,CHAR(160),""))="Devis 2",IFERROR(VALUE(TRIM(SUBSTITUTE(O20,CHAR(160),""))),0),TRIM(SUBSTITUTE(U20,CHAR(160),""))="Devis 3",IFERROR(VALUE(TRIM(SUBSTITUTE(R20,CHAR(160),""))),0),TRUE,0))</f>
        <v/>
      </c>
      <c r="W20" s="396" t="str" cm="1">
        <f t="array" ref="W20">IF((_xlfn.IFS(TRIM(SUBSTITUTE(U20,CHAR(160),""))="Devis 1",IFERROR(VALUE(TRIM(SUBSTITUTE(M20,CHAR(160),""))),0),TRIM(SUBSTITUTE(U20,CHAR(160),""))="Devis 2",IFERROR(VALUE(TRIM(SUBSTITUTE(P20,CHAR(160),""))),0),TRIM(SUBSTITUTE(U20,CHAR(160),""))="Devis 3",IFERROR(VALUE(TRIM(SUBSTITUTE(S20,CHAR(160),""))),0),TRUE,0))=0,"",_xlfn.IFS(TRIM(SUBSTITUTE(U20,CHAR(160),""))="Devis 1",IFERROR(VALUE(TRIM(SUBSTITUTE(M20,CHAR(160),""))),0),TRIM(SUBSTITUTE(U20,CHAR(160),""))="Devis 2",IFERROR(VALUE(TRIM(SUBSTITUTE(P20,CHAR(160),""))),0),TRIM(SUBSTITUTE(U20,CHAR(160),""))="Devis 3",IFERROR(VALUE(TRIM(SUBSTITUTE(S20,CHAR(160),""))),0),TRUE,0))</f>
        <v/>
      </c>
      <c r="X20" s="926" t="str" cm="1">
        <f t="array" ref="X20">IF((_xlfn.IFS(TRIM(SUBSTITUTE(U20,CHAR(160),""))="Devis 1",IFERROR(VALUE(TRIM(SUBSTITUTE(N20,CHAR(160),""))),0),TRIM(SUBSTITUTE(U20,CHAR(160),""))="Devis 2",IFERROR(VALUE(TRIM(SUBSTITUTE(Q20,CHAR(160),""))),0),TRIM(SUBSTITUTE(U20,CHAR(160),""))="Devis 3",IFERROR(VALUE(TRIM(SUBSTITUTE(T20,CHAR(160),""))),0),TRUE,0))=0,"",_xlfn.IFS(TRIM(SUBSTITUTE(U20,CHAR(160),""))="Devis 1",IFERROR(VALUE(TRIM(SUBSTITUTE(N20,CHAR(160),""))),0),TRIM(SUBSTITUTE(U20,CHAR(160),""))="Devis 2",IFERROR(VALUE(TRIM(SUBSTITUTE(Q20,CHAR(160),""))),0),TRIM(SUBSTITUTE(U20,CHAR(160),""))="Devis 3",IFERROR(VALUE(TRIM(SUBSTITUTE(T20,CHAR(160),""))),0),TRUE,0))</f>
        <v/>
      </c>
      <c r="Y20" s="933"/>
      <c r="Z20" s="929"/>
      <c r="AA20" s="935" t="str">
        <f t="shared" si="24"/>
        <v/>
      </c>
      <c r="AB20" s="934" t="str" cm="1">
        <f t="array" ref="AB20">IF(Y20="","",_xlfn.IFS(Y20=$CB$6,70,Y20=$CB$7,90,Y20=$CB$8,70,Y20=$CB$9,90,Y20=$CB$10,110))</f>
        <v/>
      </c>
      <c r="AC20" s="379"/>
      <c r="AD20" s="934" t="str" cm="1">
        <f t="array" ref="AD20">IF(Y20="","",_xlfn.IFS(Y20=$CB$6,15.75,Y20=$CB$7,21,Y20=$CB$8,15.25,Y20=$CB$9,15.25,Y20=$CB$10,15.25))</f>
        <v/>
      </c>
      <c r="AE20" s="380"/>
      <c r="AF20" s="936">
        <f t="shared" si="25"/>
        <v>0</v>
      </c>
      <c r="AG20" s="381" t="str">
        <f t="shared" si="26"/>
        <v/>
      </c>
      <c r="AH20" s="398"/>
      <c r="AI20" s="383" t="str">
        <f t="shared" si="2"/>
        <v/>
      </c>
      <c r="AJ20" s="384" t="str">
        <f t="shared" si="3"/>
        <v/>
      </c>
      <c r="AK20" s="384" t="str">
        <f t="shared" si="4"/>
        <v/>
      </c>
      <c r="AL20" s="377"/>
      <c r="AM20" s="385" t="str">
        <f t="shared" si="5"/>
        <v/>
      </c>
      <c r="AN20" s="384" t="str">
        <f t="shared" si="6"/>
        <v/>
      </c>
      <c r="AO20" s="384" t="str">
        <f t="shared" si="7"/>
        <v/>
      </c>
      <c r="AP20" s="384" t="str">
        <f t="shared" si="8"/>
        <v/>
      </c>
      <c r="AQ20" s="384" t="str">
        <f t="shared" si="9"/>
        <v/>
      </c>
      <c r="AR20" s="384" t="str">
        <f t="shared" si="10"/>
        <v/>
      </c>
      <c r="AS20" s="386" t="str">
        <f t="shared" si="11"/>
        <v/>
      </c>
      <c r="AT20" s="387" t="str">
        <f t="shared" si="12"/>
        <v/>
      </c>
      <c r="AU20" s="388" t="str">
        <f t="shared" si="36"/>
        <v/>
      </c>
      <c r="AV20" s="387" t="str">
        <f t="shared" si="13"/>
        <v/>
      </c>
      <c r="AW20" s="387" t="str">
        <f t="shared" si="14"/>
        <v/>
      </c>
      <c r="AX20" s="389" t="str">
        <f t="shared" si="27"/>
        <v/>
      </c>
      <c r="AY20" s="387" t="str">
        <f t="shared" si="15"/>
        <v/>
      </c>
      <c r="AZ20" s="387" t="str">
        <f t="shared" si="16"/>
        <v/>
      </c>
      <c r="BA20" s="389" t="str">
        <f t="shared" si="28"/>
        <v/>
      </c>
      <c r="BB20" s="390" t="str">
        <f t="shared" si="17"/>
        <v/>
      </c>
      <c r="BC20" s="391"/>
      <c r="BD20" s="390" t="str">
        <f t="shared" si="29"/>
        <v/>
      </c>
      <c r="BE20" s="390" t="str">
        <f t="shared" si="29"/>
        <v/>
      </c>
      <c r="BF20" s="390" t="str">
        <f t="shared" si="37"/>
        <v/>
      </c>
      <c r="BG20" s="392" t="str" cm="1">
        <f t="array" ref="BG20">IF(AS20="","",IF((IFERROR(_xlfn.IFS($BB20="Devis 1",(IFERROR(VALUE(TRIM(SUBSTITUTE(AS20,CHAR(160),""))),0)),$BB20="Devis 2",(IFERROR(VALUE(TRIM(SUBSTITUTE(AV20,CHAR(160),""))),0)),$BB20="Devis 3",(IFERROR(VALUE(TRIM(SUBSTITUTE(AY20,CHAR(160),""))),0))),0))=0,"",(IFERROR(_xlfn.IFS($BB20="Devis 1",(IFERROR(VALUE(TRIM(SUBSTITUTE(AS20,CHAR(160),""))),0)),$BB20="Devis 2",(IFERROR(VALUE(TRIM(SUBSTITUTE(AV20,CHAR(160),""))),0)),$BB20="Devis 3",(IFERROR(VALUE(TRIM(SUBSTITUTE(AY20,CHAR(160),""))),0))),0))))</f>
        <v/>
      </c>
      <c r="BH20" s="392" t="str" cm="1">
        <f t="array" ref="BH20">IF(AT20="","",IF((IFERROR(_xlfn.IFS($BB20="Devis 1",(IFERROR(VALUE(TRIM(SUBSTITUTE(AT20,CHAR(160),""))),0)),$BB20="Devis 2",(IFERROR(VALUE(TRIM(SUBSTITUTE(AW20,CHAR(160),""))),0)),$BB20="Devis 3",(IFERROR(VALUE(TRIM(SUBSTITUTE(AZ20,CHAR(160),""))),0))),0))=0,"",(IFERROR(_xlfn.IFS($BB20="Devis 1",(IFERROR(VALUE(TRIM(SUBSTITUTE(AT20,CHAR(160),""))),0)),$BB20="Devis 2",(IFERROR(VALUE(TRIM(SUBSTITUTE(AW20,CHAR(160),""))),0)),$BB20="Devis 3",(IFERROR(VALUE(TRIM(SUBSTITUTE(AZ20,CHAR(160),""))),0))),0))))</f>
        <v/>
      </c>
      <c r="BI20" s="700" t="str" cm="1">
        <f t="array" ref="BI20">IF(AU20="","",IF(IFERROR(_xlfn.IFS($BB20="Devis 1",IFERROR(VALUE(TRIM(SUBSTITUTE(AU20,CHAR(160),""))),0),$BB20="Devis 2",IFERROR(VALUE(TRIM(SUBSTITUTE(AX20,CHAR(160),""))),0),$BB20="Devis 3",IFERROR(VALUE(TRIM(SUBSTITUTE(BA20,CHAR(160),""))),0)),0)=0,"",IFERROR(_xlfn.IFS($BB20="Devis 1",IFERROR(VALUE(TRIM(SUBSTITUTE(AU20,CHAR(160),""))),0),$BB20="Devis 2",IFERROR(VALUE(TRIM(SUBSTITUTE(AX20,CHAR(160),""))),0),$BB20="Devis 3",IFERROR(VALUE(TRIM(SUBSTITUTE(BA20,CHAR(160),""))),0)),0)))</f>
        <v/>
      </c>
      <c r="BJ20" s="739" t="str">
        <f t="shared" si="18"/>
        <v/>
      </c>
      <c r="BK20" s="740" t="str">
        <f t="shared" si="19"/>
        <v/>
      </c>
      <c r="BL20" s="741" t="str">
        <f t="shared" si="30"/>
        <v/>
      </c>
      <c r="BM20" s="741" t="str">
        <f t="shared" si="31"/>
        <v/>
      </c>
      <c r="BN20" s="741" t="str">
        <f t="shared" si="32"/>
        <v/>
      </c>
      <c r="BO20" s="741" t="str">
        <f t="shared" si="33"/>
        <v/>
      </c>
      <c r="BP20" s="711">
        <f t="shared" si="20"/>
        <v>0</v>
      </c>
      <c r="BQ20" s="372" t="str">
        <f t="shared" si="34"/>
        <v/>
      </c>
      <c r="BR20" s="718"/>
      <c r="BS20" s="393" t="str" cm="1">
        <f t="array" ref="BS20">IF(OR(BI20="",BF20="",BG20="",BD20="",BH20="",BE20=""),"",_xlfn.IFS((IFERROR(VALUE(TRIM(SUBSTITUTE(BI20,CHAR(160),""))),0))&gt;(IFERROR(VALUE(TRIM(SUBSTITUTE(BF20,CHAR(160),""))),0)),"KO : Le montant retenu TTC est supérieur au montant raisonnable TTC. Merci de revoir la ligne de dépense ou plafonner son montant.",(IFERROR(VALUE(TRIM(SUBSTITUTE(BG20,CHAR(160),""))),0))&gt;(IFERROR(VALUE(TRIM(SUBSTITUTE(BD20,CHAR(160),""))),0)),"Attention : Le montant retenu HT est supérieur au montant HT raisonnable. Merci de revoir la ligne de dépense, plafonner son montant, ou justifier la reventillation HT / TVA.",(IFERROR(VALUE(TRIM(SUBSTITUTE(BH20,CHAR(160),""))),0))&gt;(IFERROR(VALUE(TRIM(SUBSTITUTE(BE20,CHAR(160),""))),0)),"Attention : Le montant TVA retenu est supérieur au montant TVA raisonnable. Merci de revoir la ligne de dépense, plafonner son montant, ou justifier la reventillation HT / TVA.",(IFERROR(VALUE(TRIM(SUBSTITUTE(BI20,CHAR(160),""))),0))=0,"",(IFERROR(VALUE(TRIM(SUBSTITUTE(BF20,CHAR(160),""))),0))=(IFERROR(VALUE(TRIM(SUBSTITUTE(BI20,CHAR(160),""))),0)),"OK",(IFERROR(VALUE(TRIM(SUBSTITUTE(BF20,CHAR(160),""))),0))&gt;(IFERROR(VALUE(TRIM(SUBSTITUTE(BI20,CHAR(160),""))),0))," OK : Montant instruit inférieur au montant raisonnable.",TRUE,""))</f>
        <v/>
      </c>
      <c r="BT20" s="394" t="str" cm="1">
        <f t="array" ref="BT20">IF(OR(BI20="",X20="",BG20="",V20="",BH20="",W20=""),"",_xlfn.IFS((IFERROR(VALUE(TRIM(SUBSTITUTE(BI20,CHAR(160),""))),0))=0,"Attention : montant présenté entièrement écarté",(IFERROR(VALUE(TRIM(SUBSTITUTE(BI20,CHAR(160),""))),0))&gt;(IFERROR(VALUE(TRIM(SUBSTITUTE(X20,CHAR(160),""))),0)),"KO : Le montant retenu TTC est supérieur au montant présenté TTC. Merci de revoir la ligne de dépense ou plafonner son montant.",(IFERROR(VALUE(TRIM(SUBSTITUTE(BG20,CHAR(160),""))),0))&gt;(IFERROR(VALUE(TRIM(SUBSTITUTE(V20,CHAR(160),""))),0)),"Attention : Le montant retenu HT est supérieur au montant HT présenté. Merci de revoir la ligne de dépense,plafonner son montant,ou justifier la reventillation HT/TVA.",(IFERROR(VALUE(TRIM(SUBSTITUTE(BH20,CHAR(160),""))),0))&gt;(IFERROR(VALUE(TRIM(SUBSTITUTE(W20,CHAR(160),""))),0)),"Attention : Le montant TVA retenu est supérieur au montant TVA présenté. Merci de revoir la ligne de dépense,plafonner son montant,ou justifier la reventillation HT/TVA.",(IFERROR(VALUE(TRIM(SUBSTITUTE(X20,CHAR(160),""))),0))=0,"Attention : montant présenté entièrement écarté",(IFERROR(VALUE(TRIM(SUBSTITUTE(BI20,CHAR(160),""))),0))=(IFERROR(VALUE(TRIM(SUBSTITUTE(X20,CHAR(160),""))),0)),"OK",
  AND((IFERROR(VALUE(TRIM(SUBSTITUTE(BI20,CHAR(160),""))),0))&lt;(IFERROR(VALUE(TRIM(SUBSTITUTE(X20,CHAR(160),""))),0)),((IFERROR(VALUE(TRIM(SUBSTITUTE(X20,CHAR(160),""))),0))-(IFERROR(VALUE(TRIM(SUBSTITUTE(BI20,CHAR(160),""))),0)))&lt;0.01),"OK",(IFERROR(VALUE(TRIM(SUBSTITUTE(BI20,CHAR(160),""))),0))&lt;(IFERROR(VALUE(TRIM(SUBSTITUTE(X20,CHAR(160),""))),0)),"Attention : Montant présenté partiellement écarté.",
  TRUE,""))</f>
        <v/>
      </c>
      <c r="BU20" s="373" t="str" cm="1">
        <f t="array" ref="BU20">IF(OR(AF20="",BP20=""),"",_xlfn.IFS((IFERROR(VALUE(TRIM(SUBSTITUTE(BP20,CHAR(160),""))),0))&gt;(IFERROR(VALUE(TRIM(SUBSTITUTE(AF20,CHAR(160),""))),0)),"KO : Le montant retenu est supérieur au montant présenté. Merci de revoir la ligne de contribution ou plafonner son montant.",(IFERROR(VALUE(TRIM(SUBSTITUTE(AF20,CHAR(160),""))),0))=0,"Attention : montant présenté entièrement écarté",(IFERROR(VALUE(TRIM(SUBSTITUTE(BP20,CHAR(160),""))),0))=(IFERROR(VALUE(TRIM(SUBSTITUTE(AF20,CHAR(160),""))),0)),"OK",(IFERROR(VALUE(TRIM(SUBSTITUTE(BP20,CHAR(160),""))),0))&lt;(IFERROR(VALUE(TRIM(SUBSTITUTE(AF20,CHAR(160),""))),0)),"Attention : montant présenté partiellement écarté.",TRUE,""))</f>
        <v>Attention : montant présenté entièrement écarté</v>
      </c>
      <c r="BV20" s="395" t="str">
        <f t="shared" si="21"/>
        <v/>
      </c>
      <c r="BW20" s="396" t="str">
        <f t="shared" si="22"/>
        <v/>
      </c>
      <c r="BX20" s="397" t="str">
        <f t="shared" si="23"/>
        <v/>
      </c>
    </row>
    <row r="21" spans="1:76" ht="14.25" customHeight="1">
      <c r="A21" s="375">
        <v>12</v>
      </c>
      <c r="B21" s="333"/>
      <c r="C21" s="333"/>
      <c r="D21" s="333"/>
      <c r="E21" s="377"/>
      <c r="F21" s="376"/>
      <c r="G21" s="376"/>
      <c r="H21" s="400"/>
      <c r="I21" s="400"/>
      <c r="J21" s="400"/>
      <c r="K21" s="612"/>
      <c r="L21" s="613"/>
      <c r="M21" s="613"/>
      <c r="N21" s="395" t="str">
        <f t="shared" si="35"/>
        <v/>
      </c>
      <c r="O21" s="613"/>
      <c r="P21" s="613"/>
      <c r="Q21" s="610" t="str">
        <f t="shared" si="0"/>
        <v/>
      </c>
      <c r="R21" s="613"/>
      <c r="S21" s="613"/>
      <c r="T21" s="610" t="str">
        <f t="shared" si="1"/>
        <v/>
      </c>
      <c r="U21" s="611"/>
      <c r="V21" s="395" t="str" cm="1">
        <f t="array" ref="V21">IF((_xlfn.IFS(TRIM(SUBSTITUTE(U21,CHAR(160),""))="Devis 1",IFERROR(VALUE(TRIM(SUBSTITUTE(L21,CHAR(160),""))),0),TRIM(SUBSTITUTE(U21,CHAR(160),""))="Devis 2",IFERROR(VALUE(TRIM(SUBSTITUTE(O21,CHAR(160),""))),0),TRIM(SUBSTITUTE(U21,CHAR(160),""))="Devis 3",IFERROR(VALUE(TRIM(SUBSTITUTE(R21,CHAR(160),""))),0),TRUE,0))=0,"",_xlfn.IFS(TRIM(SUBSTITUTE(U21,CHAR(160),""))="Devis 1",IFERROR(VALUE(TRIM(SUBSTITUTE(L21,CHAR(160),""))),0),TRIM(SUBSTITUTE(U21,CHAR(160),""))="Devis 2",IFERROR(VALUE(TRIM(SUBSTITUTE(O21,CHAR(160),""))),0),TRIM(SUBSTITUTE(U21,CHAR(160),""))="Devis 3",IFERROR(VALUE(TRIM(SUBSTITUTE(R21,CHAR(160),""))),0),TRUE,0))</f>
        <v/>
      </c>
      <c r="W21" s="396" t="str" cm="1">
        <f t="array" ref="W21">IF((_xlfn.IFS(TRIM(SUBSTITUTE(U21,CHAR(160),""))="Devis 1",IFERROR(VALUE(TRIM(SUBSTITUTE(M21,CHAR(160),""))),0),TRIM(SUBSTITUTE(U21,CHAR(160),""))="Devis 2",IFERROR(VALUE(TRIM(SUBSTITUTE(P21,CHAR(160),""))),0),TRIM(SUBSTITUTE(U21,CHAR(160),""))="Devis 3",IFERROR(VALUE(TRIM(SUBSTITUTE(S21,CHAR(160),""))),0),TRUE,0))=0,"",_xlfn.IFS(TRIM(SUBSTITUTE(U21,CHAR(160),""))="Devis 1",IFERROR(VALUE(TRIM(SUBSTITUTE(M21,CHAR(160),""))),0),TRIM(SUBSTITUTE(U21,CHAR(160),""))="Devis 2",IFERROR(VALUE(TRIM(SUBSTITUTE(P21,CHAR(160),""))),0),TRIM(SUBSTITUTE(U21,CHAR(160),""))="Devis 3",IFERROR(VALUE(TRIM(SUBSTITUTE(S21,CHAR(160),""))),0),TRUE,0))</f>
        <v/>
      </c>
      <c r="X21" s="926" t="str" cm="1">
        <f t="array" ref="X21">IF((_xlfn.IFS(TRIM(SUBSTITUTE(U21,CHAR(160),""))="Devis 1",IFERROR(VALUE(TRIM(SUBSTITUTE(N21,CHAR(160),""))),0),TRIM(SUBSTITUTE(U21,CHAR(160),""))="Devis 2",IFERROR(VALUE(TRIM(SUBSTITUTE(Q21,CHAR(160),""))),0),TRIM(SUBSTITUTE(U21,CHAR(160),""))="Devis 3",IFERROR(VALUE(TRIM(SUBSTITUTE(T21,CHAR(160),""))),0),TRUE,0))=0,"",_xlfn.IFS(TRIM(SUBSTITUTE(U21,CHAR(160),""))="Devis 1",IFERROR(VALUE(TRIM(SUBSTITUTE(N21,CHAR(160),""))),0),TRIM(SUBSTITUTE(U21,CHAR(160),""))="Devis 2",IFERROR(VALUE(TRIM(SUBSTITUTE(Q21,CHAR(160),""))),0),TRIM(SUBSTITUTE(U21,CHAR(160),""))="Devis 3",IFERROR(VALUE(TRIM(SUBSTITUTE(T21,CHAR(160),""))),0),TRUE,0))</f>
        <v/>
      </c>
      <c r="Y21" s="933"/>
      <c r="Z21" s="929"/>
      <c r="AA21" s="935" t="str">
        <f t="shared" si="24"/>
        <v/>
      </c>
      <c r="AB21" s="934" t="str" cm="1">
        <f t="array" ref="AB21">IF(Y21="","",_xlfn.IFS(Y21=$CB$6,70,Y21=$CB$7,90,Y21=$CB$8,70,Y21=$CB$9,90,Y21=$CB$10,110))</f>
        <v/>
      </c>
      <c r="AC21" s="379"/>
      <c r="AD21" s="934" t="str" cm="1">
        <f t="array" ref="AD21">IF(Y21="","",_xlfn.IFS(Y21=$CB$6,15.75,Y21=$CB$7,21,Y21=$CB$8,15.25,Y21=$CB$9,15.25,Y21=$CB$10,15.25))</f>
        <v/>
      </c>
      <c r="AE21" s="380"/>
      <c r="AF21" s="936">
        <f t="shared" si="25"/>
        <v>0</v>
      </c>
      <c r="AG21" s="381" t="str">
        <f t="shared" si="26"/>
        <v/>
      </c>
      <c r="AH21" s="398"/>
      <c r="AI21" s="383" t="str">
        <f t="shared" si="2"/>
        <v/>
      </c>
      <c r="AJ21" s="384" t="str">
        <f t="shared" si="3"/>
        <v/>
      </c>
      <c r="AK21" s="384" t="str">
        <f t="shared" si="4"/>
        <v/>
      </c>
      <c r="AL21" s="377"/>
      <c r="AM21" s="385" t="str">
        <f t="shared" si="5"/>
        <v/>
      </c>
      <c r="AN21" s="384" t="str">
        <f t="shared" si="6"/>
        <v/>
      </c>
      <c r="AO21" s="384" t="str">
        <f t="shared" si="7"/>
        <v/>
      </c>
      <c r="AP21" s="384" t="str">
        <f t="shared" si="8"/>
        <v/>
      </c>
      <c r="AQ21" s="384" t="str">
        <f t="shared" si="9"/>
        <v/>
      </c>
      <c r="AR21" s="384" t="str">
        <f t="shared" si="10"/>
        <v/>
      </c>
      <c r="AS21" s="386" t="str">
        <f t="shared" si="11"/>
        <v/>
      </c>
      <c r="AT21" s="387" t="str">
        <f t="shared" si="12"/>
        <v/>
      </c>
      <c r="AU21" s="388" t="str">
        <f t="shared" si="36"/>
        <v/>
      </c>
      <c r="AV21" s="387" t="str">
        <f t="shared" si="13"/>
        <v/>
      </c>
      <c r="AW21" s="387" t="str">
        <f t="shared" si="14"/>
        <v/>
      </c>
      <c r="AX21" s="389" t="str">
        <f t="shared" si="27"/>
        <v/>
      </c>
      <c r="AY21" s="387" t="str">
        <f t="shared" si="15"/>
        <v/>
      </c>
      <c r="AZ21" s="387" t="str">
        <f t="shared" si="16"/>
        <v/>
      </c>
      <c r="BA21" s="389" t="str">
        <f t="shared" si="28"/>
        <v/>
      </c>
      <c r="BB21" s="390" t="str">
        <f t="shared" si="17"/>
        <v/>
      </c>
      <c r="BC21" s="391"/>
      <c r="BD21" s="390" t="str">
        <f t="shared" si="29"/>
        <v/>
      </c>
      <c r="BE21" s="390" t="str">
        <f t="shared" si="29"/>
        <v/>
      </c>
      <c r="BF21" s="390" t="str">
        <f t="shared" si="37"/>
        <v/>
      </c>
      <c r="BG21" s="392" t="str" cm="1">
        <f t="array" ref="BG21">IF(AS21="","",IF((IFERROR(_xlfn.IFS($BB21="Devis 1",(IFERROR(VALUE(TRIM(SUBSTITUTE(AS21,CHAR(160),""))),0)),$BB21="Devis 2",(IFERROR(VALUE(TRIM(SUBSTITUTE(AV21,CHAR(160),""))),0)),$BB21="Devis 3",(IFERROR(VALUE(TRIM(SUBSTITUTE(AY21,CHAR(160),""))),0))),0))=0,"",(IFERROR(_xlfn.IFS($BB21="Devis 1",(IFERROR(VALUE(TRIM(SUBSTITUTE(AS21,CHAR(160),""))),0)),$BB21="Devis 2",(IFERROR(VALUE(TRIM(SUBSTITUTE(AV21,CHAR(160),""))),0)),$BB21="Devis 3",(IFERROR(VALUE(TRIM(SUBSTITUTE(AY21,CHAR(160),""))),0))),0))))</f>
        <v/>
      </c>
      <c r="BH21" s="392" t="str" cm="1">
        <f t="array" ref="BH21">IF(AT21="","",IF((IFERROR(_xlfn.IFS($BB21="Devis 1",(IFERROR(VALUE(TRIM(SUBSTITUTE(AT21,CHAR(160),""))),0)),$BB21="Devis 2",(IFERROR(VALUE(TRIM(SUBSTITUTE(AW21,CHAR(160),""))),0)),$BB21="Devis 3",(IFERROR(VALUE(TRIM(SUBSTITUTE(AZ21,CHAR(160),""))),0))),0))=0,"",(IFERROR(_xlfn.IFS($BB21="Devis 1",(IFERROR(VALUE(TRIM(SUBSTITUTE(AT21,CHAR(160),""))),0)),$BB21="Devis 2",(IFERROR(VALUE(TRIM(SUBSTITUTE(AW21,CHAR(160),""))),0)),$BB21="Devis 3",(IFERROR(VALUE(TRIM(SUBSTITUTE(AZ21,CHAR(160),""))),0))),0))))</f>
        <v/>
      </c>
      <c r="BI21" s="700" t="str" cm="1">
        <f t="array" ref="BI21">IF(AU21="","",IF(IFERROR(_xlfn.IFS($BB21="Devis 1",IFERROR(VALUE(TRIM(SUBSTITUTE(AU21,CHAR(160),""))),0),$BB21="Devis 2",IFERROR(VALUE(TRIM(SUBSTITUTE(AX21,CHAR(160),""))),0),$BB21="Devis 3",IFERROR(VALUE(TRIM(SUBSTITUTE(BA21,CHAR(160),""))),0)),0)=0,"",IFERROR(_xlfn.IFS($BB21="Devis 1",IFERROR(VALUE(TRIM(SUBSTITUTE(AU21,CHAR(160),""))),0),$BB21="Devis 2",IFERROR(VALUE(TRIM(SUBSTITUTE(AX21,CHAR(160),""))),0),$BB21="Devis 3",IFERROR(VALUE(TRIM(SUBSTITUTE(BA21,CHAR(160),""))),0)),0)))</f>
        <v/>
      </c>
      <c r="BJ21" s="739" t="str">
        <f t="shared" si="18"/>
        <v/>
      </c>
      <c r="BK21" s="740" t="str">
        <f t="shared" si="19"/>
        <v/>
      </c>
      <c r="BL21" s="741" t="str">
        <f t="shared" si="30"/>
        <v/>
      </c>
      <c r="BM21" s="741" t="str">
        <f t="shared" si="31"/>
        <v/>
      </c>
      <c r="BN21" s="741" t="str">
        <f t="shared" si="32"/>
        <v/>
      </c>
      <c r="BO21" s="741" t="str">
        <f t="shared" si="33"/>
        <v/>
      </c>
      <c r="BP21" s="711">
        <f t="shared" si="20"/>
        <v>0</v>
      </c>
      <c r="BQ21" s="372" t="str">
        <f t="shared" si="34"/>
        <v/>
      </c>
      <c r="BR21" s="718"/>
      <c r="BS21" s="393" t="str" cm="1">
        <f t="array" ref="BS21">IF(OR(BI21="",BF21="",BG21="",BD21="",BH21="",BE21=""),"",_xlfn.IFS((IFERROR(VALUE(TRIM(SUBSTITUTE(BI21,CHAR(160),""))),0))&gt;(IFERROR(VALUE(TRIM(SUBSTITUTE(BF21,CHAR(160),""))),0)),"KO : Le montant retenu TTC est supérieur au montant raisonnable TTC. Merci de revoir la ligne de dépense ou plafonner son montant.",(IFERROR(VALUE(TRIM(SUBSTITUTE(BG21,CHAR(160),""))),0))&gt;(IFERROR(VALUE(TRIM(SUBSTITUTE(BD21,CHAR(160),""))),0)),"Attention : Le montant retenu HT est supérieur au montant HT raisonnable. Merci de revoir la ligne de dépense, plafonner son montant, ou justifier la reventillation HT / TVA.",(IFERROR(VALUE(TRIM(SUBSTITUTE(BH21,CHAR(160),""))),0))&gt;(IFERROR(VALUE(TRIM(SUBSTITUTE(BE21,CHAR(160),""))),0)),"Attention : Le montant TVA retenu est supérieur au montant TVA raisonnable. Merci de revoir la ligne de dépense, plafonner son montant, ou justifier la reventillation HT / TVA.",(IFERROR(VALUE(TRIM(SUBSTITUTE(BI21,CHAR(160),""))),0))=0,"",(IFERROR(VALUE(TRIM(SUBSTITUTE(BF21,CHAR(160),""))),0))=(IFERROR(VALUE(TRIM(SUBSTITUTE(BI21,CHAR(160),""))),0)),"OK",(IFERROR(VALUE(TRIM(SUBSTITUTE(BF21,CHAR(160),""))),0))&gt;(IFERROR(VALUE(TRIM(SUBSTITUTE(BI21,CHAR(160),""))),0))," OK : Montant instruit inférieur au montant raisonnable.",TRUE,""))</f>
        <v/>
      </c>
      <c r="BT21" s="394" t="str" cm="1">
        <f t="array" ref="BT21">IF(OR(BI21="",X21="",BG21="",V21="",BH21="",W21=""),"",_xlfn.IFS((IFERROR(VALUE(TRIM(SUBSTITUTE(BI21,CHAR(160),""))),0))=0,"Attention : montant présenté entièrement écarté",(IFERROR(VALUE(TRIM(SUBSTITUTE(BI21,CHAR(160),""))),0))&gt;(IFERROR(VALUE(TRIM(SUBSTITUTE(X21,CHAR(160),""))),0)),"KO : Le montant retenu TTC est supérieur au montant présenté TTC. Merci de revoir la ligne de dépense ou plafonner son montant.",(IFERROR(VALUE(TRIM(SUBSTITUTE(BG21,CHAR(160),""))),0))&gt;(IFERROR(VALUE(TRIM(SUBSTITUTE(V21,CHAR(160),""))),0)),"Attention : Le montant retenu HT est supérieur au montant HT présenté. Merci de revoir la ligne de dépense,plafonner son montant,ou justifier la reventillation HT/TVA.",(IFERROR(VALUE(TRIM(SUBSTITUTE(BH21,CHAR(160),""))),0))&gt;(IFERROR(VALUE(TRIM(SUBSTITUTE(W21,CHAR(160),""))),0)),"Attention : Le montant TVA retenu est supérieur au montant TVA présenté. Merci de revoir la ligne de dépense,plafonner son montant,ou justifier la reventillation HT/TVA.",(IFERROR(VALUE(TRIM(SUBSTITUTE(X21,CHAR(160),""))),0))=0,"Attention : montant présenté entièrement écarté",(IFERROR(VALUE(TRIM(SUBSTITUTE(BI21,CHAR(160),""))),0))=(IFERROR(VALUE(TRIM(SUBSTITUTE(X21,CHAR(160),""))),0)),"OK",
  AND((IFERROR(VALUE(TRIM(SUBSTITUTE(BI21,CHAR(160),""))),0))&lt;(IFERROR(VALUE(TRIM(SUBSTITUTE(X21,CHAR(160),""))),0)),((IFERROR(VALUE(TRIM(SUBSTITUTE(X21,CHAR(160),""))),0))-(IFERROR(VALUE(TRIM(SUBSTITUTE(BI21,CHAR(160),""))),0)))&lt;0.01),"OK",(IFERROR(VALUE(TRIM(SUBSTITUTE(BI21,CHAR(160),""))),0))&lt;(IFERROR(VALUE(TRIM(SUBSTITUTE(X21,CHAR(160),""))),0)),"Attention : Montant présenté partiellement écarté.",
  TRUE,""))</f>
        <v/>
      </c>
      <c r="BU21" s="373" t="str" cm="1">
        <f t="array" ref="BU21">IF(OR(AF21="",BP21=""),"",_xlfn.IFS((IFERROR(VALUE(TRIM(SUBSTITUTE(BP21,CHAR(160),""))),0))&gt;(IFERROR(VALUE(TRIM(SUBSTITUTE(AF21,CHAR(160),""))),0)),"KO : Le montant retenu est supérieur au montant présenté. Merci de revoir la ligne de contribution ou plafonner son montant.",(IFERROR(VALUE(TRIM(SUBSTITUTE(AF21,CHAR(160),""))),0))=0,"Attention : montant présenté entièrement écarté",(IFERROR(VALUE(TRIM(SUBSTITUTE(BP21,CHAR(160),""))),0))=(IFERROR(VALUE(TRIM(SUBSTITUTE(AF21,CHAR(160),""))),0)),"OK",(IFERROR(VALUE(TRIM(SUBSTITUTE(BP21,CHAR(160),""))),0))&lt;(IFERROR(VALUE(TRIM(SUBSTITUTE(AF21,CHAR(160),""))),0)),"Attention : montant présenté partiellement écarté.",TRUE,""))</f>
        <v>Attention : montant présenté entièrement écarté</v>
      </c>
      <c r="BV21" s="395" t="str">
        <f t="shared" si="21"/>
        <v/>
      </c>
      <c r="BW21" s="396" t="str">
        <f t="shared" si="22"/>
        <v/>
      </c>
      <c r="BX21" s="397" t="str">
        <f t="shared" si="23"/>
        <v/>
      </c>
    </row>
    <row r="22" spans="1:76" ht="14.25" customHeight="1">
      <c r="A22" s="375">
        <v>13</v>
      </c>
      <c r="B22" s="333"/>
      <c r="C22" s="333"/>
      <c r="D22" s="333"/>
      <c r="E22" s="377"/>
      <c r="F22" s="376"/>
      <c r="G22" s="376"/>
      <c r="H22" s="400"/>
      <c r="I22" s="400"/>
      <c r="J22" s="400"/>
      <c r="K22" s="612"/>
      <c r="L22" s="613"/>
      <c r="M22" s="613"/>
      <c r="N22" s="395" t="str">
        <f t="shared" si="35"/>
        <v/>
      </c>
      <c r="O22" s="613"/>
      <c r="P22" s="613"/>
      <c r="Q22" s="610" t="str">
        <f t="shared" si="0"/>
        <v/>
      </c>
      <c r="R22" s="613"/>
      <c r="S22" s="613"/>
      <c r="T22" s="610" t="str">
        <f t="shared" si="1"/>
        <v/>
      </c>
      <c r="U22" s="611"/>
      <c r="V22" s="395" t="str" cm="1">
        <f t="array" ref="V22">IF((_xlfn.IFS(TRIM(SUBSTITUTE(U22,CHAR(160),""))="Devis 1",IFERROR(VALUE(TRIM(SUBSTITUTE(L22,CHAR(160),""))),0),TRIM(SUBSTITUTE(U22,CHAR(160),""))="Devis 2",IFERROR(VALUE(TRIM(SUBSTITUTE(O22,CHAR(160),""))),0),TRIM(SUBSTITUTE(U22,CHAR(160),""))="Devis 3",IFERROR(VALUE(TRIM(SUBSTITUTE(R22,CHAR(160),""))),0),TRUE,0))=0,"",_xlfn.IFS(TRIM(SUBSTITUTE(U22,CHAR(160),""))="Devis 1",IFERROR(VALUE(TRIM(SUBSTITUTE(L22,CHAR(160),""))),0),TRIM(SUBSTITUTE(U22,CHAR(160),""))="Devis 2",IFERROR(VALUE(TRIM(SUBSTITUTE(O22,CHAR(160),""))),0),TRIM(SUBSTITUTE(U22,CHAR(160),""))="Devis 3",IFERROR(VALUE(TRIM(SUBSTITUTE(R22,CHAR(160),""))),0),TRUE,0))</f>
        <v/>
      </c>
      <c r="W22" s="396" t="str" cm="1">
        <f t="array" ref="W22">IF((_xlfn.IFS(TRIM(SUBSTITUTE(U22,CHAR(160),""))="Devis 1",IFERROR(VALUE(TRIM(SUBSTITUTE(M22,CHAR(160),""))),0),TRIM(SUBSTITUTE(U22,CHAR(160),""))="Devis 2",IFERROR(VALUE(TRIM(SUBSTITUTE(P22,CHAR(160),""))),0),TRIM(SUBSTITUTE(U22,CHAR(160),""))="Devis 3",IFERROR(VALUE(TRIM(SUBSTITUTE(S22,CHAR(160),""))),0),TRUE,0))=0,"",_xlfn.IFS(TRIM(SUBSTITUTE(U22,CHAR(160),""))="Devis 1",IFERROR(VALUE(TRIM(SUBSTITUTE(M22,CHAR(160),""))),0),TRIM(SUBSTITUTE(U22,CHAR(160),""))="Devis 2",IFERROR(VALUE(TRIM(SUBSTITUTE(P22,CHAR(160),""))),0),TRIM(SUBSTITUTE(U22,CHAR(160),""))="Devis 3",IFERROR(VALUE(TRIM(SUBSTITUTE(S22,CHAR(160),""))),0),TRUE,0))</f>
        <v/>
      </c>
      <c r="X22" s="926" t="str" cm="1">
        <f t="array" ref="X22">IF((_xlfn.IFS(TRIM(SUBSTITUTE(U22,CHAR(160),""))="Devis 1",IFERROR(VALUE(TRIM(SUBSTITUTE(N22,CHAR(160),""))),0),TRIM(SUBSTITUTE(U22,CHAR(160),""))="Devis 2",IFERROR(VALUE(TRIM(SUBSTITUTE(Q22,CHAR(160),""))),0),TRIM(SUBSTITUTE(U22,CHAR(160),""))="Devis 3",IFERROR(VALUE(TRIM(SUBSTITUTE(T22,CHAR(160),""))),0),TRUE,0))=0,"",_xlfn.IFS(TRIM(SUBSTITUTE(U22,CHAR(160),""))="Devis 1",IFERROR(VALUE(TRIM(SUBSTITUTE(N22,CHAR(160),""))),0),TRIM(SUBSTITUTE(U22,CHAR(160),""))="Devis 2",IFERROR(VALUE(TRIM(SUBSTITUTE(Q22,CHAR(160),""))),0),TRIM(SUBSTITUTE(U22,CHAR(160),""))="Devis 3",IFERROR(VALUE(TRIM(SUBSTITUTE(T22,CHAR(160),""))),0),TRUE,0))</f>
        <v/>
      </c>
      <c r="Y22" s="933"/>
      <c r="Z22" s="929"/>
      <c r="AA22" s="935" t="str">
        <f t="shared" si="24"/>
        <v/>
      </c>
      <c r="AB22" s="934" t="str" cm="1">
        <f t="array" ref="AB22">IF(Y22="","",_xlfn.IFS(Y22=$CB$6,70,Y22=$CB$7,90,Y22=$CB$8,70,Y22=$CB$9,90,Y22=$CB$10,110))</f>
        <v/>
      </c>
      <c r="AC22" s="379"/>
      <c r="AD22" s="934" t="str" cm="1">
        <f t="array" ref="AD22">IF(Y22="","",_xlfn.IFS(Y22=$CB$6,15.75,Y22=$CB$7,21,Y22=$CB$8,15.25,Y22=$CB$9,15.25,Y22=$CB$10,15.25))</f>
        <v/>
      </c>
      <c r="AE22" s="380"/>
      <c r="AF22" s="936">
        <f t="shared" si="25"/>
        <v>0</v>
      </c>
      <c r="AG22" s="381" t="str">
        <f t="shared" si="26"/>
        <v/>
      </c>
      <c r="AH22" s="398"/>
      <c r="AI22" s="383" t="str">
        <f t="shared" si="2"/>
        <v/>
      </c>
      <c r="AJ22" s="384" t="str">
        <f t="shared" si="3"/>
        <v/>
      </c>
      <c r="AK22" s="384" t="str">
        <f t="shared" si="4"/>
        <v/>
      </c>
      <c r="AL22" s="377"/>
      <c r="AM22" s="385" t="str">
        <f t="shared" si="5"/>
        <v/>
      </c>
      <c r="AN22" s="384" t="str">
        <f t="shared" si="6"/>
        <v/>
      </c>
      <c r="AO22" s="384" t="str">
        <f t="shared" si="7"/>
        <v/>
      </c>
      <c r="AP22" s="384" t="str">
        <f t="shared" si="8"/>
        <v/>
      </c>
      <c r="AQ22" s="384" t="str">
        <f t="shared" si="9"/>
        <v/>
      </c>
      <c r="AR22" s="384" t="str">
        <f t="shared" si="10"/>
        <v/>
      </c>
      <c r="AS22" s="386" t="str">
        <f t="shared" si="11"/>
        <v/>
      </c>
      <c r="AT22" s="387" t="str">
        <f t="shared" si="12"/>
        <v/>
      </c>
      <c r="AU22" s="388" t="str">
        <f t="shared" si="36"/>
        <v/>
      </c>
      <c r="AV22" s="387" t="str">
        <f t="shared" si="13"/>
        <v/>
      </c>
      <c r="AW22" s="387" t="str">
        <f t="shared" si="14"/>
        <v/>
      </c>
      <c r="AX22" s="389" t="str">
        <f t="shared" si="27"/>
        <v/>
      </c>
      <c r="AY22" s="387" t="str">
        <f t="shared" si="15"/>
        <v/>
      </c>
      <c r="AZ22" s="387" t="str">
        <f t="shared" si="16"/>
        <v/>
      </c>
      <c r="BA22" s="389" t="str">
        <f t="shared" si="28"/>
        <v/>
      </c>
      <c r="BB22" s="390" t="str">
        <f t="shared" si="17"/>
        <v/>
      </c>
      <c r="BC22" s="391"/>
      <c r="BD22" s="390" t="str">
        <f t="shared" si="29"/>
        <v/>
      </c>
      <c r="BE22" s="390" t="str">
        <f t="shared" si="29"/>
        <v/>
      </c>
      <c r="BF22" s="390" t="str">
        <f t="shared" si="37"/>
        <v/>
      </c>
      <c r="BG22" s="392" t="str" cm="1">
        <f t="array" ref="BG22">IF(AS22="","",IF((IFERROR(_xlfn.IFS($BB22="Devis 1",(IFERROR(VALUE(TRIM(SUBSTITUTE(AS22,CHAR(160),""))),0)),$BB22="Devis 2",(IFERROR(VALUE(TRIM(SUBSTITUTE(AV22,CHAR(160),""))),0)),$BB22="Devis 3",(IFERROR(VALUE(TRIM(SUBSTITUTE(AY22,CHAR(160),""))),0))),0))=0,"",(IFERROR(_xlfn.IFS($BB22="Devis 1",(IFERROR(VALUE(TRIM(SUBSTITUTE(AS22,CHAR(160),""))),0)),$BB22="Devis 2",(IFERROR(VALUE(TRIM(SUBSTITUTE(AV22,CHAR(160),""))),0)),$BB22="Devis 3",(IFERROR(VALUE(TRIM(SUBSTITUTE(AY22,CHAR(160),""))),0))),0))))</f>
        <v/>
      </c>
      <c r="BH22" s="392" t="str" cm="1">
        <f t="array" ref="BH22">IF(AT22="","",IF((IFERROR(_xlfn.IFS($BB22="Devis 1",(IFERROR(VALUE(TRIM(SUBSTITUTE(AT22,CHAR(160),""))),0)),$BB22="Devis 2",(IFERROR(VALUE(TRIM(SUBSTITUTE(AW22,CHAR(160),""))),0)),$BB22="Devis 3",(IFERROR(VALUE(TRIM(SUBSTITUTE(AZ22,CHAR(160),""))),0))),0))=0,"",(IFERROR(_xlfn.IFS($BB22="Devis 1",(IFERROR(VALUE(TRIM(SUBSTITUTE(AT22,CHAR(160),""))),0)),$BB22="Devis 2",(IFERROR(VALUE(TRIM(SUBSTITUTE(AW22,CHAR(160),""))),0)),$BB22="Devis 3",(IFERROR(VALUE(TRIM(SUBSTITUTE(AZ22,CHAR(160),""))),0))),0))))</f>
        <v/>
      </c>
      <c r="BI22" s="700" t="str" cm="1">
        <f t="array" ref="BI22">IF(AU22="","",IF(IFERROR(_xlfn.IFS($BB22="Devis 1",IFERROR(VALUE(TRIM(SUBSTITUTE(AU22,CHAR(160),""))),0),$BB22="Devis 2",IFERROR(VALUE(TRIM(SUBSTITUTE(AX22,CHAR(160),""))),0),$BB22="Devis 3",IFERROR(VALUE(TRIM(SUBSTITUTE(BA22,CHAR(160),""))),0)),0)=0,"",IFERROR(_xlfn.IFS($BB22="Devis 1",IFERROR(VALUE(TRIM(SUBSTITUTE(AU22,CHAR(160),""))),0),$BB22="Devis 2",IFERROR(VALUE(TRIM(SUBSTITUTE(AX22,CHAR(160),""))),0),$BB22="Devis 3",IFERROR(VALUE(TRIM(SUBSTITUTE(BA22,CHAR(160),""))),0)),0)))</f>
        <v/>
      </c>
      <c r="BJ22" s="739" t="str">
        <f t="shared" si="18"/>
        <v/>
      </c>
      <c r="BK22" s="740" t="str">
        <f t="shared" si="19"/>
        <v/>
      </c>
      <c r="BL22" s="741" t="str">
        <f t="shared" si="30"/>
        <v/>
      </c>
      <c r="BM22" s="741" t="str">
        <f t="shared" si="31"/>
        <v/>
      </c>
      <c r="BN22" s="741" t="str">
        <f t="shared" si="32"/>
        <v/>
      </c>
      <c r="BO22" s="741" t="str">
        <f t="shared" si="33"/>
        <v/>
      </c>
      <c r="BP22" s="711">
        <f t="shared" si="20"/>
        <v>0</v>
      </c>
      <c r="BQ22" s="372" t="str">
        <f t="shared" si="34"/>
        <v/>
      </c>
      <c r="BR22" s="718"/>
      <c r="BS22" s="393" t="str" cm="1">
        <f t="array" ref="BS22">IF(OR(BI22="",BF22="",BG22="",BD22="",BH22="",BE22=""),"",_xlfn.IFS((IFERROR(VALUE(TRIM(SUBSTITUTE(BI22,CHAR(160),""))),0))&gt;(IFERROR(VALUE(TRIM(SUBSTITUTE(BF22,CHAR(160),""))),0)),"KO : Le montant retenu TTC est supérieur au montant raisonnable TTC. Merci de revoir la ligne de dépense ou plafonner son montant.",(IFERROR(VALUE(TRIM(SUBSTITUTE(BG22,CHAR(160),""))),0))&gt;(IFERROR(VALUE(TRIM(SUBSTITUTE(BD22,CHAR(160),""))),0)),"Attention : Le montant retenu HT est supérieur au montant HT raisonnable. Merci de revoir la ligne de dépense, plafonner son montant, ou justifier la reventillation HT / TVA.",(IFERROR(VALUE(TRIM(SUBSTITUTE(BH22,CHAR(160),""))),0))&gt;(IFERROR(VALUE(TRIM(SUBSTITUTE(BE22,CHAR(160),""))),0)),"Attention : Le montant TVA retenu est supérieur au montant TVA raisonnable. Merci de revoir la ligne de dépense, plafonner son montant, ou justifier la reventillation HT / TVA.",(IFERROR(VALUE(TRIM(SUBSTITUTE(BI22,CHAR(160),""))),0))=0,"",(IFERROR(VALUE(TRIM(SUBSTITUTE(BF22,CHAR(160),""))),0))=(IFERROR(VALUE(TRIM(SUBSTITUTE(BI22,CHAR(160),""))),0)),"OK",(IFERROR(VALUE(TRIM(SUBSTITUTE(BF22,CHAR(160),""))),0))&gt;(IFERROR(VALUE(TRIM(SUBSTITUTE(BI22,CHAR(160),""))),0))," OK : Montant instruit inférieur au montant raisonnable.",TRUE,""))</f>
        <v/>
      </c>
      <c r="BT22" s="394" t="str" cm="1">
        <f t="array" ref="BT22">IF(OR(BI22="",X22="",BG22="",V22="",BH22="",W22=""),"",_xlfn.IFS((IFERROR(VALUE(TRIM(SUBSTITUTE(BI22,CHAR(160),""))),0))=0,"Attention : montant présenté entièrement écarté",(IFERROR(VALUE(TRIM(SUBSTITUTE(BI22,CHAR(160),""))),0))&gt;(IFERROR(VALUE(TRIM(SUBSTITUTE(X22,CHAR(160),""))),0)),"KO : Le montant retenu TTC est supérieur au montant présenté TTC. Merci de revoir la ligne de dépense ou plafonner son montant.",(IFERROR(VALUE(TRIM(SUBSTITUTE(BG22,CHAR(160),""))),0))&gt;(IFERROR(VALUE(TRIM(SUBSTITUTE(V22,CHAR(160),""))),0)),"Attention : Le montant retenu HT est supérieur au montant HT présenté. Merci de revoir la ligne de dépense,plafonner son montant,ou justifier la reventillation HT/TVA.",(IFERROR(VALUE(TRIM(SUBSTITUTE(BH22,CHAR(160),""))),0))&gt;(IFERROR(VALUE(TRIM(SUBSTITUTE(W22,CHAR(160),""))),0)),"Attention : Le montant TVA retenu est supérieur au montant TVA présenté. Merci de revoir la ligne de dépense,plafonner son montant,ou justifier la reventillation HT/TVA.",(IFERROR(VALUE(TRIM(SUBSTITUTE(X22,CHAR(160),""))),0))=0,"Attention : montant présenté entièrement écarté",(IFERROR(VALUE(TRIM(SUBSTITUTE(BI22,CHAR(160),""))),0))=(IFERROR(VALUE(TRIM(SUBSTITUTE(X22,CHAR(160),""))),0)),"OK",
  AND((IFERROR(VALUE(TRIM(SUBSTITUTE(BI22,CHAR(160),""))),0))&lt;(IFERROR(VALUE(TRIM(SUBSTITUTE(X22,CHAR(160),""))),0)),((IFERROR(VALUE(TRIM(SUBSTITUTE(X22,CHAR(160),""))),0))-(IFERROR(VALUE(TRIM(SUBSTITUTE(BI22,CHAR(160),""))),0)))&lt;0.01),"OK",(IFERROR(VALUE(TRIM(SUBSTITUTE(BI22,CHAR(160),""))),0))&lt;(IFERROR(VALUE(TRIM(SUBSTITUTE(X22,CHAR(160),""))),0)),"Attention : Montant présenté partiellement écarté.",
  TRUE,""))</f>
        <v/>
      </c>
      <c r="BU22" s="373" t="str" cm="1">
        <f t="array" ref="BU22">IF(OR(AF22="",BP22=""),"",_xlfn.IFS((IFERROR(VALUE(TRIM(SUBSTITUTE(BP22,CHAR(160),""))),0))&gt;(IFERROR(VALUE(TRIM(SUBSTITUTE(AF22,CHAR(160),""))),0)),"KO : Le montant retenu est supérieur au montant présenté. Merci de revoir la ligne de contribution ou plafonner son montant.",(IFERROR(VALUE(TRIM(SUBSTITUTE(AF22,CHAR(160),""))),0))=0,"Attention : montant présenté entièrement écarté",(IFERROR(VALUE(TRIM(SUBSTITUTE(BP22,CHAR(160),""))),0))=(IFERROR(VALUE(TRIM(SUBSTITUTE(AF22,CHAR(160),""))),0)),"OK",(IFERROR(VALUE(TRIM(SUBSTITUTE(BP22,CHAR(160),""))),0))&lt;(IFERROR(VALUE(TRIM(SUBSTITUTE(AF22,CHAR(160),""))),0)),"Attention : montant présenté partiellement écarté.",TRUE,""))</f>
        <v>Attention : montant présenté entièrement écarté</v>
      </c>
      <c r="BV22" s="395" t="str">
        <f t="shared" si="21"/>
        <v/>
      </c>
      <c r="BW22" s="396" t="str">
        <f t="shared" si="22"/>
        <v/>
      </c>
      <c r="BX22" s="397" t="str">
        <f t="shared" si="23"/>
        <v/>
      </c>
    </row>
    <row r="23" spans="1:76" ht="14.25" customHeight="1">
      <c r="A23" s="375">
        <v>14</v>
      </c>
      <c r="B23" s="333"/>
      <c r="C23" s="333"/>
      <c r="D23" s="333"/>
      <c r="E23" s="377"/>
      <c r="F23" s="376"/>
      <c r="G23" s="376"/>
      <c r="H23" s="400"/>
      <c r="I23" s="400"/>
      <c r="J23" s="400"/>
      <c r="K23" s="612"/>
      <c r="L23" s="613"/>
      <c r="M23" s="613"/>
      <c r="N23" s="395" t="str">
        <f t="shared" si="35"/>
        <v/>
      </c>
      <c r="O23" s="613"/>
      <c r="P23" s="613"/>
      <c r="Q23" s="610" t="str">
        <f t="shared" si="0"/>
        <v/>
      </c>
      <c r="R23" s="613"/>
      <c r="S23" s="613"/>
      <c r="T23" s="610" t="str">
        <f t="shared" si="1"/>
        <v/>
      </c>
      <c r="U23" s="611"/>
      <c r="V23" s="395" t="str" cm="1">
        <f t="array" ref="V23">IF((_xlfn.IFS(TRIM(SUBSTITUTE(U23,CHAR(160),""))="Devis 1",IFERROR(VALUE(TRIM(SUBSTITUTE(L23,CHAR(160),""))),0),TRIM(SUBSTITUTE(U23,CHAR(160),""))="Devis 2",IFERROR(VALUE(TRIM(SUBSTITUTE(O23,CHAR(160),""))),0),TRIM(SUBSTITUTE(U23,CHAR(160),""))="Devis 3",IFERROR(VALUE(TRIM(SUBSTITUTE(R23,CHAR(160),""))),0),TRUE,0))=0,"",_xlfn.IFS(TRIM(SUBSTITUTE(U23,CHAR(160),""))="Devis 1",IFERROR(VALUE(TRIM(SUBSTITUTE(L23,CHAR(160),""))),0),TRIM(SUBSTITUTE(U23,CHAR(160),""))="Devis 2",IFERROR(VALUE(TRIM(SUBSTITUTE(O23,CHAR(160),""))),0),TRIM(SUBSTITUTE(U23,CHAR(160),""))="Devis 3",IFERROR(VALUE(TRIM(SUBSTITUTE(R23,CHAR(160),""))),0),TRUE,0))</f>
        <v/>
      </c>
      <c r="W23" s="396" t="str" cm="1">
        <f t="array" ref="W23">IF((_xlfn.IFS(TRIM(SUBSTITUTE(U23,CHAR(160),""))="Devis 1",IFERROR(VALUE(TRIM(SUBSTITUTE(M23,CHAR(160),""))),0),TRIM(SUBSTITUTE(U23,CHAR(160),""))="Devis 2",IFERROR(VALUE(TRIM(SUBSTITUTE(P23,CHAR(160),""))),0),TRIM(SUBSTITUTE(U23,CHAR(160),""))="Devis 3",IFERROR(VALUE(TRIM(SUBSTITUTE(S23,CHAR(160),""))),0),TRUE,0))=0,"",_xlfn.IFS(TRIM(SUBSTITUTE(U23,CHAR(160),""))="Devis 1",IFERROR(VALUE(TRIM(SUBSTITUTE(M23,CHAR(160),""))),0),TRIM(SUBSTITUTE(U23,CHAR(160),""))="Devis 2",IFERROR(VALUE(TRIM(SUBSTITUTE(P23,CHAR(160),""))),0),TRIM(SUBSTITUTE(U23,CHAR(160),""))="Devis 3",IFERROR(VALUE(TRIM(SUBSTITUTE(S23,CHAR(160),""))),0),TRUE,0))</f>
        <v/>
      </c>
      <c r="X23" s="926" t="str" cm="1">
        <f t="array" ref="X23">IF((_xlfn.IFS(TRIM(SUBSTITUTE(U23,CHAR(160),""))="Devis 1",IFERROR(VALUE(TRIM(SUBSTITUTE(N23,CHAR(160),""))),0),TRIM(SUBSTITUTE(U23,CHAR(160),""))="Devis 2",IFERROR(VALUE(TRIM(SUBSTITUTE(Q23,CHAR(160),""))),0),TRIM(SUBSTITUTE(U23,CHAR(160),""))="Devis 3",IFERROR(VALUE(TRIM(SUBSTITUTE(T23,CHAR(160),""))),0),TRUE,0))=0,"",_xlfn.IFS(TRIM(SUBSTITUTE(U23,CHAR(160),""))="Devis 1",IFERROR(VALUE(TRIM(SUBSTITUTE(N23,CHAR(160),""))),0),TRIM(SUBSTITUTE(U23,CHAR(160),""))="Devis 2",IFERROR(VALUE(TRIM(SUBSTITUTE(Q23,CHAR(160),""))),0),TRIM(SUBSTITUTE(U23,CHAR(160),""))="Devis 3",IFERROR(VALUE(TRIM(SUBSTITUTE(T23,CHAR(160),""))),0),TRUE,0))</f>
        <v/>
      </c>
      <c r="Y23" s="933"/>
      <c r="Z23" s="929"/>
      <c r="AA23" s="935" t="str">
        <f t="shared" si="24"/>
        <v/>
      </c>
      <c r="AB23" s="934" t="str" cm="1">
        <f t="array" ref="AB23">IF(Y23="","",_xlfn.IFS(Y23=$CB$6,70,Y23=$CB$7,90,Y23=$CB$8,70,Y23=$CB$9,90,Y23=$CB$10,110))</f>
        <v/>
      </c>
      <c r="AC23" s="379"/>
      <c r="AD23" s="934" t="str" cm="1">
        <f t="array" ref="AD23">IF(Y23="","",_xlfn.IFS(Y23=$CB$6,15.75,Y23=$CB$7,21,Y23=$CB$8,15.25,Y23=$CB$9,15.25,Y23=$CB$10,15.25))</f>
        <v/>
      </c>
      <c r="AE23" s="380"/>
      <c r="AF23" s="936">
        <f t="shared" si="25"/>
        <v>0</v>
      </c>
      <c r="AG23" s="381" t="str">
        <f t="shared" si="26"/>
        <v/>
      </c>
      <c r="AH23" s="398"/>
      <c r="AI23" s="383" t="str">
        <f t="shared" si="2"/>
        <v/>
      </c>
      <c r="AJ23" s="384" t="str">
        <f t="shared" si="3"/>
        <v/>
      </c>
      <c r="AK23" s="384" t="str">
        <f t="shared" si="4"/>
        <v/>
      </c>
      <c r="AL23" s="377"/>
      <c r="AM23" s="385" t="str">
        <f t="shared" si="5"/>
        <v/>
      </c>
      <c r="AN23" s="384" t="str">
        <f t="shared" si="6"/>
        <v/>
      </c>
      <c r="AO23" s="384" t="str">
        <f t="shared" si="7"/>
        <v/>
      </c>
      <c r="AP23" s="384" t="str">
        <f t="shared" si="8"/>
        <v/>
      </c>
      <c r="AQ23" s="384" t="str">
        <f t="shared" si="9"/>
        <v/>
      </c>
      <c r="AR23" s="384" t="str">
        <f t="shared" si="10"/>
        <v/>
      </c>
      <c r="AS23" s="386" t="str">
        <f t="shared" si="11"/>
        <v/>
      </c>
      <c r="AT23" s="387" t="str">
        <f t="shared" si="12"/>
        <v/>
      </c>
      <c r="AU23" s="388" t="str">
        <f t="shared" si="36"/>
        <v/>
      </c>
      <c r="AV23" s="387" t="str">
        <f t="shared" si="13"/>
        <v/>
      </c>
      <c r="AW23" s="387" t="str">
        <f t="shared" si="14"/>
        <v/>
      </c>
      <c r="AX23" s="389" t="str">
        <f t="shared" si="27"/>
        <v/>
      </c>
      <c r="AY23" s="387" t="str">
        <f t="shared" si="15"/>
        <v/>
      </c>
      <c r="AZ23" s="387" t="str">
        <f t="shared" si="16"/>
        <v/>
      </c>
      <c r="BA23" s="389" t="str">
        <f t="shared" si="28"/>
        <v/>
      </c>
      <c r="BB23" s="390" t="str">
        <f t="shared" si="17"/>
        <v/>
      </c>
      <c r="BC23" s="391"/>
      <c r="BD23" s="390" t="str">
        <f t="shared" si="29"/>
        <v/>
      </c>
      <c r="BE23" s="390" t="str">
        <f t="shared" si="29"/>
        <v/>
      </c>
      <c r="BF23" s="390" t="str">
        <f t="shared" si="37"/>
        <v/>
      </c>
      <c r="BG23" s="392" t="str" cm="1">
        <f t="array" ref="BG23">IF(AS23="","",IF((IFERROR(_xlfn.IFS($BB23="Devis 1",(IFERROR(VALUE(TRIM(SUBSTITUTE(AS23,CHAR(160),""))),0)),$BB23="Devis 2",(IFERROR(VALUE(TRIM(SUBSTITUTE(AV23,CHAR(160),""))),0)),$BB23="Devis 3",(IFERROR(VALUE(TRIM(SUBSTITUTE(AY23,CHAR(160),""))),0))),0))=0,"",(IFERROR(_xlfn.IFS($BB23="Devis 1",(IFERROR(VALUE(TRIM(SUBSTITUTE(AS23,CHAR(160),""))),0)),$BB23="Devis 2",(IFERROR(VALUE(TRIM(SUBSTITUTE(AV23,CHAR(160),""))),0)),$BB23="Devis 3",(IFERROR(VALUE(TRIM(SUBSTITUTE(AY23,CHAR(160),""))),0))),0))))</f>
        <v/>
      </c>
      <c r="BH23" s="392" t="str" cm="1">
        <f t="array" ref="BH23">IF(AT23="","",IF((IFERROR(_xlfn.IFS($BB23="Devis 1",(IFERROR(VALUE(TRIM(SUBSTITUTE(AT23,CHAR(160),""))),0)),$BB23="Devis 2",(IFERROR(VALUE(TRIM(SUBSTITUTE(AW23,CHAR(160),""))),0)),$BB23="Devis 3",(IFERROR(VALUE(TRIM(SUBSTITUTE(AZ23,CHAR(160),""))),0))),0))=0,"",(IFERROR(_xlfn.IFS($BB23="Devis 1",(IFERROR(VALUE(TRIM(SUBSTITUTE(AT23,CHAR(160),""))),0)),$BB23="Devis 2",(IFERROR(VALUE(TRIM(SUBSTITUTE(AW23,CHAR(160),""))),0)),$BB23="Devis 3",(IFERROR(VALUE(TRIM(SUBSTITUTE(AZ23,CHAR(160),""))),0))),0))))</f>
        <v/>
      </c>
      <c r="BI23" s="700" t="str" cm="1">
        <f t="array" ref="BI23">IF(AU23="","",IF(IFERROR(_xlfn.IFS($BB23="Devis 1",IFERROR(VALUE(TRIM(SUBSTITUTE(AU23,CHAR(160),""))),0),$BB23="Devis 2",IFERROR(VALUE(TRIM(SUBSTITUTE(AX23,CHAR(160),""))),0),$BB23="Devis 3",IFERROR(VALUE(TRIM(SUBSTITUTE(BA23,CHAR(160),""))),0)),0)=0,"",IFERROR(_xlfn.IFS($BB23="Devis 1",IFERROR(VALUE(TRIM(SUBSTITUTE(AU23,CHAR(160),""))),0),$BB23="Devis 2",IFERROR(VALUE(TRIM(SUBSTITUTE(AX23,CHAR(160),""))),0),$BB23="Devis 3",IFERROR(VALUE(TRIM(SUBSTITUTE(BA23,CHAR(160),""))),0)),0)))</f>
        <v/>
      </c>
      <c r="BJ23" s="739" t="str">
        <f t="shared" si="18"/>
        <v/>
      </c>
      <c r="BK23" s="740" t="str">
        <f t="shared" si="19"/>
        <v/>
      </c>
      <c r="BL23" s="741" t="str">
        <f t="shared" si="30"/>
        <v/>
      </c>
      <c r="BM23" s="741" t="str">
        <f t="shared" si="31"/>
        <v/>
      </c>
      <c r="BN23" s="741" t="str">
        <f t="shared" si="32"/>
        <v/>
      </c>
      <c r="BO23" s="741" t="str">
        <f t="shared" si="33"/>
        <v/>
      </c>
      <c r="BP23" s="711">
        <f t="shared" si="20"/>
        <v>0</v>
      </c>
      <c r="BQ23" s="372" t="str">
        <f t="shared" si="34"/>
        <v/>
      </c>
      <c r="BR23" s="718"/>
      <c r="BS23" s="393" t="str" cm="1">
        <f t="array" ref="BS23">IF(OR(BI23="",BF23="",BG23="",BD23="",BH23="",BE23=""),"",_xlfn.IFS((IFERROR(VALUE(TRIM(SUBSTITUTE(BI23,CHAR(160),""))),0))&gt;(IFERROR(VALUE(TRIM(SUBSTITUTE(BF23,CHAR(160),""))),0)),"KO : Le montant retenu TTC est supérieur au montant raisonnable TTC. Merci de revoir la ligne de dépense ou plafonner son montant.",(IFERROR(VALUE(TRIM(SUBSTITUTE(BG23,CHAR(160),""))),0))&gt;(IFERROR(VALUE(TRIM(SUBSTITUTE(BD23,CHAR(160),""))),0)),"Attention : Le montant retenu HT est supérieur au montant HT raisonnable. Merci de revoir la ligne de dépense, plafonner son montant, ou justifier la reventillation HT / TVA.",(IFERROR(VALUE(TRIM(SUBSTITUTE(BH23,CHAR(160),""))),0))&gt;(IFERROR(VALUE(TRIM(SUBSTITUTE(BE23,CHAR(160),""))),0)),"Attention : Le montant TVA retenu est supérieur au montant TVA raisonnable. Merci de revoir la ligne de dépense, plafonner son montant, ou justifier la reventillation HT / TVA.",(IFERROR(VALUE(TRIM(SUBSTITUTE(BI23,CHAR(160),""))),0))=0,"",(IFERROR(VALUE(TRIM(SUBSTITUTE(BF23,CHAR(160),""))),0))=(IFERROR(VALUE(TRIM(SUBSTITUTE(BI23,CHAR(160),""))),0)),"OK",(IFERROR(VALUE(TRIM(SUBSTITUTE(BF23,CHAR(160),""))),0))&gt;(IFERROR(VALUE(TRIM(SUBSTITUTE(BI23,CHAR(160),""))),0))," OK : Montant instruit inférieur au montant raisonnable.",TRUE,""))</f>
        <v/>
      </c>
      <c r="BT23" s="394" t="str" cm="1">
        <f t="array" ref="BT23">IF(OR(BI23="",X23="",BG23="",V23="",BH23="",W23=""),"",_xlfn.IFS((IFERROR(VALUE(TRIM(SUBSTITUTE(BI23,CHAR(160),""))),0))=0,"Attention : montant présenté entièrement écarté",(IFERROR(VALUE(TRIM(SUBSTITUTE(BI23,CHAR(160),""))),0))&gt;(IFERROR(VALUE(TRIM(SUBSTITUTE(X23,CHAR(160),""))),0)),"KO : Le montant retenu TTC est supérieur au montant présenté TTC. Merci de revoir la ligne de dépense ou plafonner son montant.",(IFERROR(VALUE(TRIM(SUBSTITUTE(BG23,CHAR(160),""))),0))&gt;(IFERROR(VALUE(TRIM(SUBSTITUTE(V23,CHAR(160),""))),0)),"Attention : Le montant retenu HT est supérieur au montant HT présenté. Merci de revoir la ligne de dépense,plafonner son montant,ou justifier la reventillation HT/TVA.",(IFERROR(VALUE(TRIM(SUBSTITUTE(BH23,CHAR(160),""))),0))&gt;(IFERROR(VALUE(TRIM(SUBSTITUTE(W23,CHAR(160),""))),0)),"Attention : Le montant TVA retenu est supérieur au montant TVA présenté. Merci de revoir la ligne de dépense,plafonner son montant,ou justifier la reventillation HT/TVA.",(IFERROR(VALUE(TRIM(SUBSTITUTE(X23,CHAR(160),""))),0))=0,"Attention : montant présenté entièrement écarté",(IFERROR(VALUE(TRIM(SUBSTITUTE(BI23,CHAR(160),""))),0))=(IFERROR(VALUE(TRIM(SUBSTITUTE(X23,CHAR(160),""))),0)),"OK",
  AND((IFERROR(VALUE(TRIM(SUBSTITUTE(BI23,CHAR(160),""))),0))&lt;(IFERROR(VALUE(TRIM(SUBSTITUTE(X23,CHAR(160),""))),0)),((IFERROR(VALUE(TRIM(SUBSTITUTE(X23,CHAR(160),""))),0))-(IFERROR(VALUE(TRIM(SUBSTITUTE(BI23,CHAR(160),""))),0)))&lt;0.01),"OK",(IFERROR(VALUE(TRIM(SUBSTITUTE(BI23,CHAR(160),""))),0))&lt;(IFERROR(VALUE(TRIM(SUBSTITUTE(X23,CHAR(160),""))),0)),"Attention : Montant présenté partiellement écarté.",
  TRUE,""))</f>
        <v/>
      </c>
      <c r="BU23" s="373" t="str" cm="1">
        <f t="array" ref="BU23">IF(OR(AF23="",BP23=""),"",_xlfn.IFS((IFERROR(VALUE(TRIM(SUBSTITUTE(BP23,CHAR(160),""))),0))&gt;(IFERROR(VALUE(TRIM(SUBSTITUTE(AF23,CHAR(160),""))),0)),"KO : Le montant retenu est supérieur au montant présenté. Merci de revoir la ligne de contribution ou plafonner son montant.",(IFERROR(VALUE(TRIM(SUBSTITUTE(AF23,CHAR(160),""))),0))=0,"Attention : montant présenté entièrement écarté",(IFERROR(VALUE(TRIM(SUBSTITUTE(BP23,CHAR(160),""))),0))=(IFERROR(VALUE(TRIM(SUBSTITUTE(AF23,CHAR(160),""))),0)),"OK",(IFERROR(VALUE(TRIM(SUBSTITUTE(BP23,CHAR(160),""))),0))&lt;(IFERROR(VALUE(TRIM(SUBSTITUTE(AF23,CHAR(160),""))),0)),"Attention : montant présenté partiellement écarté.",TRUE,""))</f>
        <v>Attention : montant présenté entièrement écarté</v>
      </c>
      <c r="BV23" s="395" t="str">
        <f t="shared" si="21"/>
        <v/>
      </c>
      <c r="BW23" s="396" t="str">
        <f t="shared" si="22"/>
        <v/>
      </c>
      <c r="BX23" s="397" t="str">
        <f t="shared" si="23"/>
        <v/>
      </c>
    </row>
    <row r="24" spans="1:76" ht="14.25" customHeight="1">
      <c r="A24" s="375">
        <v>15</v>
      </c>
      <c r="B24" s="333"/>
      <c r="C24" s="333"/>
      <c r="D24" s="333"/>
      <c r="E24" s="377"/>
      <c r="F24" s="376"/>
      <c r="G24" s="376"/>
      <c r="H24" s="400"/>
      <c r="I24" s="400"/>
      <c r="J24" s="400"/>
      <c r="K24" s="612"/>
      <c r="L24" s="613"/>
      <c r="M24" s="613"/>
      <c r="N24" s="395" t="str">
        <f t="shared" si="35"/>
        <v/>
      </c>
      <c r="O24" s="613"/>
      <c r="P24" s="613"/>
      <c r="Q24" s="610" t="str">
        <f t="shared" si="0"/>
        <v/>
      </c>
      <c r="R24" s="613"/>
      <c r="S24" s="613"/>
      <c r="T24" s="610" t="str">
        <f t="shared" si="1"/>
        <v/>
      </c>
      <c r="U24" s="611"/>
      <c r="V24" s="395" t="str" cm="1">
        <f t="array" ref="V24">IF((_xlfn.IFS(TRIM(SUBSTITUTE(U24,CHAR(160),""))="Devis 1",IFERROR(VALUE(TRIM(SUBSTITUTE(L24,CHAR(160),""))),0),TRIM(SUBSTITUTE(U24,CHAR(160),""))="Devis 2",IFERROR(VALUE(TRIM(SUBSTITUTE(O24,CHAR(160),""))),0),TRIM(SUBSTITUTE(U24,CHAR(160),""))="Devis 3",IFERROR(VALUE(TRIM(SUBSTITUTE(R24,CHAR(160),""))),0),TRUE,0))=0,"",_xlfn.IFS(TRIM(SUBSTITUTE(U24,CHAR(160),""))="Devis 1",IFERROR(VALUE(TRIM(SUBSTITUTE(L24,CHAR(160),""))),0),TRIM(SUBSTITUTE(U24,CHAR(160),""))="Devis 2",IFERROR(VALUE(TRIM(SUBSTITUTE(O24,CHAR(160),""))),0),TRIM(SUBSTITUTE(U24,CHAR(160),""))="Devis 3",IFERROR(VALUE(TRIM(SUBSTITUTE(R24,CHAR(160),""))),0),TRUE,0))</f>
        <v/>
      </c>
      <c r="W24" s="396" t="str" cm="1">
        <f t="array" ref="W24">IF((_xlfn.IFS(TRIM(SUBSTITUTE(U24,CHAR(160),""))="Devis 1",IFERROR(VALUE(TRIM(SUBSTITUTE(M24,CHAR(160),""))),0),TRIM(SUBSTITUTE(U24,CHAR(160),""))="Devis 2",IFERROR(VALUE(TRIM(SUBSTITUTE(P24,CHAR(160),""))),0),TRIM(SUBSTITUTE(U24,CHAR(160),""))="Devis 3",IFERROR(VALUE(TRIM(SUBSTITUTE(S24,CHAR(160),""))),0),TRUE,0))=0,"",_xlfn.IFS(TRIM(SUBSTITUTE(U24,CHAR(160),""))="Devis 1",IFERROR(VALUE(TRIM(SUBSTITUTE(M24,CHAR(160),""))),0),TRIM(SUBSTITUTE(U24,CHAR(160),""))="Devis 2",IFERROR(VALUE(TRIM(SUBSTITUTE(P24,CHAR(160),""))),0),TRIM(SUBSTITUTE(U24,CHAR(160),""))="Devis 3",IFERROR(VALUE(TRIM(SUBSTITUTE(S24,CHAR(160),""))),0),TRUE,0))</f>
        <v/>
      </c>
      <c r="X24" s="926" t="str" cm="1">
        <f t="array" ref="X24">IF((_xlfn.IFS(TRIM(SUBSTITUTE(U24,CHAR(160),""))="Devis 1",IFERROR(VALUE(TRIM(SUBSTITUTE(N24,CHAR(160),""))),0),TRIM(SUBSTITUTE(U24,CHAR(160),""))="Devis 2",IFERROR(VALUE(TRIM(SUBSTITUTE(Q24,CHAR(160),""))),0),TRIM(SUBSTITUTE(U24,CHAR(160),""))="Devis 3",IFERROR(VALUE(TRIM(SUBSTITUTE(T24,CHAR(160),""))),0),TRUE,0))=0,"",_xlfn.IFS(TRIM(SUBSTITUTE(U24,CHAR(160),""))="Devis 1",IFERROR(VALUE(TRIM(SUBSTITUTE(N24,CHAR(160),""))),0),TRIM(SUBSTITUTE(U24,CHAR(160),""))="Devis 2",IFERROR(VALUE(TRIM(SUBSTITUTE(Q24,CHAR(160),""))),0),TRIM(SUBSTITUTE(U24,CHAR(160),""))="Devis 3",IFERROR(VALUE(TRIM(SUBSTITUTE(T24,CHAR(160),""))),0),TRUE,0))</f>
        <v/>
      </c>
      <c r="Y24" s="933"/>
      <c r="Z24" s="929"/>
      <c r="AA24" s="935" t="str">
        <f t="shared" si="24"/>
        <v/>
      </c>
      <c r="AB24" s="934" t="str" cm="1">
        <f t="array" ref="AB24">IF(Y24="","",_xlfn.IFS(Y24=$CB$6,70,Y24=$CB$7,90,Y24=$CB$8,70,Y24=$CB$9,90,Y24=$CB$10,110))</f>
        <v/>
      </c>
      <c r="AC24" s="379"/>
      <c r="AD24" s="934" t="str" cm="1">
        <f t="array" ref="AD24">IF(Y24="","",_xlfn.IFS(Y24=$CB$6,15.75,Y24=$CB$7,21,Y24=$CB$8,15.25,Y24=$CB$9,15.25,Y24=$CB$10,15.25))</f>
        <v/>
      </c>
      <c r="AE24" s="380"/>
      <c r="AF24" s="936">
        <f t="shared" si="25"/>
        <v>0</v>
      </c>
      <c r="AG24" s="381" t="str">
        <f t="shared" si="26"/>
        <v/>
      </c>
      <c r="AH24" s="398"/>
      <c r="AI24" s="383" t="str">
        <f t="shared" si="2"/>
        <v/>
      </c>
      <c r="AJ24" s="384" t="str">
        <f t="shared" si="3"/>
        <v/>
      </c>
      <c r="AK24" s="384" t="str">
        <f t="shared" si="4"/>
        <v/>
      </c>
      <c r="AL24" s="377"/>
      <c r="AM24" s="385" t="str">
        <f t="shared" si="5"/>
        <v/>
      </c>
      <c r="AN24" s="384" t="str">
        <f t="shared" si="6"/>
        <v/>
      </c>
      <c r="AO24" s="384" t="str">
        <f t="shared" si="7"/>
        <v/>
      </c>
      <c r="AP24" s="384" t="str">
        <f t="shared" si="8"/>
        <v/>
      </c>
      <c r="AQ24" s="384" t="str">
        <f t="shared" si="9"/>
        <v/>
      </c>
      <c r="AR24" s="384" t="str">
        <f t="shared" si="10"/>
        <v/>
      </c>
      <c r="AS24" s="386" t="str">
        <f t="shared" si="11"/>
        <v/>
      </c>
      <c r="AT24" s="387" t="str">
        <f t="shared" si="12"/>
        <v/>
      </c>
      <c r="AU24" s="388" t="str">
        <f t="shared" si="36"/>
        <v/>
      </c>
      <c r="AV24" s="387" t="str">
        <f t="shared" si="13"/>
        <v/>
      </c>
      <c r="AW24" s="387" t="str">
        <f t="shared" si="14"/>
        <v/>
      </c>
      <c r="AX24" s="389" t="str">
        <f t="shared" si="27"/>
        <v/>
      </c>
      <c r="AY24" s="387" t="str">
        <f t="shared" si="15"/>
        <v/>
      </c>
      <c r="AZ24" s="387" t="str">
        <f t="shared" si="16"/>
        <v/>
      </c>
      <c r="BA24" s="389" t="str">
        <f t="shared" si="28"/>
        <v/>
      </c>
      <c r="BB24" s="390" t="str">
        <f t="shared" si="17"/>
        <v/>
      </c>
      <c r="BC24" s="391"/>
      <c r="BD24" s="390" t="str">
        <f t="shared" si="29"/>
        <v/>
      </c>
      <c r="BE24" s="390" t="str">
        <f t="shared" si="29"/>
        <v/>
      </c>
      <c r="BF24" s="390" t="str">
        <f t="shared" si="37"/>
        <v/>
      </c>
      <c r="BG24" s="392" t="str" cm="1">
        <f t="array" ref="BG24">IF(AS24="","",IF((IFERROR(_xlfn.IFS($BB24="Devis 1",(IFERROR(VALUE(TRIM(SUBSTITUTE(AS24,CHAR(160),""))),0)),$BB24="Devis 2",(IFERROR(VALUE(TRIM(SUBSTITUTE(AV24,CHAR(160),""))),0)),$BB24="Devis 3",(IFERROR(VALUE(TRIM(SUBSTITUTE(AY24,CHAR(160),""))),0))),0))=0,"",(IFERROR(_xlfn.IFS($BB24="Devis 1",(IFERROR(VALUE(TRIM(SUBSTITUTE(AS24,CHAR(160),""))),0)),$BB24="Devis 2",(IFERROR(VALUE(TRIM(SUBSTITUTE(AV24,CHAR(160),""))),0)),$BB24="Devis 3",(IFERROR(VALUE(TRIM(SUBSTITUTE(AY24,CHAR(160),""))),0))),0))))</f>
        <v/>
      </c>
      <c r="BH24" s="392" t="str" cm="1">
        <f t="array" ref="BH24">IF(AT24="","",IF((IFERROR(_xlfn.IFS($BB24="Devis 1",(IFERROR(VALUE(TRIM(SUBSTITUTE(AT24,CHAR(160),""))),0)),$BB24="Devis 2",(IFERROR(VALUE(TRIM(SUBSTITUTE(AW24,CHAR(160),""))),0)),$BB24="Devis 3",(IFERROR(VALUE(TRIM(SUBSTITUTE(AZ24,CHAR(160),""))),0))),0))=0,"",(IFERROR(_xlfn.IFS($BB24="Devis 1",(IFERROR(VALUE(TRIM(SUBSTITUTE(AT24,CHAR(160),""))),0)),$BB24="Devis 2",(IFERROR(VALUE(TRIM(SUBSTITUTE(AW24,CHAR(160),""))),0)),$BB24="Devis 3",(IFERROR(VALUE(TRIM(SUBSTITUTE(AZ24,CHAR(160),""))),0))),0))))</f>
        <v/>
      </c>
      <c r="BI24" s="700" t="str" cm="1">
        <f t="array" ref="BI24">IF(AU24="","",IF(IFERROR(_xlfn.IFS($BB24="Devis 1",IFERROR(VALUE(TRIM(SUBSTITUTE(AU24,CHAR(160),""))),0),$BB24="Devis 2",IFERROR(VALUE(TRIM(SUBSTITUTE(AX24,CHAR(160),""))),0),$BB24="Devis 3",IFERROR(VALUE(TRIM(SUBSTITUTE(BA24,CHAR(160),""))),0)),0)=0,"",IFERROR(_xlfn.IFS($BB24="Devis 1",IFERROR(VALUE(TRIM(SUBSTITUTE(AU24,CHAR(160),""))),0),$BB24="Devis 2",IFERROR(VALUE(TRIM(SUBSTITUTE(AX24,CHAR(160),""))),0),$BB24="Devis 3",IFERROR(VALUE(TRIM(SUBSTITUTE(BA24,CHAR(160),""))),0)),0)))</f>
        <v/>
      </c>
      <c r="BJ24" s="739" t="str">
        <f t="shared" si="18"/>
        <v/>
      </c>
      <c r="BK24" s="740" t="str">
        <f t="shared" si="19"/>
        <v/>
      </c>
      <c r="BL24" s="741" t="str">
        <f t="shared" si="30"/>
        <v/>
      </c>
      <c r="BM24" s="741" t="str">
        <f t="shared" si="31"/>
        <v/>
      </c>
      <c r="BN24" s="741" t="str">
        <f t="shared" si="32"/>
        <v/>
      </c>
      <c r="BO24" s="741" t="str">
        <f t="shared" si="33"/>
        <v/>
      </c>
      <c r="BP24" s="711">
        <f t="shared" si="20"/>
        <v>0</v>
      </c>
      <c r="BQ24" s="372" t="str">
        <f t="shared" si="34"/>
        <v/>
      </c>
      <c r="BR24" s="718"/>
      <c r="BS24" s="393" t="str" cm="1">
        <f t="array" ref="BS24">IF(OR(BI24="",BF24="",BG24="",BD24="",BH24="",BE24=""),"",_xlfn.IFS((IFERROR(VALUE(TRIM(SUBSTITUTE(BI24,CHAR(160),""))),0))&gt;(IFERROR(VALUE(TRIM(SUBSTITUTE(BF24,CHAR(160),""))),0)),"KO : Le montant retenu TTC est supérieur au montant raisonnable TTC. Merci de revoir la ligne de dépense ou plafonner son montant.",(IFERROR(VALUE(TRIM(SUBSTITUTE(BG24,CHAR(160),""))),0))&gt;(IFERROR(VALUE(TRIM(SUBSTITUTE(BD24,CHAR(160),""))),0)),"Attention : Le montant retenu HT est supérieur au montant HT raisonnable. Merci de revoir la ligne de dépense, plafonner son montant, ou justifier la reventillation HT / TVA.",(IFERROR(VALUE(TRIM(SUBSTITUTE(BH24,CHAR(160),""))),0))&gt;(IFERROR(VALUE(TRIM(SUBSTITUTE(BE24,CHAR(160),""))),0)),"Attention : Le montant TVA retenu est supérieur au montant TVA raisonnable. Merci de revoir la ligne de dépense, plafonner son montant, ou justifier la reventillation HT / TVA.",(IFERROR(VALUE(TRIM(SUBSTITUTE(BI24,CHAR(160),""))),0))=0,"",(IFERROR(VALUE(TRIM(SUBSTITUTE(BF24,CHAR(160),""))),0))=(IFERROR(VALUE(TRIM(SUBSTITUTE(BI24,CHAR(160),""))),0)),"OK",(IFERROR(VALUE(TRIM(SUBSTITUTE(BF24,CHAR(160),""))),0))&gt;(IFERROR(VALUE(TRIM(SUBSTITUTE(BI24,CHAR(160),""))),0))," OK : Montant instruit inférieur au montant raisonnable.",TRUE,""))</f>
        <v/>
      </c>
      <c r="BT24" s="394" t="str" cm="1">
        <f t="array" ref="BT24">IF(OR(BI24="",X24="",BG24="",V24="",BH24="",W24=""),"",_xlfn.IFS((IFERROR(VALUE(TRIM(SUBSTITUTE(BI24,CHAR(160),""))),0))=0,"Attention : montant présenté entièrement écarté",(IFERROR(VALUE(TRIM(SUBSTITUTE(BI24,CHAR(160),""))),0))&gt;(IFERROR(VALUE(TRIM(SUBSTITUTE(X24,CHAR(160),""))),0)),"KO : Le montant retenu TTC est supérieur au montant présenté TTC. Merci de revoir la ligne de dépense ou plafonner son montant.",(IFERROR(VALUE(TRIM(SUBSTITUTE(BG24,CHAR(160),""))),0))&gt;(IFERROR(VALUE(TRIM(SUBSTITUTE(V24,CHAR(160),""))),0)),"Attention : Le montant retenu HT est supérieur au montant HT présenté. Merci de revoir la ligne de dépense,plafonner son montant,ou justifier la reventillation HT/TVA.",(IFERROR(VALUE(TRIM(SUBSTITUTE(BH24,CHAR(160),""))),0))&gt;(IFERROR(VALUE(TRIM(SUBSTITUTE(W24,CHAR(160),""))),0)),"Attention : Le montant TVA retenu est supérieur au montant TVA présenté. Merci de revoir la ligne de dépense,plafonner son montant,ou justifier la reventillation HT/TVA.",(IFERROR(VALUE(TRIM(SUBSTITUTE(X24,CHAR(160),""))),0))=0,"Attention : montant présenté entièrement écarté",(IFERROR(VALUE(TRIM(SUBSTITUTE(BI24,CHAR(160),""))),0))=(IFERROR(VALUE(TRIM(SUBSTITUTE(X24,CHAR(160),""))),0)),"OK",
  AND((IFERROR(VALUE(TRIM(SUBSTITUTE(BI24,CHAR(160),""))),0))&lt;(IFERROR(VALUE(TRIM(SUBSTITUTE(X24,CHAR(160),""))),0)),((IFERROR(VALUE(TRIM(SUBSTITUTE(X24,CHAR(160),""))),0))-(IFERROR(VALUE(TRIM(SUBSTITUTE(BI24,CHAR(160),""))),0)))&lt;0.01),"OK",(IFERROR(VALUE(TRIM(SUBSTITUTE(BI24,CHAR(160),""))),0))&lt;(IFERROR(VALUE(TRIM(SUBSTITUTE(X24,CHAR(160),""))),0)),"Attention : Montant présenté partiellement écarté.",
  TRUE,""))</f>
        <v/>
      </c>
      <c r="BU24" s="373" t="str" cm="1">
        <f t="array" ref="BU24">IF(OR(AF24="",BP24=""),"",_xlfn.IFS((IFERROR(VALUE(TRIM(SUBSTITUTE(BP24,CHAR(160),""))),0))&gt;(IFERROR(VALUE(TRIM(SUBSTITUTE(AF24,CHAR(160),""))),0)),"KO : Le montant retenu est supérieur au montant présenté. Merci de revoir la ligne de contribution ou plafonner son montant.",(IFERROR(VALUE(TRIM(SUBSTITUTE(AF24,CHAR(160),""))),0))=0,"Attention : montant présenté entièrement écarté",(IFERROR(VALUE(TRIM(SUBSTITUTE(BP24,CHAR(160),""))),0))=(IFERROR(VALUE(TRIM(SUBSTITUTE(AF24,CHAR(160),""))),0)),"OK",(IFERROR(VALUE(TRIM(SUBSTITUTE(BP24,CHAR(160),""))),0))&lt;(IFERROR(VALUE(TRIM(SUBSTITUTE(AF24,CHAR(160),""))),0)),"Attention : montant présenté partiellement écarté.",TRUE,""))</f>
        <v>Attention : montant présenté entièrement écarté</v>
      </c>
      <c r="BV24" s="395" t="str">
        <f t="shared" si="21"/>
        <v/>
      </c>
      <c r="BW24" s="396" t="str">
        <f t="shared" si="22"/>
        <v/>
      </c>
      <c r="BX24" s="397" t="str">
        <f t="shared" si="23"/>
        <v/>
      </c>
    </row>
    <row r="25" spans="1:76" ht="14.25" customHeight="1">
      <c r="A25" s="375">
        <v>16</v>
      </c>
      <c r="B25" s="333"/>
      <c r="C25" s="333"/>
      <c r="D25" s="333"/>
      <c r="E25" s="377"/>
      <c r="F25" s="376"/>
      <c r="G25" s="376"/>
      <c r="H25" s="400"/>
      <c r="I25" s="400"/>
      <c r="J25" s="400"/>
      <c r="K25" s="612"/>
      <c r="L25" s="613"/>
      <c r="M25" s="613"/>
      <c r="N25" s="395" t="str">
        <f t="shared" si="35"/>
        <v/>
      </c>
      <c r="O25" s="613"/>
      <c r="P25" s="613"/>
      <c r="Q25" s="610" t="str">
        <f t="shared" si="0"/>
        <v/>
      </c>
      <c r="R25" s="613"/>
      <c r="S25" s="613"/>
      <c r="T25" s="610" t="str">
        <f t="shared" si="1"/>
        <v/>
      </c>
      <c r="U25" s="611"/>
      <c r="V25" s="395" t="str" cm="1">
        <f t="array" ref="V25">IF((_xlfn.IFS(TRIM(SUBSTITUTE(U25,CHAR(160),""))="Devis 1",IFERROR(VALUE(TRIM(SUBSTITUTE(L25,CHAR(160),""))),0),TRIM(SUBSTITUTE(U25,CHAR(160),""))="Devis 2",IFERROR(VALUE(TRIM(SUBSTITUTE(O25,CHAR(160),""))),0),TRIM(SUBSTITUTE(U25,CHAR(160),""))="Devis 3",IFERROR(VALUE(TRIM(SUBSTITUTE(R25,CHAR(160),""))),0),TRUE,0))=0,"",_xlfn.IFS(TRIM(SUBSTITUTE(U25,CHAR(160),""))="Devis 1",IFERROR(VALUE(TRIM(SUBSTITUTE(L25,CHAR(160),""))),0),TRIM(SUBSTITUTE(U25,CHAR(160),""))="Devis 2",IFERROR(VALUE(TRIM(SUBSTITUTE(O25,CHAR(160),""))),0),TRIM(SUBSTITUTE(U25,CHAR(160),""))="Devis 3",IFERROR(VALUE(TRIM(SUBSTITUTE(R25,CHAR(160),""))),0),TRUE,0))</f>
        <v/>
      </c>
      <c r="W25" s="396" t="str" cm="1">
        <f t="array" ref="W25">IF((_xlfn.IFS(TRIM(SUBSTITUTE(U25,CHAR(160),""))="Devis 1",IFERROR(VALUE(TRIM(SUBSTITUTE(M25,CHAR(160),""))),0),TRIM(SUBSTITUTE(U25,CHAR(160),""))="Devis 2",IFERROR(VALUE(TRIM(SUBSTITUTE(P25,CHAR(160),""))),0),TRIM(SUBSTITUTE(U25,CHAR(160),""))="Devis 3",IFERROR(VALUE(TRIM(SUBSTITUTE(S25,CHAR(160),""))),0),TRUE,0))=0,"",_xlfn.IFS(TRIM(SUBSTITUTE(U25,CHAR(160),""))="Devis 1",IFERROR(VALUE(TRIM(SUBSTITUTE(M25,CHAR(160),""))),0),TRIM(SUBSTITUTE(U25,CHAR(160),""))="Devis 2",IFERROR(VALUE(TRIM(SUBSTITUTE(P25,CHAR(160),""))),0),TRIM(SUBSTITUTE(U25,CHAR(160),""))="Devis 3",IFERROR(VALUE(TRIM(SUBSTITUTE(S25,CHAR(160),""))),0),TRUE,0))</f>
        <v/>
      </c>
      <c r="X25" s="926" t="str" cm="1">
        <f t="array" ref="X25">IF((_xlfn.IFS(TRIM(SUBSTITUTE(U25,CHAR(160),""))="Devis 1",IFERROR(VALUE(TRIM(SUBSTITUTE(N25,CHAR(160),""))),0),TRIM(SUBSTITUTE(U25,CHAR(160),""))="Devis 2",IFERROR(VALUE(TRIM(SUBSTITUTE(Q25,CHAR(160),""))),0),TRIM(SUBSTITUTE(U25,CHAR(160),""))="Devis 3",IFERROR(VALUE(TRIM(SUBSTITUTE(T25,CHAR(160),""))),0),TRUE,0))=0,"",_xlfn.IFS(TRIM(SUBSTITUTE(U25,CHAR(160),""))="Devis 1",IFERROR(VALUE(TRIM(SUBSTITUTE(N25,CHAR(160),""))),0),TRIM(SUBSTITUTE(U25,CHAR(160),""))="Devis 2",IFERROR(VALUE(TRIM(SUBSTITUTE(Q25,CHAR(160),""))),0),TRIM(SUBSTITUTE(U25,CHAR(160),""))="Devis 3",IFERROR(VALUE(TRIM(SUBSTITUTE(T25,CHAR(160),""))),0),TRUE,0))</f>
        <v/>
      </c>
      <c r="Y25" s="933"/>
      <c r="Z25" s="929"/>
      <c r="AA25" s="935" t="str">
        <f t="shared" si="24"/>
        <v/>
      </c>
      <c r="AB25" s="934" t="str" cm="1">
        <f t="array" ref="AB25">IF(Y25="","",_xlfn.IFS(Y25=$CB$6,70,Y25=$CB$7,90,Y25=$CB$8,70,Y25=$CB$9,90,Y25=$CB$10,110))</f>
        <v/>
      </c>
      <c r="AC25" s="379"/>
      <c r="AD25" s="934" t="str" cm="1">
        <f t="array" ref="AD25">IF(Y25="","",_xlfn.IFS(Y25=$CB$6,15.75,Y25=$CB$7,21,Y25=$CB$8,15.25,Y25=$CB$9,15.25,Y25=$CB$10,15.25))</f>
        <v/>
      </c>
      <c r="AE25" s="380"/>
      <c r="AF25" s="936">
        <f t="shared" si="25"/>
        <v>0</v>
      </c>
      <c r="AG25" s="381" t="str">
        <f t="shared" si="26"/>
        <v/>
      </c>
      <c r="AH25" s="398"/>
      <c r="AI25" s="383" t="str">
        <f t="shared" si="2"/>
        <v/>
      </c>
      <c r="AJ25" s="384" t="str">
        <f t="shared" si="3"/>
        <v/>
      </c>
      <c r="AK25" s="384" t="str">
        <f t="shared" si="4"/>
        <v/>
      </c>
      <c r="AL25" s="377"/>
      <c r="AM25" s="385" t="str">
        <f t="shared" si="5"/>
        <v/>
      </c>
      <c r="AN25" s="384" t="str">
        <f t="shared" si="6"/>
        <v/>
      </c>
      <c r="AO25" s="384" t="str">
        <f t="shared" si="7"/>
        <v/>
      </c>
      <c r="AP25" s="384" t="str">
        <f t="shared" si="8"/>
        <v/>
      </c>
      <c r="AQ25" s="384" t="str">
        <f t="shared" si="9"/>
        <v/>
      </c>
      <c r="AR25" s="384" t="str">
        <f t="shared" si="10"/>
        <v/>
      </c>
      <c r="AS25" s="386" t="str">
        <f t="shared" si="11"/>
        <v/>
      </c>
      <c r="AT25" s="387" t="str">
        <f t="shared" si="12"/>
        <v/>
      </c>
      <c r="AU25" s="388" t="str">
        <f t="shared" si="36"/>
        <v/>
      </c>
      <c r="AV25" s="387" t="str">
        <f t="shared" si="13"/>
        <v/>
      </c>
      <c r="AW25" s="387" t="str">
        <f t="shared" si="14"/>
        <v/>
      </c>
      <c r="AX25" s="389" t="str">
        <f t="shared" si="27"/>
        <v/>
      </c>
      <c r="AY25" s="387" t="str">
        <f t="shared" si="15"/>
        <v/>
      </c>
      <c r="AZ25" s="387" t="str">
        <f t="shared" si="16"/>
        <v/>
      </c>
      <c r="BA25" s="389" t="str">
        <f t="shared" si="28"/>
        <v/>
      </c>
      <c r="BB25" s="390" t="str">
        <f t="shared" si="17"/>
        <v/>
      </c>
      <c r="BC25" s="391"/>
      <c r="BD25" s="390" t="str">
        <f t="shared" si="29"/>
        <v/>
      </c>
      <c r="BE25" s="390" t="str">
        <f t="shared" si="29"/>
        <v/>
      </c>
      <c r="BF25" s="390" t="str">
        <f t="shared" si="37"/>
        <v/>
      </c>
      <c r="BG25" s="392" t="str" cm="1">
        <f t="array" ref="BG25">IF(AS25="","",IF((IFERROR(_xlfn.IFS($BB25="Devis 1",(IFERROR(VALUE(TRIM(SUBSTITUTE(AS25,CHAR(160),""))),0)),$BB25="Devis 2",(IFERROR(VALUE(TRIM(SUBSTITUTE(AV25,CHAR(160),""))),0)),$BB25="Devis 3",(IFERROR(VALUE(TRIM(SUBSTITUTE(AY25,CHAR(160),""))),0))),0))=0,"",(IFERROR(_xlfn.IFS($BB25="Devis 1",(IFERROR(VALUE(TRIM(SUBSTITUTE(AS25,CHAR(160),""))),0)),$BB25="Devis 2",(IFERROR(VALUE(TRIM(SUBSTITUTE(AV25,CHAR(160),""))),0)),$BB25="Devis 3",(IFERROR(VALUE(TRIM(SUBSTITUTE(AY25,CHAR(160),""))),0))),0))))</f>
        <v/>
      </c>
      <c r="BH25" s="392" t="str" cm="1">
        <f t="array" ref="BH25">IF(AT25="","",IF((IFERROR(_xlfn.IFS($BB25="Devis 1",(IFERROR(VALUE(TRIM(SUBSTITUTE(AT25,CHAR(160),""))),0)),$BB25="Devis 2",(IFERROR(VALUE(TRIM(SUBSTITUTE(AW25,CHAR(160),""))),0)),$BB25="Devis 3",(IFERROR(VALUE(TRIM(SUBSTITUTE(AZ25,CHAR(160),""))),0))),0))=0,"",(IFERROR(_xlfn.IFS($BB25="Devis 1",(IFERROR(VALUE(TRIM(SUBSTITUTE(AT25,CHAR(160),""))),0)),$BB25="Devis 2",(IFERROR(VALUE(TRIM(SUBSTITUTE(AW25,CHAR(160),""))),0)),$BB25="Devis 3",(IFERROR(VALUE(TRIM(SUBSTITUTE(AZ25,CHAR(160),""))),0))),0))))</f>
        <v/>
      </c>
      <c r="BI25" s="700" t="str" cm="1">
        <f t="array" ref="BI25">IF(AU25="","",IF(IFERROR(_xlfn.IFS($BB25="Devis 1",IFERROR(VALUE(TRIM(SUBSTITUTE(AU25,CHAR(160),""))),0),$BB25="Devis 2",IFERROR(VALUE(TRIM(SUBSTITUTE(AX25,CHAR(160),""))),0),$BB25="Devis 3",IFERROR(VALUE(TRIM(SUBSTITUTE(BA25,CHAR(160),""))),0)),0)=0,"",IFERROR(_xlfn.IFS($BB25="Devis 1",IFERROR(VALUE(TRIM(SUBSTITUTE(AU25,CHAR(160),""))),0),$BB25="Devis 2",IFERROR(VALUE(TRIM(SUBSTITUTE(AX25,CHAR(160),""))),0),$BB25="Devis 3",IFERROR(VALUE(TRIM(SUBSTITUTE(BA25,CHAR(160),""))),0)),0)))</f>
        <v/>
      </c>
      <c r="BJ25" s="739" t="str">
        <f t="shared" si="18"/>
        <v/>
      </c>
      <c r="BK25" s="740" t="str">
        <f t="shared" si="19"/>
        <v/>
      </c>
      <c r="BL25" s="741" t="str">
        <f t="shared" si="30"/>
        <v/>
      </c>
      <c r="BM25" s="741" t="str">
        <f t="shared" si="31"/>
        <v/>
      </c>
      <c r="BN25" s="741" t="str">
        <f t="shared" si="32"/>
        <v/>
      </c>
      <c r="BO25" s="741" t="str">
        <f t="shared" si="33"/>
        <v/>
      </c>
      <c r="BP25" s="711">
        <f t="shared" si="20"/>
        <v>0</v>
      </c>
      <c r="BQ25" s="372" t="str">
        <f t="shared" si="34"/>
        <v/>
      </c>
      <c r="BR25" s="718"/>
      <c r="BS25" s="393" t="str" cm="1">
        <f t="array" ref="BS25">IF(OR(BI25="",BF25="",BG25="",BD25="",BH25="",BE25=""),"",_xlfn.IFS((IFERROR(VALUE(TRIM(SUBSTITUTE(BI25,CHAR(160),""))),0))&gt;(IFERROR(VALUE(TRIM(SUBSTITUTE(BF25,CHAR(160),""))),0)),"KO : Le montant retenu TTC est supérieur au montant raisonnable TTC. Merci de revoir la ligne de dépense ou plafonner son montant.",(IFERROR(VALUE(TRIM(SUBSTITUTE(BG25,CHAR(160),""))),0))&gt;(IFERROR(VALUE(TRIM(SUBSTITUTE(BD25,CHAR(160),""))),0)),"Attention : Le montant retenu HT est supérieur au montant HT raisonnable. Merci de revoir la ligne de dépense, plafonner son montant, ou justifier la reventillation HT / TVA.",(IFERROR(VALUE(TRIM(SUBSTITUTE(BH25,CHAR(160),""))),0))&gt;(IFERROR(VALUE(TRIM(SUBSTITUTE(BE25,CHAR(160),""))),0)),"Attention : Le montant TVA retenu est supérieur au montant TVA raisonnable. Merci de revoir la ligne de dépense, plafonner son montant, ou justifier la reventillation HT / TVA.",(IFERROR(VALUE(TRIM(SUBSTITUTE(BI25,CHAR(160),""))),0))=0,"",(IFERROR(VALUE(TRIM(SUBSTITUTE(BF25,CHAR(160),""))),0))=(IFERROR(VALUE(TRIM(SUBSTITUTE(BI25,CHAR(160),""))),0)),"OK",(IFERROR(VALUE(TRIM(SUBSTITUTE(BF25,CHAR(160),""))),0))&gt;(IFERROR(VALUE(TRIM(SUBSTITUTE(BI25,CHAR(160),""))),0))," OK : Montant instruit inférieur au montant raisonnable.",TRUE,""))</f>
        <v/>
      </c>
      <c r="BT25" s="394" t="str" cm="1">
        <f t="array" ref="BT25">IF(OR(BI25="",X25="",BG25="",V25="",BH25="",W25=""),"",_xlfn.IFS((IFERROR(VALUE(TRIM(SUBSTITUTE(BI25,CHAR(160),""))),0))=0,"Attention : montant présenté entièrement écarté",(IFERROR(VALUE(TRIM(SUBSTITUTE(BI25,CHAR(160),""))),0))&gt;(IFERROR(VALUE(TRIM(SUBSTITUTE(X25,CHAR(160),""))),0)),"KO : Le montant retenu TTC est supérieur au montant présenté TTC. Merci de revoir la ligne de dépense ou plafonner son montant.",(IFERROR(VALUE(TRIM(SUBSTITUTE(BG25,CHAR(160),""))),0))&gt;(IFERROR(VALUE(TRIM(SUBSTITUTE(V25,CHAR(160),""))),0)),"Attention : Le montant retenu HT est supérieur au montant HT présenté. Merci de revoir la ligne de dépense,plafonner son montant,ou justifier la reventillation HT/TVA.",(IFERROR(VALUE(TRIM(SUBSTITUTE(BH25,CHAR(160),""))),0))&gt;(IFERROR(VALUE(TRIM(SUBSTITUTE(W25,CHAR(160),""))),0)),"Attention : Le montant TVA retenu est supérieur au montant TVA présenté. Merci de revoir la ligne de dépense,plafonner son montant,ou justifier la reventillation HT/TVA.",(IFERROR(VALUE(TRIM(SUBSTITUTE(X25,CHAR(160),""))),0))=0,"Attention : montant présenté entièrement écarté",(IFERROR(VALUE(TRIM(SUBSTITUTE(BI25,CHAR(160),""))),0))=(IFERROR(VALUE(TRIM(SUBSTITUTE(X25,CHAR(160),""))),0)),"OK",
  AND((IFERROR(VALUE(TRIM(SUBSTITUTE(BI25,CHAR(160),""))),0))&lt;(IFERROR(VALUE(TRIM(SUBSTITUTE(X25,CHAR(160),""))),0)),((IFERROR(VALUE(TRIM(SUBSTITUTE(X25,CHAR(160),""))),0))-(IFERROR(VALUE(TRIM(SUBSTITUTE(BI25,CHAR(160),""))),0)))&lt;0.01),"OK",(IFERROR(VALUE(TRIM(SUBSTITUTE(BI25,CHAR(160),""))),0))&lt;(IFERROR(VALUE(TRIM(SUBSTITUTE(X25,CHAR(160),""))),0)),"Attention : Montant présenté partiellement écarté.",
  TRUE,""))</f>
        <v/>
      </c>
      <c r="BU25" s="373" t="str" cm="1">
        <f t="array" ref="BU25">IF(OR(AF25="",BP25=""),"",_xlfn.IFS((IFERROR(VALUE(TRIM(SUBSTITUTE(BP25,CHAR(160),""))),0))&gt;(IFERROR(VALUE(TRIM(SUBSTITUTE(AF25,CHAR(160),""))),0)),"KO : Le montant retenu est supérieur au montant présenté. Merci de revoir la ligne de contribution ou plafonner son montant.",(IFERROR(VALUE(TRIM(SUBSTITUTE(AF25,CHAR(160),""))),0))=0,"Attention : montant présenté entièrement écarté",(IFERROR(VALUE(TRIM(SUBSTITUTE(BP25,CHAR(160),""))),0))=(IFERROR(VALUE(TRIM(SUBSTITUTE(AF25,CHAR(160),""))),0)),"OK",(IFERROR(VALUE(TRIM(SUBSTITUTE(BP25,CHAR(160),""))),0))&lt;(IFERROR(VALUE(TRIM(SUBSTITUTE(AF25,CHAR(160),""))),0)),"Attention : montant présenté partiellement écarté.",TRUE,""))</f>
        <v>Attention : montant présenté entièrement écarté</v>
      </c>
      <c r="BV25" s="395" t="str">
        <f t="shared" si="21"/>
        <v/>
      </c>
      <c r="BW25" s="396" t="str">
        <f t="shared" si="22"/>
        <v/>
      </c>
      <c r="BX25" s="397" t="str">
        <f t="shared" si="23"/>
        <v/>
      </c>
    </row>
    <row r="26" spans="1:76" ht="14.25" customHeight="1">
      <c r="A26" s="375">
        <v>17</v>
      </c>
      <c r="B26" s="333"/>
      <c r="C26" s="333"/>
      <c r="D26" s="333"/>
      <c r="E26" s="377"/>
      <c r="F26" s="376"/>
      <c r="G26" s="376"/>
      <c r="H26" s="400"/>
      <c r="I26" s="400"/>
      <c r="J26" s="400"/>
      <c r="K26" s="612"/>
      <c r="L26" s="613"/>
      <c r="M26" s="613"/>
      <c r="N26" s="395" t="str">
        <f t="shared" si="35"/>
        <v/>
      </c>
      <c r="O26" s="613"/>
      <c r="P26" s="613"/>
      <c r="Q26" s="610" t="str">
        <f t="shared" si="0"/>
        <v/>
      </c>
      <c r="R26" s="613"/>
      <c r="S26" s="613"/>
      <c r="T26" s="610" t="str">
        <f t="shared" si="1"/>
        <v/>
      </c>
      <c r="U26" s="611"/>
      <c r="V26" s="395" t="str" cm="1">
        <f t="array" ref="V26">IF((_xlfn.IFS(TRIM(SUBSTITUTE(U26,CHAR(160),""))="Devis 1",IFERROR(VALUE(TRIM(SUBSTITUTE(L26,CHAR(160),""))),0),TRIM(SUBSTITUTE(U26,CHAR(160),""))="Devis 2",IFERROR(VALUE(TRIM(SUBSTITUTE(O26,CHAR(160),""))),0),TRIM(SUBSTITUTE(U26,CHAR(160),""))="Devis 3",IFERROR(VALUE(TRIM(SUBSTITUTE(R26,CHAR(160),""))),0),TRUE,0))=0,"",_xlfn.IFS(TRIM(SUBSTITUTE(U26,CHAR(160),""))="Devis 1",IFERROR(VALUE(TRIM(SUBSTITUTE(L26,CHAR(160),""))),0),TRIM(SUBSTITUTE(U26,CHAR(160),""))="Devis 2",IFERROR(VALUE(TRIM(SUBSTITUTE(O26,CHAR(160),""))),0),TRIM(SUBSTITUTE(U26,CHAR(160),""))="Devis 3",IFERROR(VALUE(TRIM(SUBSTITUTE(R26,CHAR(160),""))),0),TRUE,0))</f>
        <v/>
      </c>
      <c r="W26" s="396" t="str" cm="1">
        <f t="array" ref="W26">IF((_xlfn.IFS(TRIM(SUBSTITUTE(U26,CHAR(160),""))="Devis 1",IFERROR(VALUE(TRIM(SUBSTITUTE(M26,CHAR(160),""))),0),TRIM(SUBSTITUTE(U26,CHAR(160),""))="Devis 2",IFERROR(VALUE(TRIM(SUBSTITUTE(P26,CHAR(160),""))),0),TRIM(SUBSTITUTE(U26,CHAR(160),""))="Devis 3",IFERROR(VALUE(TRIM(SUBSTITUTE(S26,CHAR(160),""))),0),TRUE,0))=0,"",_xlfn.IFS(TRIM(SUBSTITUTE(U26,CHAR(160),""))="Devis 1",IFERROR(VALUE(TRIM(SUBSTITUTE(M26,CHAR(160),""))),0),TRIM(SUBSTITUTE(U26,CHAR(160),""))="Devis 2",IFERROR(VALUE(TRIM(SUBSTITUTE(P26,CHAR(160),""))),0),TRIM(SUBSTITUTE(U26,CHAR(160),""))="Devis 3",IFERROR(VALUE(TRIM(SUBSTITUTE(S26,CHAR(160),""))),0),TRUE,0))</f>
        <v/>
      </c>
      <c r="X26" s="926" t="str" cm="1">
        <f t="array" ref="X26">IF((_xlfn.IFS(TRIM(SUBSTITUTE(U26,CHAR(160),""))="Devis 1",IFERROR(VALUE(TRIM(SUBSTITUTE(N26,CHAR(160),""))),0),TRIM(SUBSTITUTE(U26,CHAR(160),""))="Devis 2",IFERROR(VALUE(TRIM(SUBSTITUTE(Q26,CHAR(160),""))),0),TRIM(SUBSTITUTE(U26,CHAR(160),""))="Devis 3",IFERROR(VALUE(TRIM(SUBSTITUTE(T26,CHAR(160),""))),0),TRUE,0))=0,"",_xlfn.IFS(TRIM(SUBSTITUTE(U26,CHAR(160),""))="Devis 1",IFERROR(VALUE(TRIM(SUBSTITUTE(N26,CHAR(160),""))),0),TRIM(SUBSTITUTE(U26,CHAR(160),""))="Devis 2",IFERROR(VALUE(TRIM(SUBSTITUTE(Q26,CHAR(160),""))),0),TRIM(SUBSTITUTE(U26,CHAR(160),""))="Devis 3",IFERROR(VALUE(TRIM(SUBSTITUTE(T26,CHAR(160),""))),0),TRUE,0))</f>
        <v/>
      </c>
      <c r="Y26" s="933"/>
      <c r="Z26" s="929"/>
      <c r="AA26" s="935" t="str">
        <f t="shared" si="24"/>
        <v/>
      </c>
      <c r="AB26" s="934" t="str" cm="1">
        <f t="array" ref="AB26">IF(Y26="","",_xlfn.IFS(Y26=$CB$6,70,Y26=$CB$7,90,Y26=$CB$8,70,Y26=$CB$9,90,Y26=$CB$10,110))</f>
        <v/>
      </c>
      <c r="AC26" s="379"/>
      <c r="AD26" s="934" t="str" cm="1">
        <f t="array" ref="AD26">IF(Y26="","",_xlfn.IFS(Y26=$CB$6,15.75,Y26=$CB$7,21,Y26=$CB$8,15.25,Y26=$CB$9,15.25,Y26=$CB$10,15.25))</f>
        <v/>
      </c>
      <c r="AE26" s="380"/>
      <c r="AF26" s="936">
        <f t="shared" si="25"/>
        <v>0</v>
      </c>
      <c r="AG26" s="381" t="str">
        <f t="shared" si="26"/>
        <v/>
      </c>
      <c r="AH26" s="398"/>
      <c r="AI26" s="383" t="str">
        <f t="shared" si="2"/>
        <v/>
      </c>
      <c r="AJ26" s="384" t="str">
        <f t="shared" si="3"/>
        <v/>
      </c>
      <c r="AK26" s="384" t="str">
        <f t="shared" si="4"/>
        <v/>
      </c>
      <c r="AL26" s="377"/>
      <c r="AM26" s="385" t="str">
        <f t="shared" si="5"/>
        <v/>
      </c>
      <c r="AN26" s="384" t="str">
        <f t="shared" si="6"/>
        <v/>
      </c>
      <c r="AO26" s="384" t="str">
        <f t="shared" si="7"/>
        <v/>
      </c>
      <c r="AP26" s="384" t="str">
        <f t="shared" si="8"/>
        <v/>
      </c>
      <c r="AQ26" s="384" t="str">
        <f t="shared" si="9"/>
        <v/>
      </c>
      <c r="AR26" s="384" t="str">
        <f t="shared" si="10"/>
        <v/>
      </c>
      <c r="AS26" s="386" t="str">
        <f t="shared" si="11"/>
        <v/>
      </c>
      <c r="AT26" s="387" t="str">
        <f t="shared" si="12"/>
        <v/>
      </c>
      <c r="AU26" s="388" t="str">
        <f t="shared" si="36"/>
        <v/>
      </c>
      <c r="AV26" s="387" t="str">
        <f t="shared" si="13"/>
        <v/>
      </c>
      <c r="AW26" s="387" t="str">
        <f t="shared" si="14"/>
        <v/>
      </c>
      <c r="AX26" s="389" t="str">
        <f t="shared" si="27"/>
        <v/>
      </c>
      <c r="AY26" s="387" t="str">
        <f t="shared" si="15"/>
        <v/>
      </c>
      <c r="AZ26" s="387" t="str">
        <f t="shared" si="16"/>
        <v/>
      </c>
      <c r="BA26" s="389" t="str">
        <f t="shared" si="28"/>
        <v/>
      </c>
      <c r="BB26" s="390" t="str">
        <f t="shared" si="17"/>
        <v/>
      </c>
      <c r="BC26" s="391"/>
      <c r="BD26" s="390" t="str">
        <f t="shared" si="29"/>
        <v/>
      </c>
      <c r="BE26" s="390" t="str">
        <f t="shared" si="29"/>
        <v/>
      </c>
      <c r="BF26" s="390" t="str">
        <f t="shared" si="37"/>
        <v/>
      </c>
      <c r="BG26" s="392" t="str" cm="1">
        <f t="array" ref="BG26">IF(AS26="","",IF((IFERROR(_xlfn.IFS($BB26="Devis 1",(IFERROR(VALUE(TRIM(SUBSTITUTE(AS26,CHAR(160),""))),0)),$BB26="Devis 2",(IFERROR(VALUE(TRIM(SUBSTITUTE(AV26,CHAR(160),""))),0)),$BB26="Devis 3",(IFERROR(VALUE(TRIM(SUBSTITUTE(AY26,CHAR(160),""))),0))),0))=0,"",(IFERROR(_xlfn.IFS($BB26="Devis 1",(IFERROR(VALUE(TRIM(SUBSTITUTE(AS26,CHAR(160),""))),0)),$BB26="Devis 2",(IFERROR(VALUE(TRIM(SUBSTITUTE(AV26,CHAR(160),""))),0)),$BB26="Devis 3",(IFERROR(VALUE(TRIM(SUBSTITUTE(AY26,CHAR(160),""))),0))),0))))</f>
        <v/>
      </c>
      <c r="BH26" s="392" t="str" cm="1">
        <f t="array" ref="BH26">IF(AT26="","",IF((IFERROR(_xlfn.IFS($BB26="Devis 1",(IFERROR(VALUE(TRIM(SUBSTITUTE(AT26,CHAR(160),""))),0)),$BB26="Devis 2",(IFERROR(VALUE(TRIM(SUBSTITUTE(AW26,CHAR(160),""))),0)),$BB26="Devis 3",(IFERROR(VALUE(TRIM(SUBSTITUTE(AZ26,CHAR(160),""))),0))),0))=0,"",(IFERROR(_xlfn.IFS($BB26="Devis 1",(IFERROR(VALUE(TRIM(SUBSTITUTE(AT26,CHAR(160),""))),0)),$BB26="Devis 2",(IFERROR(VALUE(TRIM(SUBSTITUTE(AW26,CHAR(160),""))),0)),$BB26="Devis 3",(IFERROR(VALUE(TRIM(SUBSTITUTE(AZ26,CHAR(160),""))),0))),0))))</f>
        <v/>
      </c>
      <c r="BI26" s="700" t="str" cm="1">
        <f t="array" ref="BI26">IF(AU26="","",IF(IFERROR(_xlfn.IFS($BB26="Devis 1",IFERROR(VALUE(TRIM(SUBSTITUTE(AU26,CHAR(160),""))),0),$BB26="Devis 2",IFERROR(VALUE(TRIM(SUBSTITUTE(AX26,CHAR(160),""))),0),$BB26="Devis 3",IFERROR(VALUE(TRIM(SUBSTITUTE(BA26,CHAR(160),""))),0)),0)=0,"",IFERROR(_xlfn.IFS($BB26="Devis 1",IFERROR(VALUE(TRIM(SUBSTITUTE(AU26,CHAR(160),""))),0),$BB26="Devis 2",IFERROR(VALUE(TRIM(SUBSTITUTE(AX26,CHAR(160),""))),0),$BB26="Devis 3",IFERROR(VALUE(TRIM(SUBSTITUTE(BA26,CHAR(160),""))),0)),0)))</f>
        <v/>
      </c>
      <c r="BJ26" s="739" t="str">
        <f t="shared" si="18"/>
        <v/>
      </c>
      <c r="BK26" s="740" t="str">
        <f t="shared" si="19"/>
        <v/>
      </c>
      <c r="BL26" s="741" t="str">
        <f t="shared" si="30"/>
        <v/>
      </c>
      <c r="BM26" s="741" t="str">
        <f t="shared" si="31"/>
        <v/>
      </c>
      <c r="BN26" s="741" t="str">
        <f t="shared" si="32"/>
        <v/>
      </c>
      <c r="BO26" s="741" t="str">
        <f t="shared" si="33"/>
        <v/>
      </c>
      <c r="BP26" s="711">
        <f t="shared" si="20"/>
        <v>0</v>
      </c>
      <c r="BQ26" s="372" t="str">
        <f t="shared" si="34"/>
        <v/>
      </c>
      <c r="BR26" s="718"/>
      <c r="BS26" s="393" t="str" cm="1">
        <f t="array" ref="BS26">IF(OR(BI26="",BF26="",BG26="",BD26="",BH26="",BE26=""),"",_xlfn.IFS((IFERROR(VALUE(TRIM(SUBSTITUTE(BI26,CHAR(160),""))),0))&gt;(IFERROR(VALUE(TRIM(SUBSTITUTE(BF26,CHAR(160),""))),0)),"KO : Le montant retenu TTC est supérieur au montant raisonnable TTC. Merci de revoir la ligne de dépense ou plafonner son montant.",(IFERROR(VALUE(TRIM(SUBSTITUTE(BG26,CHAR(160),""))),0))&gt;(IFERROR(VALUE(TRIM(SUBSTITUTE(BD26,CHAR(160),""))),0)),"Attention : Le montant retenu HT est supérieur au montant HT raisonnable. Merci de revoir la ligne de dépense, plafonner son montant, ou justifier la reventillation HT / TVA.",(IFERROR(VALUE(TRIM(SUBSTITUTE(BH26,CHAR(160),""))),0))&gt;(IFERROR(VALUE(TRIM(SUBSTITUTE(BE26,CHAR(160),""))),0)),"Attention : Le montant TVA retenu est supérieur au montant TVA raisonnable. Merci de revoir la ligne de dépense, plafonner son montant, ou justifier la reventillation HT / TVA.",(IFERROR(VALUE(TRIM(SUBSTITUTE(BI26,CHAR(160),""))),0))=0,"",(IFERROR(VALUE(TRIM(SUBSTITUTE(BF26,CHAR(160),""))),0))=(IFERROR(VALUE(TRIM(SUBSTITUTE(BI26,CHAR(160),""))),0)),"OK",(IFERROR(VALUE(TRIM(SUBSTITUTE(BF26,CHAR(160),""))),0))&gt;(IFERROR(VALUE(TRIM(SUBSTITUTE(BI26,CHAR(160),""))),0))," OK : Montant instruit inférieur au montant raisonnable.",TRUE,""))</f>
        <v/>
      </c>
      <c r="BT26" s="394" t="str" cm="1">
        <f t="array" ref="BT26">IF(OR(BI26="",X26="",BG26="",V26="",BH26="",W26=""),"",_xlfn.IFS((IFERROR(VALUE(TRIM(SUBSTITUTE(BI26,CHAR(160),""))),0))=0,"Attention : montant présenté entièrement écarté",(IFERROR(VALUE(TRIM(SUBSTITUTE(BI26,CHAR(160),""))),0))&gt;(IFERROR(VALUE(TRIM(SUBSTITUTE(X26,CHAR(160),""))),0)),"KO : Le montant retenu TTC est supérieur au montant présenté TTC. Merci de revoir la ligne de dépense ou plafonner son montant.",(IFERROR(VALUE(TRIM(SUBSTITUTE(BG26,CHAR(160),""))),0))&gt;(IFERROR(VALUE(TRIM(SUBSTITUTE(V26,CHAR(160),""))),0)),"Attention : Le montant retenu HT est supérieur au montant HT présenté. Merci de revoir la ligne de dépense,plafonner son montant,ou justifier la reventillation HT/TVA.",(IFERROR(VALUE(TRIM(SUBSTITUTE(BH26,CHAR(160),""))),0))&gt;(IFERROR(VALUE(TRIM(SUBSTITUTE(W26,CHAR(160),""))),0)),"Attention : Le montant TVA retenu est supérieur au montant TVA présenté. Merci de revoir la ligne de dépense,plafonner son montant,ou justifier la reventillation HT/TVA.",(IFERROR(VALUE(TRIM(SUBSTITUTE(X26,CHAR(160),""))),0))=0,"Attention : montant présenté entièrement écarté",(IFERROR(VALUE(TRIM(SUBSTITUTE(BI26,CHAR(160),""))),0))=(IFERROR(VALUE(TRIM(SUBSTITUTE(X26,CHAR(160),""))),0)),"OK",
  AND((IFERROR(VALUE(TRIM(SUBSTITUTE(BI26,CHAR(160),""))),0))&lt;(IFERROR(VALUE(TRIM(SUBSTITUTE(X26,CHAR(160),""))),0)),((IFERROR(VALUE(TRIM(SUBSTITUTE(X26,CHAR(160),""))),0))-(IFERROR(VALUE(TRIM(SUBSTITUTE(BI26,CHAR(160),""))),0)))&lt;0.01),"OK",(IFERROR(VALUE(TRIM(SUBSTITUTE(BI26,CHAR(160),""))),0))&lt;(IFERROR(VALUE(TRIM(SUBSTITUTE(X26,CHAR(160),""))),0)),"Attention : Montant présenté partiellement écarté.",
  TRUE,""))</f>
        <v/>
      </c>
      <c r="BU26" s="373" t="str" cm="1">
        <f t="array" ref="BU26">IF(OR(AF26="",BP26=""),"",_xlfn.IFS((IFERROR(VALUE(TRIM(SUBSTITUTE(BP26,CHAR(160),""))),0))&gt;(IFERROR(VALUE(TRIM(SUBSTITUTE(AF26,CHAR(160),""))),0)),"KO : Le montant retenu est supérieur au montant présenté. Merci de revoir la ligne de contribution ou plafonner son montant.",(IFERROR(VALUE(TRIM(SUBSTITUTE(AF26,CHAR(160),""))),0))=0,"Attention : montant présenté entièrement écarté",(IFERROR(VALUE(TRIM(SUBSTITUTE(BP26,CHAR(160),""))),0))=(IFERROR(VALUE(TRIM(SUBSTITUTE(AF26,CHAR(160),""))),0)),"OK",(IFERROR(VALUE(TRIM(SUBSTITUTE(BP26,CHAR(160),""))),0))&lt;(IFERROR(VALUE(TRIM(SUBSTITUTE(AF26,CHAR(160),""))),0)),"Attention : montant présenté partiellement écarté.",TRUE,""))</f>
        <v>Attention : montant présenté entièrement écarté</v>
      </c>
      <c r="BV26" s="395" t="str">
        <f t="shared" si="21"/>
        <v/>
      </c>
      <c r="BW26" s="396" t="str">
        <f t="shared" si="22"/>
        <v/>
      </c>
      <c r="BX26" s="397" t="str">
        <f t="shared" si="23"/>
        <v/>
      </c>
    </row>
    <row r="27" spans="1:76" ht="14.25" customHeight="1">
      <c r="A27" s="375">
        <v>18</v>
      </c>
      <c r="B27" s="333"/>
      <c r="C27" s="333"/>
      <c r="D27" s="333"/>
      <c r="E27" s="377"/>
      <c r="F27" s="376"/>
      <c r="G27" s="376"/>
      <c r="H27" s="400"/>
      <c r="I27" s="400"/>
      <c r="J27" s="400"/>
      <c r="K27" s="612"/>
      <c r="L27" s="613"/>
      <c r="M27" s="613"/>
      <c r="N27" s="395" t="str">
        <f t="shared" si="35"/>
        <v/>
      </c>
      <c r="O27" s="613"/>
      <c r="P27" s="613"/>
      <c r="Q27" s="610" t="str">
        <f t="shared" si="0"/>
        <v/>
      </c>
      <c r="R27" s="613"/>
      <c r="S27" s="613"/>
      <c r="T27" s="610" t="str">
        <f t="shared" si="1"/>
        <v/>
      </c>
      <c r="U27" s="611"/>
      <c r="V27" s="395" t="str" cm="1">
        <f t="array" ref="V27">IF((_xlfn.IFS(TRIM(SUBSTITUTE(U27,CHAR(160),""))="Devis 1",IFERROR(VALUE(TRIM(SUBSTITUTE(L27,CHAR(160),""))),0),TRIM(SUBSTITUTE(U27,CHAR(160),""))="Devis 2",IFERROR(VALUE(TRIM(SUBSTITUTE(O27,CHAR(160),""))),0),TRIM(SUBSTITUTE(U27,CHAR(160),""))="Devis 3",IFERROR(VALUE(TRIM(SUBSTITUTE(R27,CHAR(160),""))),0),TRUE,0))=0,"",_xlfn.IFS(TRIM(SUBSTITUTE(U27,CHAR(160),""))="Devis 1",IFERROR(VALUE(TRIM(SUBSTITUTE(L27,CHAR(160),""))),0),TRIM(SUBSTITUTE(U27,CHAR(160),""))="Devis 2",IFERROR(VALUE(TRIM(SUBSTITUTE(O27,CHAR(160),""))),0),TRIM(SUBSTITUTE(U27,CHAR(160),""))="Devis 3",IFERROR(VALUE(TRIM(SUBSTITUTE(R27,CHAR(160),""))),0),TRUE,0))</f>
        <v/>
      </c>
      <c r="W27" s="396" t="str" cm="1">
        <f t="array" ref="W27">IF((_xlfn.IFS(TRIM(SUBSTITUTE(U27,CHAR(160),""))="Devis 1",IFERROR(VALUE(TRIM(SUBSTITUTE(M27,CHAR(160),""))),0),TRIM(SUBSTITUTE(U27,CHAR(160),""))="Devis 2",IFERROR(VALUE(TRIM(SUBSTITUTE(P27,CHAR(160),""))),0),TRIM(SUBSTITUTE(U27,CHAR(160),""))="Devis 3",IFERROR(VALUE(TRIM(SUBSTITUTE(S27,CHAR(160),""))),0),TRUE,0))=0,"",_xlfn.IFS(TRIM(SUBSTITUTE(U27,CHAR(160),""))="Devis 1",IFERROR(VALUE(TRIM(SUBSTITUTE(M27,CHAR(160),""))),0),TRIM(SUBSTITUTE(U27,CHAR(160),""))="Devis 2",IFERROR(VALUE(TRIM(SUBSTITUTE(P27,CHAR(160),""))),0),TRIM(SUBSTITUTE(U27,CHAR(160),""))="Devis 3",IFERROR(VALUE(TRIM(SUBSTITUTE(S27,CHAR(160),""))),0),TRUE,0))</f>
        <v/>
      </c>
      <c r="X27" s="926" t="str" cm="1">
        <f t="array" ref="X27">IF((_xlfn.IFS(TRIM(SUBSTITUTE(U27,CHAR(160),""))="Devis 1",IFERROR(VALUE(TRIM(SUBSTITUTE(N27,CHAR(160),""))),0),TRIM(SUBSTITUTE(U27,CHAR(160),""))="Devis 2",IFERROR(VALUE(TRIM(SUBSTITUTE(Q27,CHAR(160),""))),0),TRIM(SUBSTITUTE(U27,CHAR(160),""))="Devis 3",IFERROR(VALUE(TRIM(SUBSTITUTE(T27,CHAR(160),""))),0),TRUE,0))=0,"",_xlfn.IFS(TRIM(SUBSTITUTE(U27,CHAR(160),""))="Devis 1",IFERROR(VALUE(TRIM(SUBSTITUTE(N27,CHAR(160),""))),0),TRIM(SUBSTITUTE(U27,CHAR(160),""))="Devis 2",IFERROR(VALUE(TRIM(SUBSTITUTE(Q27,CHAR(160),""))),0),TRIM(SUBSTITUTE(U27,CHAR(160),""))="Devis 3",IFERROR(VALUE(TRIM(SUBSTITUTE(T27,CHAR(160),""))),0),TRUE,0))</f>
        <v/>
      </c>
      <c r="Y27" s="933"/>
      <c r="Z27" s="929"/>
      <c r="AA27" s="935" t="str">
        <f t="shared" si="24"/>
        <v/>
      </c>
      <c r="AB27" s="934" t="str" cm="1">
        <f t="array" ref="AB27">IF(Y27="","",_xlfn.IFS(Y27=$CB$6,70,Y27=$CB$7,90,Y27=$CB$8,70,Y27=$CB$9,90,Y27=$CB$10,110))</f>
        <v/>
      </c>
      <c r="AC27" s="379"/>
      <c r="AD27" s="934" t="str" cm="1">
        <f t="array" ref="AD27">IF(Y27="","",_xlfn.IFS(Y27=$CB$6,15.75,Y27=$CB$7,21,Y27=$CB$8,15.25,Y27=$CB$9,15.25,Y27=$CB$10,15.25))</f>
        <v/>
      </c>
      <c r="AE27" s="380"/>
      <c r="AF27" s="936">
        <f t="shared" si="25"/>
        <v>0</v>
      </c>
      <c r="AG27" s="381" t="str">
        <f t="shared" si="26"/>
        <v/>
      </c>
      <c r="AH27" s="398"/>
      <c r="AI27" s="383" t="str">
        <f t="shared" si="2"/>
        <v/>
      </c>
      <c r="AJ27" s="384" t="str">
        <f t="shared" si="3"/>
        <v/>
      </c>
      <c r="AK27" s="384" t="str">
        <f t="shared" si="4"/>
        <v/>
      </c>
      <c r="AL27" s="377"/>
      <c r="AM27" s="385" t="str">
        <f t="shared" si="5"/>
        <v/>
      </c>
      <c r="AN27" s="384" t="str">
        <f t="shared" si="6"/>
        <v/>
      </c>
      <c r="AO27" s="384" t="str">
        <f t="shared" si="7"/>
        <v/>
      </c>
      <c r="AP27" s="384" t="str">
        <f t="shared" si="8"/>
        <v/>
      </c>
      <c r="AQ27" s="384" t="str">
        <f t="shared" si="9"/>
        <v/>
      </c>
      <c r="AR27" s="384" t="str">
        <f t="shared" si="10"/>
        <v/>
      </c>
      <c r="AS27" s="386" t="str">
        <f t="shared" si="11"/>
        <v/>
      </c>
      <c r="AT27" s="387" t="str">
        <f t="shared" si="12"/>
        <v/>
      </c>
      <c r="AU27" s="388" t="str">
        <f t="shared" si="36"/>
        <v/>
      </c>
      <c r="AV27" s="387" t="str">
        <f t="shared" si="13"/>
        <v/>
      </c>
      <c r="AW27" s="387" t="str">
        <f t="shared" si="14"/>
        <v/>
      </c>
      <c r="AX27" s="389" t="str">
        <f t="shared" si="27"/>
        <v/>
      </c>
      <c r="AY27" s="387" t="str">
        <f t="shared" si="15"/>
        <v/>
      </c>
      <c r="AZ27" s="387" t="str">
        <f t="shared" si="16"/>
        <v/>
      </c>
      <c r="BA27" s="389" t="str">
        <f t="shared" si="28"/>
        <v/>
      </c>
      <c r="BB27" s="390" t="str">
        <f t="shared" si="17"/>
        <v/>
      </c>
      <c r="BC27" s="391"/>
      <c r="BD27" s="390" t="str">
        <f t="shared" si="29"/>
        <v/>
      </c>
      <c r="BE27" s="390" t="str">
        <f t="shared" si="29"/>
        <v/>
      </c>
      <c r="BF27" s="390" t="str">
        <f t="shared" si="37"/>
        <v/>
      </c>
      <c r="BG27" s="392" t="str" cm="1">
        <f t="array" ref="BG27">IF(AS27="","",IF((IFERROR(_xlfn.IFS($BB27="Devis 1",(IFERROR(VALUE(TRIM(SUBSTITUTE(AS27,CHAR(160),""))),0)),$BB27="Devis 2",(IFERROR(VALUE(TRIM(SUBSTITUTE(AV27,CHAR(160),""))),0)),$BB27="Devis 3",(IFERROR(VALUE(TRIM(SUBSTITUTE(AY27,CHAR(160),""))),0))),0))=0,"",(IFERROR(_xlfn.IFS($BB27="Devis 1",(IFERROR(VALUE(TRIM(SUBSTITUTE(AS27,CHAR(160),""))),0)),$BB27="Devis 2",(IFERROR(VALUE(TRIM(SUBSTITUTE(AV27,CHAR(160),""))),0)),$BB27="Devis 3",(IFERROR(VALUE(TRIM(SUBSTITUTE(AY27,CHAR(160),""))),0))),0))))</f>
        <v/>
      </c>
      <c r="BH27" s="392" t="str" cm="1">
        <f t="array" ref="BH27">IF(AT27="","",IF((IFERROR(_xlfn.IFS($BB27="Devis 1",(IFERROR(VALUE(TRIM(SUBSTITUTE(AT27,CHAR(160),""))),0)),$BB27="Devis 2",(IFERROR(VALUE(TRIM(SUBSTITUTE(AW27,CHAR(160),""))),0)),$BB27="Devis 3",(IFERROR(VALUE(TRIM(SUBSTITUTE(AZ27,CHAR(160),""))),0))),0))=0,"",(IFERROR(_xlfn.IFS($BB27="Devis 1",(IFERROR(VALUE(TRIM(SUBSTITUTE(AT27,CHAR(160),""))),0)),$BB27="Devis 2",(IFERROR(VALUE(TRIM(SUBSTITUTE(AW27,CHAR(160),""))),0)),$BB27="Devis 3",(IFERROR(VALUE(TRIM(SUBSTITUTE(AZ27,CHAR(160),""))),0))),0))))</f>
        <v/>
      </c>
      <c r="BI27" s="700" t="str" cm="1">
        <f t="array" ref="BI27">IF(AU27="","",IF(IFERROR(_xlfn.IFS($BB27="Devis 1",IFERROR(VALUE(TRIM(SUBSTITUTE(AU27,CHAR(160),""))),0),$BB27="Devis 2",IFERROR(VALUE(TRIM(SUBSTITUTE(AX27,CHAR(160),""))),0),$BB27="Devis 3",IFERROR(VALUE(TRIM(SUBSTITUTE(BA27,CHAR(160),""))),0)),0)=0,"",IFERROR(_xlfn.IFS($BB27="Devis 1",IFERROR(VALUE(TRIM(SUBSTITUTE(AU27,CHAR(160),""))),0),$BB27="Devis 2",IFERROR(VALUE(TRIM(SUBSTITUTE(AX27,CHAR(160),""))),0),$BB27="Devis 3",IFERROR(VALUE(TRIM(SUBSTITUTE(BA27,CHAR(160),""))),0)),0)))</f>
        <v/>
      </c>
      <c r="BJ27" s="739" t="str">
        <f t="shared" si="18"/>
        <v/>
      </c>
      <c r="BK27" s="740" t="str">
        <f t="shared" si="19"/>
        <v/>
      </c>
      <c r="BL27" s="741" t="str">
        <f t="shared" si="30"/>
        <v/>
      </c>
      <c r="BM27" s="741" t="str">
        <f t="shared" si="31"/>
        <v/>
      </c>
      <c r="BN27" s="741" t="str">
        <f t="shared" si="32"/>
        <v/>
      </c>
      <c r="BO27" s="741" t="str">
        <f t="shared" si="33"/>
        <v/>
      </c>
      <c r="BP27" s="711">
        <f t="shared" si="20"/>
        <v>0</v>
      </c>
      <c r="BQ27" s="372" t="str">
        <f t="shared" si="34"/>
        <v/>
      </c>
      <c r="BR27" s="718"/>
      <c r="BS27" s="393" t="str" cm="1">
        <f t="array" ref="BS27">IF(OR(BI27="",BF27="",BG27="",BD27="",BH27="",BE27=""),"",_xlfn.IFS((IFERROR(VALUE(TRIM(SUBSTITUTE(BI27,CHAR(160),""))),0))&gt;(IFERROR(VALUE(TRIM(SUBSTITUTE(BF27,CHAR(160),""))),0)),"KO : Le montant retenu TTC est supérieur au montant raisonnable TTC. Merci de revoir la ligne de dépense ou plafonner son montant.",(IFERROR(VALUE(TRIM(SUBSTITUTE(BG27,CHAR(160),""))),0))&gt;(IFERROR(VALUE(TRIM(SUBSTITUTE(BD27,CHAR(160),""))),0)),"Attention : Le montant retenu HT est supérieur au montant HT raisonnable. Merci de revoir la ligne de dépense, plafonner son montant, ou justifier la reventillation HT / TVA.",(IFERROR(VALUE(TRIM(SUBSTITUTE(BH27,CHAR(160),""))),0))&gt;(IFERROR(VALUE(TRIM(SUBSTITUTE(BE27,CHAR(160),""))),0)),"Attention : Le montant TVA retenu est supérieur au montant TVA raisonnable. Merci de revoir la ligne de dépense, plafonner son montant, ou justifier la reventillation HT / TVA.",(IFERROR(VALUE(TRIM(SUBSTITUTE(BI27,CHAR(160),""))),0))=0,"",(IFERROR(VALUE(TRIM(SUBSTITUTE(BF27,CHAR(160),""))),0))=(IFERROR(VALUE(TRIM(SUBSTITUTE(BI27,CHAR(160),""))),0)),"OK",(IFERROR(VALUE(TRIM(SUBSTITUTE(BF27,CHAR(160),""))),0))&gt;(IFERROR(VALUE(TRIM(SUBSTITUTE(BI27,CHAR(160),""))),0))," OK : Montant instruit inférieur au montant raisonnable.",TRUE,""))</f>
        <v/>
      </c>
      <c r="BT27" s="394" t="str" cm="1">
        <f t="array" ref="BT27">IF(OR(BI27="",X27="",BG27="",V27="",BH27="",W27=""),"",_xlfn.IFS((IFERROR(VALUE(TRIM(SUBSTITUTE(BI27,CHAR(160),""))),0))=0,"Attention : montant présenté entièrement écarté",(IFERROR(VALUE(TRIM(SUBSTITUTE(BI27,CHAR(160),""))),0))&gt;(IFERROR(VALUE(TRIM(SUBSTITUTE(X27,CHAR(160),""))),0)),"KO : Le montant retenu TTC est supérieur au montant présenté TTC. Merci de revoir la ligne de dépense ou plafonner son montant.",(IFERROR(VALUE(TRIM(SUBSTITUTE(BG27,CHAR(160),""))),0))&gt;(IFERROR(VALUE(TRIM(SUBSTITUTE(V27,CHAR(160),""))),0)),"Attention : Le montant retenu HT est supérieur au montant HT présenté. Merci de revoir la ligne de dépense,plafonner son montant,ou justifier la reventillation HT/TVA.",(IFERROR(VALUE(TRIM(SUBSTITUTE(BH27,CHAR(160),""))),0))&gt;(IFERROR(VALUE(TRIM(SUBSTITUTE(W27,CHAR(160),""))),0)),"Attention : Le montant TVA retenu est supérieur au montant TVA présenté. Merci de revoir la ligne de dépense,plafonner son montant,ou justifier la reventillation HT/TVA.",(IFERROR(VALUE(TRIM(SUBSTITUTE(X27,CHAR(160),""))),0))=0,"Attention : montant présenté entièrement écarté",(IFERROR(VALUE(TRIM(SUBSTITUTE(BI27,CHAR(160),""))),0))=(IFERROR(VALUE(TRIM(SUBSTITUTE(X27,CHAR(160),""))),0)),"OK",
  AND((IFERROR(VALUE(TRIM(SUBSTITUTE(BI27,CHAR(160),""))),0))&lt;(IFERROR(VALUE(TRIM(SUBSTITUTE(X27,CHAR(160),""))),0)),((IFERROR(VALUE(TRIM(SUBSTITUTE(X27,CHAR(160),""))),0))-(IFERROR(VALUE(TRIM(SUBSTITUTE(BI27,CHAR(160),""))),0)))&lt;0.01),"OK",(IFERROR(VALUE(TRIM(SUBSTITUTE(BI27,CHAR(160),""))),0))&lt;(IFERROR(VALUE(TRIM(SUBSTITUTE(X27,CHAR(160),""))),0)),"Attention : Montant présenté partiellement écarté.",
  TRUE,""))</f>
        <v/>
      </c>
      <c r="BU27" s="373" t="str" cm="1">
        <f t="array" ref="BU27">IF(OR(AF27="",BP27=""),"",_xlfn.IFS((IFERROR(VALUE(TRIM(SUBSTITUTE(BP27,CHAR(160),""))),0))&gt;(IFERROR(VALUE(TRIM(SUBSTITUTE(AF27,CHAR(160),""))),0)),"KO : Le montant retenu est supérieur au montant présenté. Merci de revoir la ligne de contribution ou plafonner son montant.",(IFERROR(VALUE(TRIM(SUBSTITUTE(AF27,CHAR(160),""))),0))=0,"Attention : montant présenté entièrement écarté",(IFERROR(VALUE(TRIM(SUBSTITUTE(BP27,CHAR(160),""))),0))=(IFERROR(VALUE(TRIM(SUBSTITUTE(AF27,CHAR(160),""))),0)),"OK",(IFERROR(VALUE(TRIM(SUBSTITUTE(BP27,CHAR(160),""))),0))&lt;(IFERROR(VALUE(TRIM(SUBSTITUTE(AF27,CHAR(160),""))),0)),"Attention : montant présenté partiellement écarté.",TRUE,""))</f>
        <v>Attention : montant présenté entièrement écarté</v>
      </c>
      <c r="BV27" s="395" t="str">
        <f t="shared" si="21"/>
        <v/>
      </c>
      <c r="BW27" s="396" t="str">
        <f t="shared" si="22"/>
        <v/>
      </c>
      <c r="BX27" s="397" t="str">
        <f t="shared" si="23"/>
        <v/>
      </c>
    </row>
    <row r="28" spans="1:76" ht="14.25" customHeight="1">
      <c r="A28" s="375">
        <v>19</v>
      </c>
      <c r="B28" s="333"/>
      <c r="C28" s="333"/>
      <c r="D28" s="333"/>
      <c r="E28" s="377"/>
      <c r="F28" s="376"/>
      <c r="G28" s="376"/>
      <c r="H28" s="400"/>
      <c r="I28" s="400"/>
      <c r="J28" s="400"/>
      <c r="K28" s="612"/>
      <c r="L28" s="613"/>
      <c r="M28" s="613"/>
      <c r="N28" s="395" t="str">
        <f t="shared" si="35"/>
        <v/>
      </c>
      <c r="O28" s="613"/>
      <c r="P28" s="613"/>
      <c r="Q28" s="610" t="str">
        <f t="shared" si="0"/>
        <v/>
      </c>
      <c r="R28" s="613"/>
      <c r="S28" s="613"/>
      <c r="T28" s="610" t="str">
        <f t="shared" si="1"/>
        <v/>
      </c>
      <c r="U28" s="611"/>
      <c r="V28" s="395" t="str" cm="1">
        <f t="array" ref="V28">IF((_xlfn.IFS(TRIM(SUBSTITUTE(U28,CHAR(160),""))="Devis 1",IFERROR(VALUE(TRIM(SUBSTITUTE(L28,CHAR(160),""))),0),TRIM(SUBSTITUTE(U28,CHAR(160),""))="Devis 2",IFERROR(VALUE(TRIM(SUBSTITUTE(O28,CHAR(160),""))),0),TRIM(SUBSTITUTE(U28,CHAR(160),""))="Devis 3",IFERROR(VALUE(TRIM(SUBSTITUTE(R28,CHAR(160),""))),0),TRUE,0))=0,"",_xlfn.IFS(TRIM(SUBSTITUTE(U28,CHAR(160),""))="Devis 1",IFERROR(VALUE(TRIM(SUBSTITUTE(L28,CHAR(160),""))),0),TRIM(SUBSTITUTE(U28,CHAR(160),""))="Devis 2",IFERROR(VALUE(TRIM(SUBSTITUTE(O28,CHAR(160),""))),0),TRIM(SUBSTITUTE(U28,CHAR(160),""))="Devis 3",IFERROR(VALUE(TRIM(SUBSTITUTE(R28,CHAR(160),""))),0),TRUE,0))</f>
        <v/>
      </c>
      <c r="W28" s="396" t="str" cm="1">
        <f t="array" ref="W28">IF((_xlfn.IFS(TRIM(SUBSTITUTE(U28,CHAR(160),""))="Devis 1",IFERROR(VALUE(TRIM(SUBSTITUTE(M28,CHAR(160),""))),0),TRIM(SUBSTITUTE(U28,CHAR(160),""))="Devis 2",IFERROR(VALUE(TRIM(SUBSTITUTE(P28,CHAR(160),""))),0),TRIM(SUBSTITUTE(U28,CHAR(160),""))="Devis 3",IFERROR(VALUE(TRIM(SUBSTITUTE(S28,CHAR(160),""))),0),TRUE,0))=0,"",_xlfn.IFS(TRIM(SUBSTITUTE(U28,CHAR(160),""))="Devis 1",IFERROR(VALUE(TRIM(SUBSTITUTE(M28,CHAR(160),""))),0),TRIM(SUBSTITUTE(U28,CHAR(160),""))="Devis 2",IFERROR(VALUE(TRIM(SUBSTITUTE(P28,CHAR(160),""))),0),TRIM(SUBSTITUTE(U28,CHAR(160),""))="Devis 3",IFERROR(VALUE(TRIM(SUBSTITUTE(S28,CHAR(160),""))),0),TRUE,0))</f>
        <v/>
      </c>
      <c r="X28" s="926" t="str" cm="1">
        <f t="array" ref="X28">IF((_xlfn.IFS(TRIM(SUBSTITUTE(U28,CHAR(160),""))="Devis 1",IFERROR(VALUE(TRIM(SUBSTITUTE(N28,CHAR(160),""))),0),TRIM(SUBSTITUTE(U28,CHAR(160),""))="Devis 2",IFERROR(VALUE(TRIM(SUBSTITUTE(Q28,CHAR(160),""))),0),TRIM(SUBSTITUTE(U28,CHAR(160),""))="Devis 3",IFERROR(VALUE(TRIM(SUBSTITUTE(T28,CHAR(160),""))),0),TRUE,0))=0,"",_xlfn.IFS(TRIM(SUBSTITUTE(U28,CHAR(160),""))="Devis 1",IFERROR(VALUE(TRIM(SUBSTITUTE(N28,CHAR(160),""))),0),TRIM(SUBSTITUTE(U28,CHAR(160),""))="Devis 2",IFERROR(VALUE(TRIM(SUBSTITUTE(Q28,CHAR(160),""))),0),TRIM(SUBSTITUTE(U28,CHAR(160),""))="Devis 3",IFERROR(VALUE(TRIM(SUBSTITUTE(T28,CHAR(160),""))),0),TRUE,0))</f>
        <v/>
      </c>
      <c r="Y28" s="933"/>
      <c r="Z28" s="929"/>
      <c r="AA28" s="935" t="str">
        <f>IF(Z28="","",VALUE(Z28*0.32))</f>
        <v/>
      </c>
      <c r="AB28" s="934" t="str" cm="1">
        <f t="array" ref="AB28">IF(Y28="","",_xlfn.IFS(Y28=$CB$6,70,Y28=$CB$7,90,Y28=$CB$8,70,Y28=$CB$9,90,Y28=$CB$10,110))</f>
        <v/>
      </c>
      <c r="AC28" s="379"/>
      <c r="AD28" s="934" t="str" cm="1">
        <f t="array" ref="AD28">IF(Y28="","",_xlfn.IFS(Y28=$CB$6,15.75,Y28=$CB$7,21,Y28=$CB$8,15.25,Y28=$CB$9,15.25,Y28=$CB$10,15.25))</f>
        <v/>
      </c>
      <c r="AE28" s="380"/>
      <c r="AF28" s="936">
        <f t="shared" si="25"/>
        <v>0</v>
      </c>
      <c r="AG28" s="381" t="str">
        <f t="shared" si="26"/>
        <v/>
      </c>
      <c r="AH28" s="398"/>
      <c r="AI28" s="383" t="str">
        <f t="shared" si="2"/>
        <v/>
      </c>
      <c r="AJ28" s="384" t="str">
        <f t="shared" si="3"/>
        <v/>
      </c>
      <c r="AK28" s="384" t="str">
        <f t="shared" si="4"/>
        <v/>
      </c>
      <c r="AL28" s="377"/>
      <c r="AM28" s="385" t="str">
        <f t="shared" si="5"/>
        <v/>
      </c>
      <c r="AN28" s="384" t="str">
        <f t="shared" si="6"/>
        <v/>
      </c>
      <c r="AO28" s="384" t="str">
        <f t="shared" si="7"/>
        <v/>
      </c>
      <c r="AP28" s="384" t="str">
        <f t="shared" si="8"/>
        <v/>
      </c>
      <c r="AQ28" s="384" t="str">
        <f t="shared" si="9"/>
        <v/>
      </c>
      <c r="AR28" s="384" t="str">
        <f t="shared" si="10"/>
        <v/>
      </c>
      <c r="AS28" s="386" t="str">
        <f t="shared" si="11"/>
        <v/>
      </c>
      <c r="AT28" s="387" t="str">
        <f t="shared" si="12"/>
        <v/>
      </c>
      <c r="AU28" s="388" t="str">
        <f t="shared" si="36"/>
        <v/>
      </c>
      <c r="AV28" s="387" t="str">
        <f t="shared" si="13"/>
        <v/>
      </c>
      <c r="AW28" s="387" t="str">
        <f t="shared" si="14"/>
        <v/>
      </c>
      <c r="AX28" s="389" t="str">
        <f t="shared" si="27"/>
        <v/>
      </c>
      <c r="AY28" s="387" t="str">
        <f t="shared" si="15"/>
        <v/>
      </c>
      <c r="AZ28" s="387" t="str">
        <f t="shared" si="16"/>
        <v/>
      </c>
      <c r="BA28" s="389" t="str">
        <f t="shared" si="28"/>
        <v/>
      </c>
      <c r="BB28" s="390" t="str">
        <f t="shared" si="17"/>
        <v/>
      </c>
      <c r="BC28" s="391"/>
      <c r="BD28" s="390" t="str">
        <f t="shared" si="29"/>
        <v/>
      </c>
      <c r="BE28" s="390" t="str">
        <f t="shared" si="29"/>
        <v/>
      </c>
      <c r="BF28" s="390" t="str">
        <f t="shared" si="37"/>
        <v/>
      </c>
      <c r="BG28" s="392" t="str" cm="1">
        <f t="array" ref="BG28">IF(AS28="","",IF((IFERROR(_xlfn.IFS($BB28="Devis 1",(IFERROR(VALUE(TRIM(SUBSTITUTE(AS28,CHAR(160),""))),0)),$BB28="Devis 2",(IFERROR(VALUE(TRIM(SUBSTITUTE(AV28,CHAR(160),""))),0)),$BB28="Devis 3",(IFERROR(VALUE(TRIM(SUBSTITUTE(AY28,CHAR(160),""))),0))),0))=0,"",(IFERROR(_xlfn.IFS($BB28="Devis 1",(IFERROR(VALUE(TRIM(SUBSTITUTE(AS28,CHAR(160),""))),0)),$BB28="Devis 2",(IFERROR(VALUE(TRIM(SUBSTITUTE(AV28,CHAR(160),""))),0)),$BB28="Devis 3",(IFERROR(VALUE(TRIM(SUBSTITUTE(AY28,CHAR(160),""))),0))),0))))</f>
        <v/>
      </c>
      <c r="BH28" s="392" t="str" cm="1">
        <f t="array" ref="BH28">IF(AT28="","",IF((IFERROR(_xlfn.IFS($BB28="Devis 1",(IFERROR(VALUE(TRIM(SUBSTITUTE(AT28,CHAR(160),""))),0)),$BB28="Devis 2",(IFERROR(VALUE(TRIM(SUBSTITUTE(AW28,CHAR(160),""))),0)),$BB28="Devis 3",(IFERROR(VALUE(TRIM(SUBSTITUTE(AZ28,CHAR(160),""))),0))),0))=0,"",(IFERROR(_xlfn.IFS($BB28="Devis 1",(IFERROR(VALUE(TRIM(SUBSTITUTE(AT28,CHAR(160),""))),0)),$BB28="Devis 2",(IFERROR(VALUE(TRIM(SUBSTITUTE(AW28,CHAR(160),""))),0)),$BB28="Devis 3",(IFERROR(VALUE(TRIM(SUBSTITUTE(AZ28,CHAR(160),""))),0))),0))))</f>
        <v/>
      </c>
      <c r="BI28" s="700" t="str" cm="1">
        <f t="array" ref="BI28">IF(AU28="","",IF(IFERROR(_xlfn.IFS($BB28="Devis 1",IFERROR(VALUE(TRIM(SUBSTITUTE(AU28,CHAR(160),""))),0),$BB28="Devis 2",IFERROR(VALUE(TRIM(SUBSTITUTE(AX28,CHAR(160),""))),0),$BB28="Devis 3",IFERROR(VALUE(TRIM(SUBSTITUTE(BA28,CHAR(160),""))),0)),0)=0,"",IFERROR(_xlfn.IFS($BB28="Devis 1",IFERROR(VALUE(TRIM(SUBSTITUTE(AU28,CHAR(160),""))),0),$BB28="Devis 2",IFERROR(VALUE(TRIM(SUBSTITUTE(AX28,CHAR(160),""))),0),$BB28="Devis 3",IFERROR(VALUE(TRIM(SUBSTITUTE(BA28,CHAR(160),""))),0)),0)))</f>
        <v/>
      </c>
      <c r="BJ28" s="739" t="str">
        <f t="shared" si="18"/>
        <v/>
      </c>
      <c r="BK28" s="740" t="str">
        <f t="shared" si="19"/>
        <v/>
      </c>
      <c r="BL28" s="741" t="str">
        <f t="shared" si="30"/>
        <v/>
      </c>
      <c r="BM28" s="741" t="str">
        <f t="shared" si="31"/>
        <v/>
      </c>
      <c r="BN28" s="741" t="str">
        <f t="shared" si="32"/>
        <v/>
      </c>
      <c r="BO28" s="741" t="str">
        <f t="shared" si="33"/>
        <v/>
      </c>
      <c r="BP28" s="711">
        <f t="shared" si="20"/>
        <v>0</v>
      </c>
      <c r="BQ28" s="372" t="str">
        <f t="shared" si="34"/>
        <v/>
      </c>
      <c r="BR28" s="718"/>
      <c r="BS28" s="393" t="str" cm="1">
        <f t="array" ref="BS28">IF(OR(BI28="",BF28="",BG28="",BD28="",BH28="",BE28=""),"",_xlfn.IFS((IFERROR(VALUE(TRIM(SUBSTITUTE(BI28,CHAR(160),""))),0))&gt;(IFERROR(VALUE(TRIM(SUBSTITUTE(BF28,CHAR(160),""))),0)),"KO : Le montant retenu TTC est supérieur au montant raisonnable TTC. Merci de revoir la ligne de dépense ou plafonner son montant.",(IFERROR(VALUE(TRIM(SUBSTITUTE(BG28,CHAR(160),""))),0))&gt;(IFERROR(VALUE(TRIM(SUBSTITUTE(BD28,CHAR(160),""))),0)),"Attention : Le montant retenu HT est supérieur au montant HT raisonnable. Merci de revoir la ligne de dépense, plafonner son montant, ou justifier la reventillation HT / TVA.",(IFERROR(VALUE(TRIM(SUBSTITUTE(BH28,CHAR(160),""))),0))&gt;(IFERROR(VALUE(TRIM(SUBSTITUTE(BE28,CHAR(160),""))),0)),"Attention : Le montant TVA retenu est supérieur au montant TVA raisonnable. Merci de revoir la ligne de dépense, plafonner son montant, ou justifier la reventillation HT / TVA.",(IFERROR(VALUE(TRIM(SUBSTITUTE(BI28,CHAR(160),""))),0))=0,"",(IFERROR(VALUE(TRIM(SUBSTITUTE(BF28,CHAR(160),""))),0))=(IFERROR(VALUE(TRIM(SUBSTITUTE(BI28,CHAR(160),""))),0)),"OK",(IFERROR(VALUE(TRIM(SUBSTITUTE(BF28,CHAR(160),""))),0))&gt;(IFERROR(VALUE(TRIM(SUBSTITUTE(BI28,CHAR(160),""))),0))," OK : Montant instruit inférieur au montant raisonnable.",TRUE,""))</f>
        <v/>
      </c>
      <c r="BT28" s="394" t="str" cm="1">
        <f t="array" ref="BT28">IF(OR(BI28="",X28="",BG28="",V28="",BH28="",W28=""),"",_xlfn.IFS((IFERROR(VALUE(TRIM(SUBSTITUTE(BI28,CHAR(160),""))),0))=0,"Attention : montant présenté entièrement écarté",(IFERROR(VALUE(TRIM(SUBSTITUTE(BI28,CHAR(160),""))),0))&gt;(IFERROR(VALUE(TRIM(SUBSTITUTE(X28,CHAR(160),""))),0)),"KO : Le montant retenu TTC est supérieur au montant présenté TTC. Merci de revoir la ligne de dépense ou plafonner son montant.",(IFERROR(VALUE(TRIM(SUBSTITUTE(BG28,CHAR(160),""))),0))&gt;(IFERROR(VALUE(TRIM(SUBSTITUTE(V28,CHAR(160),""))),0)),"Attention : Le montant retenu HT est supérieur au montant HT présenté. Merci de revoir la ligne de dépense,plafonner son montant,ou justifier la reventillation HT/TVA.",(IFERROR(VALUE(TRIM(SUBSTITUTE(BH28,CHAR(160),""))),0))&gt;(IFERROR(VALUE(TRIM(SUBSTITUTE(W28,CHAR(160),""))),0)),"Attention : Le montant TVA retenu est supérieur au montant TVA présenté. Merci de revoir la ligne de dépense,plafonner son montant,ou justifier la reventillation HT/TVA.",(IFERROR(VALUE(TRIM(SUBSTITUTE(X28,CHAR(160),""))),0))=0,"Attention : montant présenté entièrement écarté",(IFERROR(VALUE(TRIM(SUBSTITUTE(BI28,CHAR(160),""))),0))=(IFERROR(VALUE(TRIM(SUBSTITUTE(X28,CHAR(160),""))),0)),"OK",
  AND((IFERROR(VALUE(TRIM(SUBSTITUTE(BI28,CHAR(160),""))),0))&lt;(IFERROR(VALUE(TRIM(SUBSTITUTE(X28,CHAR(160),""))),0)),((IFERROR(VALUE(TRIM(SUBSTITUTE(X28,CHAR(160),""))),0))-(IFERROR(VALUE(TRIM(SUBSTITUTE(BI28,CHAR(160),""))),0)))&lt;0.01),"OK",(IFERROR(VALUE(TRIM(SUBSTITUTE(BI28,CHAR(160),""))),0))&lt;(IFERROR(VALUE(TRIM(SUBSTITUTE(X28,CHAR(160),""))),0)),"Attention : Montant présenté partiellement écarté.",
  TRUE,""))</f>
        <v/>
      </c>
      <c r="BU28" s="373" t="str" cm="1">
        <f t="array" ref="BU28">IF(OR(AF28="",BP28=""),"",_xlfn.IFS((IFERROR(VALUE(TRIM(SUBSTITUTE(BP28,CHAR(160),""))),0))&gt;(IFERROR(VALUE(TRIM(SUBSTITUTE(AF28,CHAR(160),""))),0)),"KO : Le montant retenu est supérieur au montant présenté. Merci de revoir la ligne de contribution ou plafonner son montant.",(IFERROR(VALUE(TRIM(SUBSTITUTE(AF28,CHAR(160),""))),0))=0,"Attention : montant présenté entièrement écarté",(IFERROR(VALUE(TRIM(SUBSTITUTE(BP28,CHAR(160),""))),0))=(IFERROR(VALUE(TRIM(SUBSTITUTE(AF28,CHAR(160),""))),0)),"OK",(IFERROR(VALUE(TRIM(SUBSTITUTE(BP28,CHAR(160),""))),0))&lt;(IFERROR(VALUE(TRIM(SUBSTITUTE(AF28,CHAR(160),""))),0)),"Attention : montant présenté partiellement écarté.",TRUE,""))</f>
        <v>Attention : montant présenté entièrement écarté</v>
      </c>
      <c r="BV28" s="395" t="str">
        <f t="shared" si="21"/>
        <v/>
      </c>
      <c r="BW28" s="396" t="str">
        <f t="shared" si="22"/>
        <v/>
      </c>
      <c r="BX28" s="397" t="str">
        <f t="shared" si="23"/>
        <v/>
      </c>
    </row>
    <row r="29" spans="1:76" ht="14.25" customHeight="1">
      <c r="A29" s="375">
        <v>20</v>
      </c>
      <c r="B29" s="333"/>
      <c r="C29" s="333"/>
      <c r="D29" s="333"/>
      <c r="E29" s="377"/>
      <c r="F29" s="376"/>
      <c r="G29" s="376"/>
      <c r="H29" s="400"/>
      <c r="I29" s="400"/>
      <c r="J29" s="400"/>
      <c r="K29" s="612"/>
      <c r="L29" s="613"/>
      <c r="M29" s="613"/>
      <c r="N29" s="395" t="str">
        <f t="shared" si="35"/>
        <v/>
      </c>
      <c r="O29" s="613"/>
      <c r="P29" s="613"/>
      <c r="Q29" s="610" t="str">
        <f t="shared" si="0"/>
        <v/>
      </c>
      <c r="R29" s="613"/>
      <c r="S29" s="613"/>
      <c r="T29" s="610" t="str">
        <f t="shared" si="1"/>
        <v/>
      </c>
      <c r="U29" s="611"/>
      <c r="V29" s="395" t="str" cm="1">
        <f t="array" ref="V29">IF((_xlfn.IFS(TRIM(SUBSTITUTE(U29,CHAR(160),""))="Devis 1",IFERROR(VALUE(TRIM(SUBSTITUTE(L29,CHAR(160),""))),0),TRIM(SUBSTITUTE(U29,CHAR(160),""))="Devis 2",IFERROR(VALUE(TRIM(SUBSTITUTE(O29,CHAR(160),""))),0),TRIM(SUBSTITUTE(U29,CHAR(160),""))="Devis 3",IFERROR(VALUE(TRIM(SUBSTITUTE(R29,CHAR(160),""))),0),TRUE,0))=0,"",_xlfn.IFS(TRIM(SUBSTITUTE(U29,CHAR(160),""))="Devis 1",IFERROR(VALUE(TRIM(SUBSTITUTE(L29,CHAR(160),""))),0),TRIM(SUBSTITUTE(U29,CHAR(160),""))="Devis 2",IFERROR(VALUE(TRIM(SUBSTITUTE(O29,CHAR(160),""))),0),TRIM(SUBSTITUTE(U29,CHAR(160),""))="Devis 3",IFERROR(VALUE(TRIM(SUBSTITUTE(R29,CHAR(160),""))),0),TRUE,0))</f>
        <v/>
      </c>
      <c r="W29" s="396" t="str" cm="1">
        <f t="array" ref="W29">IF((_xlfn.IFS(TRIM(SUBSTITUTE(U29,CHAR(160),""))="Devis 1",IFERROR(VALUE(TRIM(SUBSTITUTE(M29,CHAR(160),""))),0),TRIM(SUBSTITUTE(U29,CHAR(160),""))="Devis 2",IFERROR(VALUE(TRIM(SUBSTITUTE(P29,CHAR(160),""))),0),TRIM(SUBSTITUTE(U29,CHAR(160),""))="Devis 3",IFERROR(VALUE(TRIM(SUBSTITUTE(S29,CHAR(160),""))),0),TRUE,0))=0,"",_xlfn.IFS(TRIM(SUBSTITUTE(U29,CHAR(160),""))="Devis 1",IFERROR(VALUE(TRIM(SUBSTITUTE(M29,CHAR(160),""))),0),TRIM(SUBSTITUTE(U29,CHAR(160),""))="Devis 2",IFERROR(VALUE(TRIM(SUBSTITUTE(P29,CHAR(160),""))),0),TRIM(SUBSTITUTE(U29,CHAR(160),""))="Devis 3",IFERROR(VALUE(TRIM(SUBSTITUTE(S29,CHAR(160),""))),0),TRUE,0))</f>
        <v/>
      </c>
      <c r="X29" s="926" t="str" cm="1">
        <f t="array" ref="X29">IF((_xlfn.IFS(TRIM(SUBSTITUTE(U29,CHAR(160),""))="Devis 1",IFERROR(VALUE(TRIM(SUBSTITUTE(N29,CHAR(160),""))),0),TRIM(SUBSTITUTE(U29,CHAR(160),""))="Devis 2",IFERROR(VALUE(TRIM(SUBSTITUTE(Q29,CHAR(160),""))),0),TRIM(SUBSTITUTE(U29,CHAR(160),""))="Devis 3",IFERROR(VALUE(TRIM(SUBSTITUTE(T29,CHAR(160),""))),0),TRUE,0))=0,"",_xlfn.IFS(TRIM(SUBSTITUTE(U29,CHAR(160),""))="Devis 1",IFERROR(VALUE(TRIM(SUBSTITUTE(N29,CHAR(160),""))),0),TRIM(SUBSTITUTE(U29,CHAR(160),""))="Devis 2",IFERROR(VALUE(TRIM(SUBSTITUTE(Q29,CHAR(160),""))),0),TRIM(SUBSTITUTE(U29,CHAR(160),""))="Devis 3",IFERROR(VALUE(TRIM(SUBSTITUTE(T29,CHAR(160),""))),0),TRUE,0))</f>
        <v/>
      </c>
      <c r="Y29" s="933"/>
      <c r="Z29" s="929"/>
      <c r="AA29" s="935" t="str">
        <f t="shared" si="24"/>
        <v/>
      </c>
      <c r="AB29" s="934" t="str" cm="1">
        <f t="array" ref="AB29">IF(Y29="","",_xlfn.IFS(Y29=$CB$6,70,Y29=$CB$7,90,Y29=$CB$8,70,Y29=$CB$9,90,Y29=$CB$10,110))</f>
        <v/>
      </c>
      <c r="AC29" s="379"/>
      <c r="AD29" s="934" t="str" cm="1">
        <f t="array" ref="AD29">IF(Y29="","",_xlfn.IFS(Y29=$CB$6,15.75,Y29=$CB$7,21,Y29=$CB$8,15.25,Y29=$CB$9,15.25,Y29=$CB$10,15.25))</f>
        <v/>
      </c>
      <c r="AE29" s="380"/>
      <c r="AF29" s="936">
        <f t="shared" si="25"/>
        <v>0</v>
      </c>
      <c r="AG29" s="381" t="str">
        <f t="shared" si="26"/>
        <v/>
      </c>
      <c r="AH29" s="398"/>
      <c r="AI29" s="383" t="str">
        <f t="shared" si="2"/>
        <v/>
      </c>
      <c r="AJ29" s="384" t="str">
        <f t="shared" si="3"/>
        <v/>
      </c>
      <c r="AK29" s="384" t="str">
        <f t="shared" si="4"/>
        <v/>
      </c>
      <c r="AL29" s="377"/>
      <c r="AM29" s="385" t="str">
        <f t="shared" si="5"/>
        <v/>
      </c>
      <c r="AN29" s="384" t="str">
        <f t="shared" si="6"/>
        <v/>
      </c>
      <c r="AO29" s="384" t="str">
        <f t="shared" si="7"/>
        <v/>
      </c>
      <c r="AP29" s="384" t="str">
        <f t="shared" si="8"/>
        <v/>
      </c>
      <c r="AQ29" s="384" t="str">
        <f t="shared" si="9"/>
        <v/>
      </c>
      <c r="AR29" s="384" t="str">
        <f t="shared" si="10"/>
        <v/>
      </c>
      <c r="AS29" s="386" t="str">
        <f t="shared" si="11"/>
        <v/>
      </c>
      <c r="AT29" s="387" t="str">
        <f t="shared" si="12"/>
        <v/>
      </c>
      <c r="AU29" s="388" t="str">
        <f t="shared" si="36"/>
        <v/>
      </c>
      <c r="AV29" s="387" t="str">
        <f t="shared" si="13"/>
        <v/>
      </c>
      <c r="AW29" s="387" t="str">
        <f t="shared" si="14"/>
        <v/>
      </c>
      <c r="AX29" s="389" t="str">
        <f t="shared" si="27"/>
        <v/>
      </c>
      <c r="AY29" s="387" t="str">
        <f t="shared" si="15"/>
        <v/>
      </c>
      <c r="AZ29" s="387" t="str">
        <f t="shared" si="16"/>
        <v/>
      </c>
      <c r="BA29" s="389" t="str">
        <f t="shared" si="28"/>
        <v/>
      </c>
      <c r="BB29" s="390" t="str">
        <f t="shared" si="17"/>
        <v/>
      </c>
      <c r="BC29" s="391"/>
      <c r="BD29" s="390" t="str">
        <f t="shared" si="29"/>
        <v/>
      </c>
      <c r="BE29" s="390" t="str">
        <f t="shared" si="29"/>
        <v/>
      </c>
      <c r="BF29" s="390" t="str">
        <f t="shared" si="37"/>
        <v/>
      </c>
      <c r="BG29" s="392" t="str" cm="1">
        <f t="array" ref="BG29">IF(AS29="","",IF((IFERROR(_xlfn.IFS($BB29="Devis 1",(IFERROR(VALUE(TRIM(SUBSTITUTE(AS29,CHAR(160),""))),0)),$BB29="Devis 2",(IFERROR(VALUE(TRIM(SUBSTITUTE(AV29,CHAR(160),""))),0)),$BB29="Devis 3",(IFERROR(VALUE(TRIM(SUBSTITUTE(AY29,CHAR(160),""))),0))),0))=0,"",(IFERROR(_xlfn.IFS($BB29="Devis 1",(IFERROR(VALUE(TRIM(SUBSTITUTE(AS29,CHAR(160),""))),0)),$BB29="Devis 2",(IFERROR(VALUE(TRIM(SUBSTITUTE(AV29,CHAR(160),""))),0)),$BB29="Devis 3",(IFERROR(VALUE(TRIM(SUBSTITUTE(AY29,CHAR(160),""))),0))),0))))</f>
        <v/>
      </c>
      <c r="BH29" s="392" t="str" cm="1">
        <f t="array" ref="BH29">IF(AT29="","",IF((IFERROR(_xlfn.IFS($BB29="Devis 1",(IFERROR(VALUE(TRIM(SUBSTITUTE(AT29,CHAR(160),""))),0)),$BB29="Devis 2",(IFERROR(VALUE(TRIM(SUBSTITUTE(AW29,CHAR(160),""))),0)),$BB29="Devis 3",(IFERROR(VALUE(TRIM(SUBSTITUTE(AZ29,CHAR(160),""))),0))),0))=0,"",(IFERROR(_xlfn.IFS($BB29="Devis 1",(IFERROR(VALUE(TRIM(SUBSTITUTE(AT29,CHAR(160),""))),0)),$BB29="Devis 2",(IFERROR(VALUE(TRIM(SUBSTITUTE(AW29,CHAR(160),""))),0)),$BB29="Devis 3",(IFERROR(VALUE(TRIM(SUBSTITUTE(AZ29,CHAR(160),""))),0))),0))))</f>
        <v/>
      </c>
      <c r="BI29" s="700" t="str" cm="1">
        <f t="array" ref="BI29">IF(AU29="","",IF(IFERROR(_xlfn.IFS($BB29="Devis 1",IFERROR(VALUE(TRIM(SUBSTITUTE(AU29,CHAR(160),""))),0),$BB29="Devis 2",IFERROR(VALUE(TRIM(SUBSTITUTE(AX29,CHAR(160),""))),0),$BB29="Devis 3",IFERROR(VALUE(TRIM(SUBSTITUTE(BA29,CHAR(160),""))),0)),0)=0,"",IFERROR(_xlfn.IFS($BB29="Devis 1",IFERROR(VALUE(TRIM(SUBSTITUTE(AU29,CHAR(160),""))),0),$BB29="Devis 2",IFERROR(VALUE(TRIM(SUBSTITUTE(AX29,CHAR(160),""))),0),$BB29="Devis 3",IFERROR(VALUE(TRIM(SUBSTITUTE(BA29,CHAR(160),""))),0)),0)))</f>
        <v/>
      </c>
      <c r="BJ29" s="739" t="str">
        <f t="shared" si="18"/>
        <v/>
      </c>
      <c r="BK29" s="740" t="str">
        <f t="shared" si="19"/>
        <v/>
      </c>
      <c r="BL29" s="741" t="str">
        <f t="shared" si="30"/>
        <v/>
      </c>
      <c r="BM29" s="741" t="str">
        <f t="shared" si="31"/>
        <v/>
      </c>
      <c r="BN29" s="741" t="str">
        <f t="shared" si="32"/>
        <v/>
      </c>
      <c r="BO29" s="741" t="str">
        <f t="shared" si="33"/>
        <v/>
      </c>
      <c r="BP29" s="711">
        <f t="shared" si="20"/>
        <v>0</v>
      </c>
      <c r="BQ29" s="372" t="str">
        <f t="shared" si="34"/>
        <v/>
      </c>
      <c r="BR29" s="718"/>
      <c r="BS29" s="393" t="str" cm="1">
        <f t="array" ref="BS29">IF(OR(BI29="",BF29="",BG29="",BD29="",BH29="",BE29=""),"",_xlfn.IFS((IFERROR(VALUE(TRIM(SUBSTITUTE(BI29,CHAR(160),""))),0))&gt;(IFERROR(VALUE(TRIM(SUBSTITUTE(BF29,CHAR(160),""))),0)),"KO : Le montant retenu TTC est supérieur au montant raisonnable TTC. Merci de revoir la ligne de dépense ou plafonner son montant.",(IFERROR(VALUE(TRIM(SUBSTITUTE(BG29,CHAR(160),""))),0))&gt;(IFERROR(VALUE(TRIM(SUBSTITUTE(BD29,CHAR(160),""))),0)),"Attention : Le montant retenu HT est supérieur au montant HT raisonnable. Merci de revoir la ligne de dépense, plafonner son montant, ou justifier la reventillation HT / TVA.",(IFERROR(VALUE(TRIM(SUBSTITUTE(BH29,CHAR(160),""))),0))&gt;(IFERROR(VALUE(TRIM(SUBSTITUTE(BE29,CHAR(160),""))),0)),"Attention : Le montant TVA retenu est supérieur au montant TVA raisonnable. Merci de revoir la ligne de dépense, plafonner son montant, ou justifier la reventillation HT / TVA.",(IFERROR(VALUE(TRIM(SUBSTITUTE(BI29,CHAR(160),""))),0))=0,"",(IFERROR(VALUE(TRIM(SUBSTITUTE(BF29,CHAR(160),""))),0))=(IFERROR(VALUE(TRIM(SUBSTITUTE(BI29,CHAR(160),""))),0)),"OK",(IFERROR(VALUE(TRIM(SUBSTITUTE(BF29,CHAR(160),""))),0))&gt;(IFERROR(VALUE(TRIM(SUBSTITUTE(BI29,CHAR(160),""))),0))," OK : Montant instruit inférieur au montant raisonnable.",TRUE,""))</f>
        <v/>
      </c>
      <c r="BT29" s="394" t="str" cm="1">
        <f t="array" ref="BT29">IF(OR(BI29="",X29="",BG29="",V29="",BH29="",W29=""),"",_xlfn.IFS((IFERROR(VALUE(TRIM(SUBSTITUTE(BI29,CHAR(160),""))),0))=0,"Attention : montant présenté entièrement écarté",(IFERROR(VALUE(TRIM(SUBSTITUTE(BI29,CHAR(160),""))),0))&gt;(IFERROR(VALUE(TRIM(SUBSTITUTE(X29,CHAR(160),""))),0)),"KO : Le montant retenu TTC est supérieur au montant présenté TTC. Merci de revoir la ligne de dépense ou plafonner son montant.",(IFERROR(VALUE(TRIM(SUBSTITUTE(BG29,CHAR(160),""))),0))&gt;(IFERROR(VALUE(TRIM(SUBSTITUTE(V29,CHAR(160),""))),0)),"Attention : Le montant retenu HT est supérieur au montant HT présenté. Merci de revoir la ligne de dépense,plafonner son montant,ou justifier la reventillation HT/TVA.",(IFERROR(VALUE(TRIM(SUBSTITUTE(BH29,CHAR(160),""))),0))&gt;(IFERROR(VALUE(TRIM(SUBSTITUTE(W29,CHAR(160),""))),0)),"Attention : Le montant TVA retenu est supérieur au montant TVA présenté. Merci de revoir la ligne de dépense,plafonner son montant,ou justifier la reventillation HT/TVA.",(IFERROR(VALUE(TRIM(SUBSTITUTE(X29,CHAR(160),""))),0))=0,"Attention : montant présenté entièrement écarté",(IFERROR(VALUE(TRIM(SUBSTITUTE(BI29,CHAR(160),""))),0))=(IFERROR(VALUE(TRIM(SUBSTITUTE(X29,CHAR(160),""))),0)),"OK",
  AND((IFERROR(VALUE(TRIM(SUBSTITUTE(BI29,CHAR(160),""))),0))&lt;(IFERROR(VALUE(TRIM(SUBSTITUTE(X29,CHAR(160),""))),0)),((IFERROR(VALUE(TRIM(SUBSTITUTE(X29,CHAR(160),""))),0))-(IFERROR(VALUE(TRIM(SUBSTITUTE(BI29,CHAR(160),""))),0)))&lt;0.01),"OK",(IFERROR(VALUE(TRIM(SUBSTITUTE(BI29,CHAR(160),""))),0))&lt;(IFERROR(VALUE(TRIM(SUBSTITUTE(X29,CHAR(160),""))),0)),"Attention : Montant présenté partiellement écarté.",
  TRUE,""))</f>
        <v/>
      </c>
      <c r="BU29" s="373" t="str" cm="1">
        <f t="array" ref="BU29">IF(OR(AF29="",BP29=""),"",_xlfn.IFS((IFERROR(VALUE(TRIM(SUBSTITUTE(BP29,CHAR(160),""))),0))&gt;(IFERROR(VALUE(TRIM(SUBSTITUTE(AF29,CHAR(160),""))),0)),"KO : Le montant retenu est supérieur au montant présenté. Merci de revoir la ligne de contribution ou plafonner son montant.",(IFERROR(VALUE(TRIM(SUBSTITUTE(AF29,CHAR(160),""))),0))=0,"Attention : montant présenté entièrement écarté",(IFERROR(VALUE(TRIM(SUBSTITUTE(BP29,CHAR(160),""))),0))=(IFERROR(VALUE(TRIM(SUBSTITUTE(AF29,CHAR(160),""))),0)),"OK",(IFERROR(VALUE(TRIM(SUBSTITUTE(BP29,CHAR(160),""))),0))&lt;(IFERROR(VALUE(TRIM(SUBSTITUTE(AF29,CHAR(160),""))),0)),"Attention : montant présenté partiellement écarté.",TRUE,""))</f>
        <v>Attention : montant présenté entièrement écarté</v>
      </c>
      <c r="BV29" s="395" t="str">
        <f t="shared" si="21"/>
        <v/>
      </c>
      <c r="BW29" s="396" t="str">
        <f t="shared" si="22"/>
        <v/>
      </c>
      <c r="BX29" s="397" t="str">
        <f t="shared" si="23"/>
        <v/>
      </c>
    </row>
    <row r="30" spans="1:76" ht="14.25" customHeight="1">
      <c r="A30" s="375">
        <v>21</v>
      </c>
      <c r="B30" s="333"/>
      <c r="C30" s="333"/>
      <c r="D30" s="333"/>
      <c r="E30" s="377"/>
      <c r="F30" s="376"/>
      <c r="G30" s="376"/>
      <c r="H30" s="400"/>
      <c r="I30" s="400"/>
      <c r="J30" s="400"/>
      <c r="K30" s="612"/>
      <c r="L30" s="613"/>
      <c r="M30" s="613"/>
      <c r="N30" s="395" t="str">
        <f t="shared" si="35"/>
        <v/>
      </c>
      <c r="O30" s="613"/>
      <c r="P30" s="613"/>
      <c r="Q30" s="610" t="str">
        <f t="shared" si="0"/>
        <v/>
      </c>
      <c r="R30" s="613"/>
      <c r="S30" s="613"/>
      <c r="T30" s="610" t="str">
        <f t="shared" si="1"/>
        <v/>
      </c>
      <c r="U30" s="611"/>
      <c r="V30" s="395" t="str" cm="1">
        <f t="array" ref="V30">IF((_xlfn.IFS(TRIM(SUBSTITUTE(U30,CHAR(160),""))="Devis 1",IFERROR(VALUE(TRIM(SUBSTITUTE(L30,CHAR(160),""))),0),TRIM(SUBSTITUTE(U30,CHAR(160),""))="Devis 2",IFERROR(VALUE(TRIM(SUBSTITUTE(O30,CHAR(160),""))),0),TRIM(SUBSTITUTE(U30,CHAR(160),""))="Devis 3",IFERROR(VALUE(TRIM(SUBSTITUTE(R30,CHAR(160),""))),0),TRUE,0))=0,"",_xlfn.IFS(TRIM(SUBSTITUTE(U30,CHAR(160),""))="Devis 1",IFERROR(VALUE(TRIM(SUBSTITUTE(L30,CHAR(160),""))),0),TRIM(SUBSTITUTE(U30,CHAR(160),""))="Devis 2",IFERROR(VALUE(TRIM(SUBSTITUTE(O30,CHAR(160),""))),0),TRIM(SUBSTITUTE(U30,CHAR(160),""))="Devis 3",IFERROR(VALUE(TRIM(SUBSTITUTE(R30,CHAR(160),""))),0),TRUE,0))</f>
        <v/>
      </c>
      <c r="W30" s="396" t="str" cm="1">
        <f t="array" ref="W30">IF((_xlfn.IFS(TRIM(SUBSTITUTE(U30,CHAR(160),""))="Devis 1",IFERROR(VALUE(TRIM(SUBSTITUTE(M30,CHAR(160),""))),0),TRIM(SUBSTITUTE(U30,CHAR(160),""))="Devis 2",IFERROR(VALUE(TRIM(SUBSTITUTE(P30,CHAR(160),""))),0),TRIM(SUBSTITUTE(U30,CHAR(160),""))="Devis 3",IFERROR(VALUE(TRIM(SUBSTITUTE(S30,CHAR(160),""))),0),TRUE,0))=0,"",_xlfn.IFS(TRIM(SUBSTITUTE(U30,CHAR(160),""))="Devis 1",IFERROR(VALUE(TRIM(SUBSTITUTE(M30,CHAR(160),""))),0),TRIM(SUBSTITUTE(U30,CHAR(160),""))="Devis 2",IFERROR(VALUE(TRIM(SUBSTITUTE(P30,CHAR(160),""))),0),TRIM(SUBSTITUTE(U30,CHAR(160),""))="Devis 3",IFERROR(VALUE(TRIM(SUBSTITUTE(S30,CHAR(160),""))),0),TRUE,0))</f>
        <v/>
      </c>
      <c r="X30" s="926" t="str" cm="1">
        <f t="array" ref="X30">IF((_xlfn.IFS(TRIM(SUBSTITUTE(U30,CHAR(160),""))="Devis 1",IFERROR(VALUE(TRIM(SUBSTITUTE(N30,CHAR(160),""))),0),TRIM(SUBSTITUTE(U30,CHAR(160),""))="Devis 2",IFERROR(VALUE(TRIM(SUBSTITUTE(Q30,CHAR(160),""))),0),TRIM(SUBSTITUTE(U30,CHAR(160),""))="Devis 3",IFERROR(VALUE(TRIM(SUBSTITUTE(T30,CHAR(160),""))),0),TRUE,0))=0,"",_xlfn.IFS(TRIM(SUBSTITUTE(U30,CHAR(160),""))="Devis 1",IFERROR(VALUE(TRIM(SUBSTITUTE(N30,CHAR(160),""))),0),TRIM(SUBSTITUTE(U30,CHAR(160),""))="Devis 2",IFERROR(VALUE(TRIM(SUBSTITUTE(Q30,CHAR(160),""))),0),TRIM(SUBSTITUTE(U30,CHAR(160),""))="Devis 3",IFERROR(VALUE(TRIM(SUBSTITUTE(T30,CHAR(160),""))),0),TRUE,0))</f>
        <v/>
      </c>
      <c r="Y30" s="933"/>
      <c r="Z30" s="929"/>
      <c r="AA30" s="935" t="str">
        <f t="shared" si="24"/>
        <v/>
      </c>
      <c r="AB30" s="934" t="str" cm="1">
        <f t="array" ref="AB30">IF(Y30="","",_xlfn.IFS(Y30=$CB$6,70,Y30=$CB$7,90,Y30=$CB$8,70,Y30=$CB$9,90,Y30=$CB$10,110))</f>
        <v/>
      </c>
      <c r="AC30" s="379"/>
      <c r="AD30" s="934" t="str" cm="1">
        <f t="array" ref="AD30">IF(Y30="","",_xlfn.IFS(Y30=$CB$6,15.75,Y30=$CB$7,21,Y30=$CB$8,15.25,Y30=$CB$9,15.25,Y30=$CB$10,15.25))</f>
        <v/>
      </c>
      <c r="AE30" s="380"/>
      <c r="AF30" s="936">
        <f t="shared" si="25"/>
        <v>0</v>
      </c>
      <c r="AG30" s="381" t="str">
        <f t="shared" si="26"/>
        <v/>
      </c>
      <c r="AH30" s="398"/>
      <c r="AI30" s="383" t="str">
        <f t="shared" si="2"/>
        <v/>
      </c>
      <c r="AJ30" s="384" t="str">
        <f t="shared" si="3"/>
        <v/>
      </c>
      <c r="AK30" s="384" t="str">
        <f t="shared" si="4"/>
        <v/>
      </c>
      <c r="AL30" s="377"/>
      <c r="AM30" s="385" t="str">
        <f t="shared" si="5"/>
        <v/>
      </c>
      <c r="AN30" s="384" t="str">
        <f t="shared" si="6"/>
        <v/>
      </c>
      <c r="AO30" s="384" t="str">
        <f t="shared" si="7"/>
        <v/>
      </c>
      <c r="AP30" s="384" t="str">
        <f t="shared" si="8"/>
        <v/>
      </c>
      <c r="AQ30" s="384" t="str">
        <f t="shared" si="9"/>
        <v/>
      </c>
      <c r="AR30" s="384" t="str">
        <f t="shared" si="10"/>
        <v/>
      </c>
      <c r="AS30" s="386" t="str">
        <f t="shared" si="11"/>
        <v/>
      </c>
      <c r="AT30" s="387" t="str">
        <f t="shared" si="12"/>
        <v/>
      </c>
      <c r="AU30" s="388" t="str">
        <f t="shared" si="36"/>
        <v/>
      </c>
      <c r="AV30" s="387" t="str">
        <f t="shared" si="13"/>
        <v/>
      </c>
      <c r="AW30" s="387" t="str">
        <f t="shared" si="14"/>
        <v/>
      </c>
      <c r="AX30" s="389" t="str">
        <f t="shared" si="27"/>
        <v/>
      </c>
      <c r="AY30" s="387" t="str">
        <f t="shared" si="15"/>
        <v/>
      </c>
      <c r="AZ30" s="387" t="str">
        <f t="shared" si="16"/>
        <v/>
      </c>
      <c r="BA30" s="389" t="str">
        <f t="shared" si="28"/>
        <v/>
      </c>
      <c r="BB30" s="390" t="str">
        <f t="shared" si="17"/>
        <v/>
      </c>
      <c r="BC30" s="391"/>
      <c r="BD30" s="390" t="str">
        <f t="shared" si="29"/>
        <v/>
      </c>
      <c r="BE30" s="390" t="str">
        <f t="shared" si="29"/>
        <v/>
      </c>
      <c r="BF30" s="390" t="str">
        <f t="shared" si="37"/>
        <v/>
      </c>
      <c r="BG30" s="392" t="str" cm="1">
        <f t="array" ref="BG30">IF(AS30="","",IF((IFERROR(_xlfn.IFS($BB30="Devis 1",(IFERROR(VALUE(TRIM(SUBSTITUTE(AS30,CHAR(160),""))),0)),$BB30="Devis 2",(IFERROR(VALUE(TRIM(SUBSTITUTE(AV30,CHAR(160),""))),0)),$BB30="Devis 3",(IFERROR(VALUE(TRIM(SUBSTITUTE(AY30,CHAR(160),""))),0))),0))=0,"",(IFERROR(_xlfn.IFS($BB30="Devis 1",(IFERROR(VALUE(TRIM(SUBSTITUTE(AS30,CHAR(160),""))),0)),$BB30="Devis 2",(IFERROR(VALUE(TRIM(SUBSTITUTE(AV30,CHAR(160),""))),0)),$BB30="Devis 3",(IFERROR(VALUE(TRIM(SUBSTITUTE(AY30,CHAR(160),""))),0))),0))))</f>
        <v/>
      </c>
      <c r="BH30" s="392" t="str" cm="1">
        <f t="array" ref="BH30">IF(AT30="","",IF((IFERROR(_xlfn.IFS($BB30="Devis 1",(IFERROR(VALUE(TRIM(SUBSTITUTE(AT30,CHAR(160),""))),0)),$BB30="Devis 2",(IFERROR(VALUE(TRIM(SUBSTITUTE(AW30,CHAR(160),""))),0)),$BB30="Devis 3",(IFERROR(VALUE(TRIM(SUBSTITUTE(AZ30,CHAR(160),""))),0))),0))=0,"",(IFERROR(_xlfn.IFS($BB30="Devis 1",(IFERROR(VALUE(TRIM(SUBSTITUTE(AT30,CHAR(160),""))),0)),$BB30="Devis 2",(IFERROR(VALUE(TRIM(SUBSTITUTE(AW30,CHAR(160),""))),0)),$BB30="Devis 3",(IFERROR(VALUE(TRIM(SUBSTITUTE(AZ30,CHAR(160),""))),0))),0))))</f>
        <v/>
      </c>
      <c r="BI30" s="700" t="str" cm="1">
        <f t="array" ref="BI30">IF(AU30="","",IF(IFERROR(_xlfn.IFS($BB30="Devis 1",IFERROR(VALUE(TRIM(SUBSTITUTE(AU30,CHAR(160),""))),0),$BB30="Devis 2",IFERROR(VALUE(TRIM(SUBSTITUTE(AX30,CHAR(160),""))),0),$BB30="Devis 3",IFERROR(VALUE(TRIM(SUBSTITUTE(BA30,CHAR(160),""))),0)),0)=0,"",IFERROR(_xlfn.IFS($BB30="Devis 1",IFERROR(VALUE(TRIM(SUBSTITUTE(AU30,CHAR(160),""))),0),$BB30="Devis 2",IFERROR(VALUE(TRIM(SUBSTITUTE(AX30,CHAR(160),""))),0),$BB30="Devis 3",IFERROR(VALUE(TRIM(SUBSTITUTE(BA30,CHAR(160),""))),0)),0)))</f>
        <v/>
      </c>
      <c r="BJ30" s="739" t="str">
        <f t="shared" si="18"/>
        <v/>
      </c>
      <c r="BK30" s="740" t="str">
        <f t="shared" si="19"/>
        <v/>
      </c>
      <c r="BL30" s="741" t="str">
        <f t="shared" si="30"/>
        <v/>
      </c>
      <c r="BM30" s="741" t="str">
        <f t="shared" si="31"/>
        <v/>
      </c>
      <c r="BN30" s="741" t="str">
        <f t="shared" si="32"/>
        <v/>
      </c>
      <c r="BO30" s="741" t="str">
        <f t="shared" si="33"/>
        <v/>
      </c>
      <c r="BP30" s="711">
        <f t="shared" si="20"/>
        <v>0</v>
      </c>
      <c r="BQ30" s="372" t="str">
        <f t="shared" si="34"/>
        <v/>
      </c>
      <c r="BR30" s="718"/>
      <c r="BS30" s="393" t="str" cm="1">
        <f t="array" ref="BS30">IF(OR(BI30="",BF30="",BG30="",BD30="",BH30="",BE30=""),"",_xlfn.IFS((IFERROR(VALUE(TRIM(SUBSTITUTE(BI30,CHAR(160),""))),0))&gt;(IFERROR(VALUE(TRIM(SUBSTITUTE(BF30,CHAR(160),""))),0)),"KO : Le montant retenu TTC est supérieur au montant raisonnable TTC. Merci de revoir la ligne de dépense ou plafonner son montant.",(IFERROR(VALUE(TRIM(SUBSTITUTE(BG30,CHAR(160),""))),0))&gt;(IFERROR(VALUE(TRIM(SUBSTITUTE(BD30,CHAR(160),""))),0)),"Attention : Le montant retenu HT est supérieur au montant HT raisonnable. Merci de revoir la ligne de dépense, plafonner son montant, ou justifier la reventillation HT / TVA.",(IFERROR(VALUE(TRIM(SUBSTITUTE(BH30,CHAR(160),""))),0))&gt;(IFERROR(VALUE(TRIM(SUBSTITUTE(BE30,CHAR(160),""))),0)),"Attention : Le montant TVA retenu est supérieur au montant TVA raisonnable. Merci de revoir la ligne de dépense, plafonner son montant, ou justifier la reventillation HT / TVA.",(IFERROR(VALUE(TRIM(SUBSTITUTE(BI30,CHAR(160),""))),0))=0,"",(IFERROR(VALUE(TRIM(SUBSTITUTE(BF30,CHAR(160),""))),0))=(IFERROR(VALUE(TRIM(SUBSTITUTE(BI30,CHAR(160),""))),0)),"OK",(IFERROR(VALUE(TRIM(SUBSTITUTE(BF30,CHAR(160),""))),0))&gt;(IFERROR(VALUE(TRIM(SUBSTITUTE(BI30,CHAR(160),""))),0))," OK : Montant instruit inférieur au montant raisonnable.",TRUE,""))</f>
        <v/>
      </c>
      <c r="BT30" s="394" t="str" cm="1">
        <f t="array" ref="BT30">IF(OR(BI30="",X30="",BG30="",V30="",BH30="",W30=""),"",_xlfn.IFS((IFERROR(VALUE(TRIM(SUBSTITUTE(BI30,CHAR(160),""))),0))=0,"Attention : montant présenté entièrement écarté",(IFERROR(VALUE(TRIM(SUBSTITUTE(BI30,CHAR(160),""))),0))&gt;(IFERROR(VALUE(TRIM(SUBSTITUTE(X30,CHAR(160),""))),0)),"KO : Le montant retenu TTC est supérieur au montant présenté TTC. Merci de revoir la ligne de dépense ou plafonner son montant.",(IFERROR(VALUE(TRIM(SUBSTITUTE(BG30,CHAR(160),""))),0))&gt;(IFERROR(VALUE(TRIM(SUBSTITUTE(V30,CHAR(160),""))),0)),"Attention : Le montant retenu HT est supérieur au montant HT présenté. Merci de revoir la ligne de dépense,plafonner son montant,ou justifier la reventillation HT/TVA.",(IFERROR(VALUE(TRIM(SUBSTITUTE(BH30,CHAR(160),""))),0))&gt;(IFERROR(VALUE(TRIM(SUBSTITUTE(W30,CHAR(160),""))),0)),"Attention : Le montant TVA retenu est supérieur au montant TVA présenté. Merci de revoir la ligne de dépense,plafonner son montant,ou justifier la reventillation HT/TVA.",(IFERROR(VALUE(TRIM(SUBSTITUTE(X30,CHAR(160),""))),0))=0,"Attention : montant présenté entièrement écarté",(IFERROR(VALUE(TRIM(SUBSTITUTE(BI30,CHAR(160),""))),0))=(IFERROR(VALUE(TRIM(SUBSTITUTE(X30,CHAR(160),""))),0)),"OK",
  AND((IFERROR(VALUE(TRIM(SUBSTITUTE(BI30,CHAR(160),""))),0))&lt;(IFERROR(VALUE(TRIM(SUBSTITUTE(X30,CHAR(160),""))),0)),((IFERROR(VALUE(TRIM(SUBSTITUTE(X30,CHAR(160),""))),0))-(IFERROR(VALUE(TRIM(SUBSTITUTE(BI30,CHAR(160),""))),0)))&lt;0.01),"OK",(IFERROR(VALUE(TRIM(SUBSTITUTE(BI30,CHAR(160),""))),0))&lt;(IFERROR(VALUE(TRIM(SUBSTITUTE(X30,CHAR(160),""))),0)),"Attention : Montant présenté partiellement écarté.",
  TRUE,""))</f>
        <v/>
      </c>
      <c r="BU30" s="373" t="str" cm="1">
        <f t="array" ref="BU30">IF(OR(AF30="",BP30=""),"",_xlfn.IFS((IFERROR(VALUE(TRIM(SUBSTITUTE(BP30,CHAR(160),""))),0))&gt;(IFERROR(VALUE(TRIM(SUBSTITUTE(AF30,CHAR(160),""))),0)),"KO : Le montant retenu est supérieur au montant présenté. Merci de revoir la ligne de contribution ou plafonner son montant.",(IFERROR(VALUE(TRIM(SUBSTITUTE(AF30,CHAR(160),""))),0))=0,"Attention : montant présenté entièrement écarté",(IFERROR(VALUE(TRIM(SUBSTITUTE(BP30,CHAR(160),""))),0))=(IFERROR(VALUE(TRIM(SUBSTITUTE(AF30,CHAR(160),""))),0)),"OK",(IFERROR(VALUE(TRIM(SUBSTITUTE(BP30,CHAR(160),""))),0))&lt;(IFERROR(VALUE(TRIM(SUBSTITUTE(AF30,CHAR(160),""))),0)),"Attention : montant présenté partiellement écarté.",TRUE,""))</f>
        <v>Attention : montant présenté entièrement écarté</v>
      </c>
      <c r="BV30" s="395" t="str">
        <f t="shared" si="21"/>
        <v/>
      </c>
      <c r="BW30" s="396" t="str">
        <f t="shared" si="22"/>
        <v/>
      </c>
      <c r="BX30" s="397" t="str">
        <f t="shared" si="23"/>
        <v/>
      </c>
    </row>
    <row r="31" spans="1:76" ht="14.25" customHeight="1">
      <c r="A31" s="375">
        <v>22</v>
      </c>
      <c r="B31" s="333"/>
      <c r="C31" s="333"/>
      <c r="D31" s="333"/>
      <c r="E31" s="377"/>
      <c r="F31" s="376"/>
      <c r="G31" s="376"/>
      <c r="H31" s="400"/>
      <c r="I31" s="400"/>
      <c r="J31" s="400"/>
      <c r="K31" s="612"/>
      <c r="L31" s="613"/>
      <c r="M31" s="613"/>
      <c r="N31" s="395" t="str">
        <f t="shared" si="35"/>
        <v/>
      </c>
      <c r="O31" s="613"/>
      <c r="P31" s="613"/>
      <c r="Q31" s="610" t="str">
        <f t="shared" si="0"/>
        <v/>
      </c>
      <c r="R31" s="613"/>
      <c r="S31" s="613"/>
      <c r="T31" s="610" t="str">
        <f t="shared" si="1"/>
        <v/>
      </c>
      <c r="U31" s="611"/>
      <c r="V31" s="395" t="str" cm="1">
        <f t="array" ref="V31">IF((_xlfn.IFS(TRIM(SUBSTITUTE(U31,CHAR(160),""))="Devis 1",IFERROR(VALUE(TRIM(SUBSTITUTE(L31,CHAR(160),""))),0),TRIM(SUBSTITUTE(U31,CHAR(160),""))="Devis 2",IFERROR(VALUE(TRIM(SUBSTITUTE(O31,CHAR(160),""))),0),TRIM(SUBSTITUTE(U31,CHAR(160),""))="Devis 3",IFERROR(VALUE(TRIM(SUBSTITUTE(R31,CHAR(160),""))),0),TRUE,0))=0,"",_xlfn.IFS(TRIM(SUBSTITUTE(U31,CHAR(160),""))="Devis 1",IFERROR(VALUE(TRIM(SUBSTITUTE(L31,CHAR(160),""))),0),TRIM(SUBSTITUTE(U31,CHAR(160),""))="Devis 2",IFERROR(VALUE(TRIM(SUBSTITUTE(O31,CHAR(160),""))),0),TRIM(SUBSTITUTE(U31,CHAR(160),""))="Devis 3",IFERROR(VALUE(TRIM(SUBSTITUTE(R31,CHAR(160),""))),0),TRUE,0))</f>
        <v/>
      </c>
      <c r="W31" s="396" t="str" cm="1">
        <f t="array" ref="W31">IF((_xlfn.IFS(TRIM(SUBSTITUTE(U31,CHAR(160),""))="Devis 1",IFERROR(VALUE(TRIM(SUBSTITUTE(M31,CHAR(160),""))),0),TRIM(SUBSTITUTE(U31,CHAR(160),""))="Devis 2",IFERROR(VALUE(TRIM(SUBSTITUTE(P31,CHAR(160),""))),0),TRIM(SUBSTITUTE(U31,CHAR(160),""))="Devis 3",IFERROR(VALUE(TRIM(SUBSTITUTE(S31,CHAR(160),""))),0),TRUE,0))=0,"",_xlfn.IFS(TRIM(SUBSTITUTE(U31,CHAR(160),""))="Devis 1",IFERROR(VALUE(TRIM(SUBSTITUTE(M31,CHAR(160),""))),0),TRIM(SUBSTITUTE(U31,CHAR(160),""))="Devis 2",IFERROR(VALUE(TRIM(SUBSTITUTE(P31,CHAR(160),""))),0),TRIM(SUBSTITUTE(U31,CHAR(160),""))="Devis 3",IFERROR(VALUE(TRIM(SUBSTITUTE(S31,CHAR(160),""))),0),TRUE,0))</f>
        <v/>
      </c>
      <c r="X31" s="926" t="str" cm="1">
        <f t="array" ref="X31">IF((_xlfn.IFS(TRIM(SUBSTITUTE(U31,CHAR(160),""))="Devis 1",IFERROR(VALUE(TRIM(SUBSTITUTE(N31,CHAR(160),""))),0),TRIM(SUBSTITUTE(U31,CHAR(160),""))="Devis 2",IFERROR(VALUE(TRIM(SUBSTITUTE(Q31,CHAR(160),""))),0),TRIM(SUBSTITUTE(U31,CHAR(160),""))="Devis 3",IFERROR(VALUE(TRIM(SUBSTITUTE(T31,CHAR(160),""))),0),TRUE,0))=0,"",_xlfn.IFS(TRIM(SUBSTITUTE(U31,CHAR(160),""))="Devis 1",IFERROR(VALUE(TRIM(SUBSTITUTE(N31,CHAR(160),""))),0),TRIM(SUBSTITUTE(U31,CHAR(160),""))="Devis 2",IFERROR(VALUE(TRIM(SUBSTITUTE(Q31,CHAR(160),""))),0),TRIM(SUBSTITUTE(U31,CHAR(160),""))="Devis 3",IFERROR(VALUE(TRIM(SUBSTITUTE(T31,CHAR(160),""))),0),TRUE,0))</f>
        <v/>
      </c>
      <c r="Y31" s="933"/>
      <c r="Z31" s="929"/>
      <c r="AA31" s="935" t="str">
        <f t="shared" si="24"/>
        <v/>
      </c>
      <c r="AB31" s="934" t="str" cm="1">
        <f t="array" ref="AB31">IF(Y31="","",_xlfn.IFS(Y31=$CB$6,70,Y31=$CB$7,90,Y31=$CB$8,70,Y31=$CB$9,90,Y31=$CB$10,110))</f>
        <v/>
      </c>
      <c r="AC31" s="379"/>
      <c r="AD31" s="934" t="str" cm="1">
        <f t="array" ref="AD31">IF(Y31="","",_xlfn.IFS(Y31=$CB$6,15.75,Y31=$CB$7,21,Y31=$CB$8,15.25,Y31=$CB$9,15.25,Y31=$CB$10,15.25))</f>
        <v/>
      </c>
      <c r="AE31" s="380"/>
      <c r="AF31" s="936">
        <f t="shared" si="25"/>
        <v>0</v>
      </c>
      <c r="AG31" s="381" t="str">
        <f t="shared" si="26"/>
        <v/>
      </c>
      <c r="AH31" s="398"/>
      <c r="AI31" s="383" t="str">
        <f t="shared" si="2"/>
        <v/>
      </c>
      <c r="AJ31" s="384" t="str">
        <f t="shared" si="3"/>
        <v/>
      </c>
      <c r="AK31" s="384" t="str">
        <f t="shared" si="4"/>
        <v/>
      </c>
      <c r="AL31" s="377"/>
      <c r="AM31" s="385" t="str">
        <f t="shared" si="5"/>
        <v/>
      </c>
      <c r="AN31" s="384" t="str">
        <f t="shared" si="6"/>
        <v/>
      </c>
      <c r="AO31" s="384" t="str">
        <f t="shared" si="7"/>
        <v/>
      </c>
      <c r="AP31" s="384" t="str">
        <f t="shared" si="8"/>
        <v/>
      </c>
      <c r="AQ31" s="384" t="str">
        <f t="shared" si="9"/>
        <v/>
      </c>
      <c r="AR31" s="384" t="str">
        <f t="shared" si="10"/>
        <v/>
      </c>
      <c r="AS31" s="386" t="str">
        <f t="shared" si="11"/>
        <v/>
      </c>
      <c r="AT31" s="387" t="str">
        <f t="shared" si="12"/>
        <v/>
      </c>
      <c r="AU31" s="388" t="str">
        <f t="shared" si="36"/>
        <v/>
      </c>
      <c r="AV31" s="387" t="str">
        <f t="shared" si="13"/>
        <v/>
      </c>
      <c r="AW31" s="387" t="str">
        <f t="shared" si="14"/>
        <v/>
      </c>
      <c r="AX31" s="389" t="str">
        <f t="shared" si="27"/>
        <v/>
      </c>
      <c r="AY31" s="387" t="str">
        <f t="shared" si="15"/>
        <v/>
      </c>
      <c r="AZ31" s="387" t="str">
        <f t="shared" si="16"/>
        <v/>
      </c>
      <c r="BA31" s="389" t="str">
        <f t="shared" si="28"/>
        <v/>
      </c>
      <c r="BB31" s="390" t="str">
        <f t="shared" si="17"/>
        <v/>
      </c>
      <c r="BC31" s="391"/>
      <c r="BD31" s="390" t="str">
        <f t="shared" si="29"/>
        <v/>
      </c>
      <c r="BE31" s="390" t="str">
        <f t="shared" si="29"/>
        <v/>
      </c>
      <c r="BF31" s="390" t="str">
        <f t="shared" si="37"/>
        <v/>
      </c>
      <c r="BG31" s="392" t="str" cm="1">
        <f t="array" ref="BG31">IF(AS31="","",IF((IFERROR(_xlfn.IFS($BB31="Devis 1",(IFERROR(VALUE(TRIM(SUBSTITUTE(AS31,CHAR(160),""))),0)),$BB31="Devis 2",(IFERROR(VALUE(TRIM(SUBSTITUTE(AV31,CHAR(160),""))),0)),$BB31="Devis 3",(IFERROR(VALUE(TRIM(SUBSTITUTE(AY31,CHAR(160),""))),0))),0))=0,"",(IFERROR(_xlfn.IFS($BB31="Devis 1",(IFERROR(VALUE(TRIM(SUBSTITUTE(AS31,CHAR(160),""))),0)),$BB31="Devis 2",(IFERROR(VALUE(TRIM(SUBSTITUTE(AV31,CHAR(160),""))),0)),$BB31="Devis 3",(IFERROR(VALUE(TRIM(SUBSTITUTE(AY31,CHAR(160),""))),0))),0))))</f>
        <v/>
      </c>
      <c r="BH31" s="392" t="str" cm="1">
        <f t="array" ref="BH31">IF(AT31="","",IF((IFERROR(_xlfn.IFS($BB31="Devis 1",(IFERROR(VALUE(TRIM(SUBSTITUTE(AT31,CHAR(160),""))),0)),$BB31="Devis 2",(IFERROR(VALUE(TRIM(SUBSTITUTE(AW31,CHAR(160),""))),0)),$BB31="Devis 3",(IFERROR(VALUE(TRIM(SUBSTITUTE(AZ31,CHAR(160),""))),0))),0))=0,"",(IFERROR(_xlfn.IFS($BB31="Devis 1",(IFERROR(VALUE(TRIM(SUBSTITUTE(AT31,CHAR(160),""))),0)),$BB31="Devis 2",(IFERROR(VALUE(TRIM(SUBSTITUTE(AW31,CHAR(160),""))),0)),$BB31="Devis 3",(IFERROR(VALUE(TRIM(SUBSTITUTE(AZ31,CHAR(160),""))),0))),0))))</f>
        <v/>
      </c>
      <c r="BI31" s="700" t="str" cm="1">
        <f t="array" ref="BI31">IF(AU31="","",IF(IFERROR(_xlfn.IFS($BB31="Devis 1",IFERROR(VALUE(TRIM(SUBSTITUTE(AU31,CHAR(160),""))),0),$BB31="Devis 2",IFERROR(VALUE(TRIM(SUBSTITUTE(AX31,CHAR(160),""))),0),$BB31="Devis 3",IFERROR(VALUE(TRIM(SUBSTITUTE(BA31,CHAR(160),""))),0)),0)=0,"",IFERROR(_xlfn.IFS($BB31="Devis 1",IFERROR(VALUE(TRIM(SUBSTITUTE(AU31,CHAR(160),""))),0),$BB31="Devis 2",IFERROR(VALUE(TRIM(SUBSTITUTE(AX31,CHAR(160),""))),0),$BB31="Devis 3",IFERROR(VALUE(TRIM(SUBSTITUTE(BA31,CHAR(160),""))),0)),0)))</f>
        <v/>
      </c>
      <c r="BJ31" s="739" t="str">
        <f t="shared" si="18"/>
        <v/>
      </c>
      <c r="BK31" s="740" t="str">
        <f t="shared" si="19"/>
        <v/>
      </c>
      <c r="BL31" s="741" t="str">
        <f t="shared" si="30"/>
        <v/>
      </c>
      <c r="BM31" s="741" t="str">
        <f t="shared" si="31"/>
        <v/>
      </c>
      <c r="BN31" s="741" t="str">
        <f t="shared" si="32"/>
        <v/>
      </c>
      <c r="BO31" s="741" t="str">
        <f t="shared" si="33"/>
        <v/>
      </c>
      <c r="BP31" s="711">
        <f t="shared" si="20"/>
        <v>0</v>
      </c>
      <c r="BQ31" s="372" t="str">
        <f t="shared" si="34"/>
        <v/>
      </c>
      <c r="BR31" s="718"/>
      <c r="BS31" s="393" t="str" cm="1">
        <f t="array" ref="BS31">IF(OR(BI31="",BF31="",BG31="",BD31="",BH31="",BE31=""),"",_xlfn.IFS((IFERROR(VALUE(TRIM(SUBSTITUTE(BI31,CHAR(160),""))),0))&gt;(IFERROR(VALUE(TRIM(SUBSTITUTE(BF31,CHAR(160),""))),0)),"KO : Le montant retenu TTC est supérieur au montant raisonnable TTC. Merci de revoir la ligne de dépense ou plafonner son montant.",(IFERROR(VALUE(TRIM(SUBSTITUTE(BG31,CHAR(160),""))),0))&gt;(IFERROR(VALUE(TRIM(SUBSTITUTE(BD31,CHAR(160),""))),0)),"Attention : Le montant retenu HT est supérieur au montant HT raisonnable. Merci de revoir la ligne de dépense, plafonner son montant, ou justifier la reventillation HT / TVA.",(IFERROR(VALUE(TRIM(SUBSTITUTE(BH31,CHAR(160),""))),0))&gt;(IFERROR(VALUE(TRIM(SUBSTITUTE(BE31,CHAR(160),""))),0)),"Attention : Le montant TVA retenu est supérieur au montant TVA raisonnable. Merci de revoir la ligne de dépense, plafonner son montant, ou justifier la reventillation HT / TVA.",(IFERROR(VALUE(TRIM(SUBSTITUTE(BI31,CHAR(160),""))),0))=0,"",(IFERROR(VALUE(TRIM(SUBSTITUTE(BF31,CHAR(160),""))),0))=(IFERROR(VALUE(TRIM(SUBSTITUTE(BI31,CHAR(160),""))),0)),"OK",(IFERROR(VALUE(TRIM(SUBSTITUTE(BF31,CHAR(160),""))),0))&gt;(IFERROR(VALUE(TRIM(SUBSTITUTE(BI31,CHAR(160),""))),0))," OK : Montant instruit inférieur au montant raisonnable.",TRUE,""))</f>
        <v/>
      </c>
      <c r="BT31" s="394" t="str" cm="1">
        <f t="array" ref="BT31">IF(OR(BI31="",X31="",BG31="",V31="",BH31="",W31=""),"",_xlfn.IFS((IFERROR(VALUE(TRIM(SUBSTITUTE(BI31,CHAR(160),""))),0))=0,"Attention : montant présenté entièrement écarté",(IFERROR(VALUE(TRIM(SUBSTITUTE(BI31,CHAR(160),""))),0))&gt;(IFERROR(VALUE(TRIM(SUBSTITUTE(X31,CHAR(160),""))),0)),"KO : Le montant retenu TTC est supérieur au montant présenté TTC. Merci de revoir la ligne de dépense ou plafonner son montant.",(IFERROR(VALUE(TRIM(SUBSTITUTE(BG31,CHAR(160),""))),0))&gt;(IFERROR(VALUE(TRIM(SUBSTITUTE(V31,CHAR(160),""))),0)),"Attention : Le montant retenu HT est supérieur au montant HT présenté. Merci de revoir la ligne de dépense,plafonner son montant,ou justifier la reventillation HT/TVA.",(IFERROR(VALUE(TRIM(SUBSTITUTE(BH31,CHAR(160),""))),0))&gt;(IFERROR(VALUE(TRIM(SUBSTITUTE(W31,CHAR(160),""))),0)),"Attention : Le montant TVA retenu est supérieur au montant TVA présenté. Merci de revoir la ligne de dépense,plafonner son montant,ou justifier la reventillation HT/TVA.",(IFERROR(VALUE(TRIM(SUBSTITUTE(X31,CHAR(160),""))),0))=0,"Attention : montant présenté entièrement écarté",(IFERROR(VALUE(TRIM(SUBSTITUTE(BI31,CHAR(160),""))),0))=(IFERROR(VALUE(TRIM(SUBSTITUTE(X31,CHAR(160),""))),0)),"OK",
  AND((IFERROR(VALUE(TRIM(SUBSTITUTE(BI31,CHAR(160),""))),0))&lt;(IFERROR(VALUE(TRIM(SUBSTITUTE(X31,CHAR(160),""))),0)),((IFERROR(VALUE(TRIM(SUBSTITUTE(X31,CHAR(160),""))),0))-(IFERROR(VALUE(TRIM(SUBSTITUTE(BI31,CHAR(160),""))),0)))&lt;0.01),"OK",(IFERROR(VALUE(TRIM(SUBSTITUTE(BI31,CHAR(160),""))),0))&lt;(IFERROR(VALUE(TRIM(SUBSTITUTE(X31,CHAR(160),""))),0)),"Attention : Montant présenté partiellement écarté.",
  TRUE,""))</f>
        <v/>
      </c>
      <c r="BU31" s="373" t="str" cm="1">
        <f t="array" ref="BU31">IF(OR(AF31="",BP31=""),"",_xlfn.IFS((IFERROR(VALUE(TRIM(SUBSTITUTE(BP31,CHAR(160),""))),0))&gt;(IFERROR(VALUE(TRIM(SUBSTITUTE(AF31,CHAR(160),""))),0)),"KO : Le montant retenu est supérieur au montant présenté. Merci de revoir la ligne de contribution ou plafonner son montant.",(IFERROR(VALUE(TRIM(SUBSTITUTE(AF31,CHAR(160),""))),0))=0,"Attention : montant présenté entièrement écarté",(IFERROR(VALUE(TRIM(SUBSTITUTE(BP31,CHAR(160),""))),0))=(IFERROR(VALUE(TRIM(SUBSTITUTE(AF31,CHAR(160),""))),0)),"OK",(IFERROR(VALUE(TRIM(SUBSTITUTE(BP31,CHAR(160),""))),0))&lt;(IFERROR(VALUE(TRIM(SUBSTITUTE(AF31,CHAR(160),""))),0)),"Attention : montant présenté partiellement écarté.",TRUE,""))</f>
        <v>Attention : montant présenté entièrement écarté</v>
      </c>
      <c r="BV31" s="395" t="str">
        <f t="shared" si="21"/>
        <v/>
      </c>
      <c r="BW31" s="396" t="str">
        <f t="shared" si="22"/>
        <v/>
      </c>
      <c r="BX31" s="397" t="str">
        <f t="shared" si="23"/>
        <v/>
      </c>
    </row>
    <row r="32" spans="1:76" ht="14.25" customHeight="1">
      <c r="A32" s="375">
        <v>23</v>
      </c>
      <c r="B32" s="333"/>
      <c r="C32" s="333"/>
      <c r="D32" s="333"/>
      <c r="E32" s="377"/>
      <c r="F32" s="376"/>
      <c r="G32" s="376"/>
      <c r="H32" s="400"/>
      <c r="I32" s="400"/>
      <c r="J32" s="400"/>
      <c r="K32" s="612"/>
      <c r="L32" s="613"/>
      <c r="M32" s="613"/>
      <c r="N32" s="395" t="str">
        <f t="shared" si="35"/>
        <v/>
      </c>
      <c r="O32" s="613"/>
      <c r="P32" s="613"/>
      <c r="Q32" s="610" t="str">
        <f t="shared" si="0"/>
        <v/>
      </c>
      <c r="R32" s="613"/>
      <c r="S32" s="613"/>
      <c r="T32" s="610" t="str">
        <f t="shared" si="1"/>
        <v/>
      </c>
      <c r="U32" s="611"/>
      <c r="V32" s="395" t="str" cm="1">
        <f t="array" ref="V32">IF((_xlfn.IFS(TRIM(SUBSTITUTE(U32,CHAR(160),""))="Devis 1",IFERROR(VALUE(TRIM(SUBSTITUTE(L32,CHAR(160),""))),0),TRIM(SUBSTITUTE(U32,CHAR(160),""))="Devis 2",IFERROR(VALUE(TRIM(SUBSTITUTE(O32,CHAR(160),""))),0),TRIM(SUBSTITUTE(U32,CHAR(160),""))="Devis 3",IFERROR(VALUE(TRIM(SUBSTITUTE(R32,CHAR(160),""))),0),TRUE,0))=0,"",_xlfn.IFS(TRIM(SUBSTITUTE(U32,CHAR(160),""))="Devis 1",IFERROR(VALUE(TRIM(SUBSTITUTE(L32,CHAR(160),""))),0),TRIM(SUBSTITUTE(U32,CHAR(160),""))="Devis 2",IFERROR(VALUE(TRIM(SUBSTITUTE(O32,CHAR(160),""))),0),TRIM(SUBSTITUTE(U32,CHAR(160),""))="Devis 3",IFERROR(VALUE(TRIM(SUBSTITUTE(R32,CHAR(160),""))),0),TRUE,0))</f>
        <v/>
      </c>
      <c r="W32" s="396" t="str" cm="1">
        <f t="array" ref="W32">IF((_xlfn.IFS(TRIM(SUBSTITUTE(U32,CHAR(160),""))="Devis 1",IFERROR(VALUE(TRIM(SUBSTITUTE(M32,CHAR(160),""))),0),TRIM(SUBSTITUTE(U32,CHAR(160),""))="Devis 2",IFERROR(VALUE(TRIM(SUBSTITUTE(P32,CHAR(160),""))),0),TRIM(SUBSTITUTE(U32,CHAR(160),""))="Devis 3",IFERROR(VALUE(TRIM(SUBSTITUTE(S32,CHAR(160),""))),0),TRUE,0))=0,"",_xlfn.IFS(TRIM(SUBSTITUTE(U32,CHAR(160),""))="Devis 1",IFERROR(VALUE(TRIM(SUBSTITUTE(M32,CHAR(160),""))),0),TRIM(SUBSTITUTE(U32,CHAR(160),""))="Devis 2",IFERROR(VALUE(TRIM(SUBSTITUTE(P32,CHAR(160),""))),0),TRIM(SUBSTITUTE(U32,CHAR(160),""))="Devis 3",IFERROR(VALUE(TRIM(SUBSTITUTE(S32,CHAR(160),""))),0),TRUE,0))</f>
        <v/>
      </c>
      <c r="X32" s="926" t="str" cm="1">
        <f t="array" ref="X32">IF((_xlfn.IFS(TRIM(SUBSTITUTE(U32,CHAR(160),""))="Devis 1",IFERROR(VALUE(TRIM(SUBSTITUTE(N32,CHAR(160),""))),0),TRIM(SUBSTITUTE(U32,CHAR(160),""))="Devis 2",IFERROR(VALUE(TRIM(SUBSTITUTE(Q32,CHAR(160),""))),0),TRIM(SUBSTITUTE(U32,CHAR(160),""))="Devis 3",IFERROR(VALUE(TRIM(SUBSTITUTE(T32,CHAR(160),""))),0),TRUE,0))=0,"",_xlfn.IFS(TRIM(SUBSTITUTE(U32,CHAR(160),""))="Devis 1",IFERROR(VALUE(TRIM(SUBSTITUTE(N32,CHAR(160),""))),0),TRIM(SUBSTITUTE(U32,CHAR(160),""))="Devis 2",IFERROR(VALUE(TRIM(SUBSTITUTE(Q32,CHAR(160),""))),0),TRIM(SUBSTITUTE(U32,CHAR(160),""))="Devis 3",IFERROR(VALUE(TRIM(SUBSTITUTE(T32,CHAR(160),""))),0),TRUE,0))</f>
        <v/>
      </c>
      <c r="Y32" s="933"/>
      <c r="Z32" s="929"/>
      <c r="AA32" s="935" t="str">
        <f t="shared" si="24"/>
        <v/>
      </c>
      <c r="AB32" s="934" t="str" cm="1">
        <f t="array" ref="AB32">IF(Y32="","",_xlfn.IFS(Y32=$CB$6,70,Y32=$CB$7,90,Y32=$CB$8,70,Y32=$CB$9,90,Y32=$CB$10,110))</f>
        <v/>
      </c>
      <c r="AC32" s="379"/>
      <c r="AD32" s="934" t="str" cm="1">
        <f t="array" ref="AD32">IF(Y32="","",_xlfn.IFS(Y32=$CB$6,15.75,Y32=$CB$7,21,Y32=$CB$8,15.25,Y32=$CB$9,15.25,Y32=$CB$10,15.25))</f>
        <v/>
      </c>
      <c r="AE32" s="380"/>
      <c r="AF32" s="936">
        <f t="shared" si="25"/>
        <v>0</v>
      </c>
      <c r="AG32" s="381" t="str">
        <f t="shared" si="26"/>
        <v/>
      </c>
      <c r="AH32" s="398"/>
      <c r="AI32" s="383" t="str">
        <f t="shared" si="2"/>
        <v/>
      </c>
      <c r="AJ32" s="384" t="str">
        <f t="shared" si="3"/>
        <v/>
      </c>
      <c r="AK32" s="384" t="str">
        <f t="shared" si="4"/>
        <v/>
      </c>
      <c r="AL32" s="377"/>
      <c r="AM32" s="385" t="str">
        <f t="shared" si="5"/>
        <v/>
      </c>
      <c r="AN32" s="384" t="str">
        <f t="shared" si="6"/>
        <v/>
      </c>
      <c r="AO32" s="384" t="str">
        <f t="shared" si="7"/>
        <v/>
      </c>
      <c r="AP32" s="384" t="str">
        <f t="shared" si="8"/>
        <v/>
      </c>
      <c r="AQ32" s="384" t="str">
        <f t="shared" si="9"/>
        <v/>
      </c>
      <c r="AR32" s="384" t="str">
        <f t="shared" si="10"/>
        <v/>
      </c>
      <c r="AS32" s="386" t="str">
        <f t="shared" si="11"/>
        <v/>
      </c>
      <c r="AT32" s="387" t="str">
        <f t="shared" si="12"/>
        <v/>
      </c>
      <c r="AU32" s="388" t="str">
        <f t="shared" si="36"/>
        <v/>
      </c>
      <c r="AV32" s="387" t="str">
        <f t="shared" si="13"/>
        <v/>
      </c>
      <c r="AW32" s="387" t="str">
        <f t="shared" si="14"/>
        <v/>
      </c>
      <c r="AX32" s="389" t="str">
        <f t="shared" si="27"/>
        <v/>
      </c>
      <c r="AY32" s="387" t="str">
        <f t="shared" si="15"/>
        <v/>
      </c>
      <c r="AZ32" s="387" t="str">
        <f t="shared" si="16"/>
        <v/>
      </c>
      <c r="BA32" s="389" t="str">
        <f t="shared" si="28"/>
        <v/>
      </c>
      <c r="BB32" s="390" t="str">
        <f t="shared" si="17"/>
        <v/>
      </c>
      <c r="BC32" s="391"/>
      <c r="BD32" s="390" t="str">
        <f t="shared" si="29"/>
        <v/>
      </c>
      <c r="BE32" s="390" t="str">
        <f t="shared" si="29"/>
        <v/>
      </c>
      <c r="BF32" s="390" t="str">
        <f t="shared" si="37"/>
        <v/>
      </c>
      <c r="BG32" s="392" t="str" cm="1">
        <f t="array" ref="BG32">IF(AS32="","",IF((IFERROR(_xlfn.IFS($BB32="Devis 1",(IFERROR(VALUE(TRIM(SUBSTITUTE(AS32,CHAR(160),""))),0)),$BB32="Devis 2",(IFERROR(VALUE(TRIM(SUBSTITUTE(AV32,CHAR(160),""))),0)),$BB32="Devis 3",(IFERROR(VALUE(TRIM(SUBSTITUTE(AY32,CHAR(160),""))),0))),0))=0,"",(IFERROR(_xlfn.IFS($BB32="Devis 1",(IFERROR(VALUE(TRIM(SUBSTITUTE(AS32,CHAR(160),""))),0)),$BB32="Devis 2",(IFERROR(VALUE(TRIM(SUBSTITUTE(AV32,CHAR(160),""))),0)),$BB32="Devis 3",(IFERROR(VALUE(TRIM(SUBSTITUTE(AY32,CHAR(160),""))),0))),0))))</f>
        <v/>
      </c>
      <c r="BH32" s="392" t="str" cm="1">
        <f t="array" ref="BH32">IF(AT32="","",IF((IFERROR(_xlfn.IFS($BB32="Devis 1",(IFERROR(VALUE(TRIM(SUBSTITUTE(AT32,CHAR(160),""))),0)),$BB32="Devis 2",(IFERROR(VALUE(TRIM(SUBSTITUTE(AW32,CHAR(160),""))),0)),$BB32="Devis 3",(IFERROR(VALUE(TRIM(SUBSTITUTE(AZ32,CHAR(160),""))),0))),0))=0,"",(IFERROR(_xlfn.IFS($BB32="Devis 1",(IFERROR(VALUE(TRIM(SUBSTITUTE(AT32,CHAR(160),""))),0)),$BB32="Devis 2",(IFERROR(VALUE(TRIM(SUBSTITUTE(AW32,CHAR(160),""))),0)),$BB32="Devis 3",(IFERROR(VALUE(TRIM(SUBSTITUTE(AZ32,CHAR(160),""))),0))),0))))</f>
        <v/>
      </c>
      <c r="BI32" s="700" t="str" cm="1">
        <f t="array" ref="BI32">IF(AU32="","",IF(IFERROR(_xlfn.IFS($BB32="Devis 1",IFERROR(VALUE(TRIM(SUBSTITUTE(AU32,CHAR(160),""))),0),$BB32="Devis 2",IFERROR(VALUE(TRIM(SUBSTITUTE(AX32,CHAR(160),""))),0),$BB32="Devis 3",IFERROR(VALUE(TRIM(SUBSTITUTE(BA32,CHAR(160),""))),0)),0)=0,"",IFERROR(_xlfn.IFS($BB32="Devis 1",IFERROR(VALUE(TRIM(SUBSTITUTE(AU32,CHAR(160),""))),0),$BB32="Devis 2",IFERROR(VALUE(TRIM(SUBSTITUTE(AX32,CHAR(160),""))),0),$BB32="Devis 3",IFERROR(VALUE(TRIM(SUBSTITUTE(BA32,CHAR(160),""))),0)),0)))</f>
        <v/>
      </c>
      <c r="BJ32" s="739" t="str">
        <f t="shared" si="18"/>
        <v/>
      </c>
      <c r="BK32" s="740" t="str">
        <f t="shared" si="19"/>
        <v/>
      </c>
      <c r="BL32" s="741" t="str">
        <f t="shared" si="30"/>
        <v/>
      </c>
      <c r="BM32" s="741" t="str">
        <f t="shared" si="31"/>
        <v/>
      </c>
      <c r="BN32" s="741" t="str">
        <f t="shared" si="32"/>
        <v/>
      </c>
      <c r="BO32" s="741" t="str">
        <f t="shared" si="33"/>
        <v/>
      </c>
      <c r="BP32" s="711">
        <f t="shared" si="20"/>
        <v>0</v>
      </c>
      <c r="BQ32" s="372" t="str">
        <f t="shared" si="34"/>
        <v/>
      </c>
      <c r="BR32" s="718"/>
      <c r="BS32" s="393" t="str" cm="1">
        <f t="array" ref="BS32">IF(OR(BI32="",BF32="",BG32="",BD32="",BH32="",BE32=""),"",_xlfn.IFS((IFERROR(VALUE(TRIM(SUBSTITUTE(BI32,CHAR(160),""))),0))&gt;(IFERROR(VALUE(TRIM(SUBSTITUTE(BF32,CHAR(160),""))),0)),"KO : Le montant retenu TTC est supérieur au montant raisonnable TTC. Merci de revoir la ligne de dépense ou plafonner son montant.",(IFERROR(VALUE(TRIM(SUBSTITUTE(BG32,CHAR(160),""))),0))&gt;(IFERROR(VALUE(TRIM(SUBSTITUTE(BD32,CHAR(160),""))),0)),"Attention : Le montant retenu HT est supérieur au montant HT raisonnable. Merci de revoir la ligne de dépense, plafonner son montant, ou justifier la reventillation HT / TVA.",(IFERROR(VALUE(TRIM(SUBSTITUTE(BH32,CHAR(160),""))),0))&gt;(IFERROR(VALUE(TRIM(SUBSTITUTE(BE32,CHAR(160),""))),0)),"Attention : Le montant TVA retenu est supérieur au montant TVA raisonnable. Merci de revoir la ligne de dépense, plafonner son montant, ou justifier la reventillation HT / TVA.",(IFERROR(VALUE(TRIM(SUBSTITUTE(BI32,CHAR(160),""))),0))=0,"",(IFERROR(VALUE(TRIM(SUBSTITUTE(BF32,CHAR(160),""))),0))=(IFERROR(VALUE(TRIM(SUBSTITUTE(BI32,CHAR(160),""))),0)),"OK",(IFERROR(VALUE(TRIM(SUBSTITUTE(BF32,CHAR(160),""))),0))&gt;(IFERROR(VALUE(TRIM(SUBSTITUTE(BI32,CHAR(160),""))),0))," OK : Montant instruit inférieur au montant raisonnable.",TRUE,""))</f>
        <v/>
      </c>
      <c r="BT32" s="394" t="str" cm="1">
        <f t="array" ref="BT32">IF(OR(BI32="",X32="",BG32="",V32="",BH32="",W32=""),"",_xlfn.IFS((IFERROR(VALUE(TRIM(SUBSTITUTE(BI32,CHAR(160),""))),0))=0,"Attention : montant présenté entièrement écarté",(IFERROR(VALUE(TRIM(SUBSTITUTE(BI32,CHAR(160),""))),0))&gt;(IFERROR(VALUE(TRIM(SUBSTITUTE(X32,CHAR(160),""))),0)),"KO : Le montant retenu TTC est supérieur au montant présenté TTC. Merci de revoir la ligne de dépense ou plafonner son montant.",(IFERROR(VALUE(TRIM(SUBSTITUTE(BG32,CHAR(160),""))),0))&gt;(IFERROR(VALUE(TRIM(SUBSTITUTE(V32,CHAR(160),""))),0)),"Attention : Le montant retenu HT est supérieur au montant HT présenté. Merci de revoir la ligne de dépense,plafonner son montant,ou justifier la reventillation HT/TVA.",(IFERROR(VALUE(TRIM(SUBSTITUTE(BH32,CHAR(160),""))),0))&gt;(IFERROR(VALUE(TRIM(SUBSTITUTE(W32,CHAR(160),""))),0)),"Attention : Le montant TVA retenu est supérieur au montant TVA présenté. Merci de revoir la ligne de dépense,plafonner son montant,ou justifier la reventillation HT/TVA.",(IFERROR(VALUE(TRIM(SUBSTITUTE(X32,CHAR(160),""))),0))=0,"Attention : montant présenté entièrement écarté",(IFERROR(VALUE(TRIM(SUBSTITUTE(BI32,CHAR(160),""))),0))=(IFERROR(VALUE(TRIM(SUBSTITUTE(X32,CHAR(160),""))),0)),"OK",
  AND((IFERROR(VALUE(TRIM(SUBSTITUTE(BI32,CHAR(160),""))),0))&lt;(IFERROR(VALUE(TRIM(SUBSTITUTE(X32,CHAR(160),""))),0)),((IFERROR(VALUE(TRIM(SUBSTITUTE(X32,CHAR(160),""))),0))-(IFERROR(VALUE(TRIM(SUBSTITUTE(BI32,CHAR(160),""))),0)))&lt;0.01),"OK",(IFERROR(VALUE(TRIM(SUBSTITUTE(BI32,CHAR(160),""))),0))&lt;(IFERROR(VALUE(TRIM(SUBSTITUTE(X32,CHAR(160),""))),0)),"Attention : Montant présenté partiellement écarté.",
  TRUE,""))</f>
        <v/>
      </c>
      <c r="BU32" s="373" t="str" cm="1">
        <f t="array" ref="BU32">IF(OR(AF32="",BP32=""),"",_xlfn.IFS((IFERROR(VALUE(TRIM(SUBSTITUTE(BP32,CHAR(160),""))),0))&gt;(IFERROR(VALUE(TRIM(SUBSTITUTE(AF32,CHAR(160),""))),0)),"KO : Le montant retenu est supérieur au montant présenté. Merci de revoir la ligne de contribution ou plafonner son montant.",(IFERROR(VALUE(TRIM(SUBSTITUTE(AF32,CHAR(160),""))),0))=0,"Attention : montant présenté entièrement écarté",(IFERROR(VALUE(TRIM(SUBSTITUTE(BP32,CHAR(160),""))),0))=(IFERROR(VALUE(TRIM(SUBSTITUTE(AF32,CHAR(160),""))),0)),"OK",(IFERROR(VALUE(TRIM(SUBSTITUTE(BP32,CHAR(160),""))),0))&lt;(IFERROR(VALUE(TRIM(SUBSTITUTE(AF32,CHAR(160),""))),0)),"Attention : montant présenté partiellement écarté.",TRUE,""))</f>
        <v>Attention : montant présenté entièrement écarté</v>
      </c>
      <c r="BV32" s="395" t="str">
        <f t="shared" si="21"/>
        <v/>
      </c>
      <c r="BW32" s="396" t="str">
        <f t="shared" si="22"/>
        <v/>
      </c>
      <c r="BX32" s="397" t="str">
        <f t="shared" si="23"/>
        <v/>
      </c>
    </row>
    <row r="33" spans="1:76" ht="14.25" customHeight="1">
      <c r="A33" s="375">
        <v>24</v>
      </c>
      <c r="B33" s="333"/>
      <c r="C33" s="333"/>
      <c r="D33" s="333"/>
      <c r="E33" s="377"/>
      <c r="F33" s="376"/>
      <c r="G33" s="376"/>
      <c r="H33" s="400"/>
      <c r="I33" s="400"/>
      <c r="J33" s="400"/>
      <c r="K33" s="612"/>
      <c r="L33" s="613"/>
      <c r="M33" s="613"/>
      <c r="N33" s="395" t="str">
        <f t="shared" si="35"/>
        <v/>
      </c>
      <c r="O33" s="613"/>
      <c r="P33" s="613"/>
      <c r="Q33" s="610" t="str">
        <f t="shared" si="0"/>
        <v/>
      </c>
      <c r="R33" s="613"/>
      <c r="S33" s="613"/>
      <c r="T33" s="610" t="str">
        <f t="shared" si="1"/>
        <v/>
      </c>
      <c r="U33" s="611"/>
      <c r="V33" s="395" t="str" cm="1">
        <f t="array" ref="V33">IF((_xlfn.IFS(TRIM(SUBSTITUTE(U33,CHAR(160),""))="Devis 1",IFERROR(VALUE(TRIM(SUBSTITUTE(L33,CHAR(160),""))),0),TRIM(SUBSTITUTE(U33,CHAR(160),""))="Devis 2",IFERROR(VALUE(TRIM(SUBSTITUTE(O33,CHAR(160),""))),0),TRIM(SUBSTITUTE(U33,CHAR(160),""))="Devis 3",IFERROR(VALUE(TRIM(SUBSTITUTE(R33,CHAR(160),""))),0),TRUE,0))=0,"",_xlfn.IFS(TRIM(SUBSTITUTE(U33,CHAR(160),""))="Devis 1",IFERROR(VALUE(TRIM(SUBSTITUTE(L33,CHAR(160),""))),0),TRIM(SUBSTITUTE(U33,CHAR(160),""))="Devis 2",IFERROR(VALUE(TRIM(SUBSTITUTE(O33,CHAR(160),""))),0),TRIM(SUBSTITUTE(U33,CHAR(160),""))="Devis 3",IFERROR(VALUE(TRIM(SUBSTITUTE(R33,CHAR(160),""))),0),TRUE,0))</f>
        <v/>
      </c>
      <c r="W33" s="396" t="str" cm="1">
        <f t="array" ref="W33">IF((_xlfn.IFS(TRIM(SUBSTITUTE(U33,CHAR(160),""))="Devis 1",IFERROR(VALUE(TRIM(SUBSTITUTE(M33,CHAR(160),""))),0),TRIM(SUBSTITUTE(U33,CHAR(160),""))="Devis 2",IFERROR(VALUE(TRIM(SUBSTITUTE(P33,CHAR(160),""))),0),TRIM(SUBSTITUTE(U33,CHAR(160),""))="Devis 3",IFERROR(VALUE(TRIM(SUBSTITUTE(S33,CHAR(160),""))),0),TRUE,0))=0,"",_xlfn.IFS(TRIM(SUBSTITUTE(U33,CHAR(160),""))="Devis 1",IFERROR(VALUE(TRIM(SUBSTITUTE(M33,CHAR(160),""))),0),TRIM(SUBSTITUTE(U33,CHAR(160),""))="Devis 2",IFERROR(VALUE(TRIM(SUBSTITUTE(P33,CHAR(160),""))),0),TRIM(SUBSTITUTE(U33,CHAR(160),""))="Devis 3",IFERROR(VALUE(TRIM(SUBSTITUTE(S33,CHAR(160),""))),0),TRUE,0))</f>
        <v/>
      </c>
      <c r="X33" s="926" t="str" cm="1">
        <f t="array" ref="X33">IF((_xlfn.IFS(TRIM(SUBSTITUTE(U33,CHAR(160),""))="Devis 1",IFERROR(VALUE(TRIM(SUBSTITUTE(N33,CHAR(160),""))),0),TRIM(SUBSTITUTE(U33,CHAR(160),""))="Devis 2",IFERROR(VALUE(TRIM(SUBSTITUTE(Q33,CHAR(160),""))),0),TRIM(SUBSTITUTE(U33,CHAR(160),""))="Devis 3",IFERROR(VALUE(TRIM(SUBSTITUTE(T33,CHAR(160),""))),0),TRUE,0))=0,"",_xlfn.IFS(TRIM(SUBSTITUTE(U33,CHAR(160),""))="Devis 1",IFERROR(VALUE(TRIM(SUBSTITUTE(N33,CHAR(160),""))),0),TRIM(SUBSTITUTE(U33,CHAR(160),""))="Devis 2",IFERROR(VALUE(TRIM(SUBSTITUTE(Q33,CHAR(160),""))),0),TRIM(SUBSTITUTE(U33,CHAR(160),""))="Devis 3",IFERROR(VALUE(TRIM(SUBSTITUTE(T33,CHAR(160),""))),0),TRUE,0))</f>
        <v/>
      </c>
      <c r="Y33" s="933"/>
      <c r="Z33" s="929"/>
      <c r="AA33" s="935" t="str">
        <f t="shared" si="24"/>
        <v/>
      </c>
      <c r="AB33" s="934" t="str" cm="1">
        <f t="array" ref="AB33">IF(Y33="","",_xlfn.IFS(Y33=$CB$6,70,Y33=$CB$7,90,Y33=$CB$8,70,Y33=$CB$9,90,Y33=$CB$10,110))</f>
        <v/>
      </c>
      <c r="AC33" s="379"/>
      <c r="AD33" s="934" t="str" cm="1">
        <f t="array" ref="AD33">IF(Y33="","",_xlfn.IFS(Y33=$CB$6,15.75,Y33=$CB$7,21,Y33=$CB$8,15.25,Y33=$CB$9,15.25,Y33=$CB$10,15.25))</f>
        <v/>
      </c>
      <c r="AE33" s="380"/>
      <c r="AF33" s="936">
        <f t="shared" si="25"/>
        <v>0</v>
      </c>
      <c r="AG33" s="381" t="str">
        <f t="shared" si="26"/>
        <v/>
      </c>
      <c r="AH33" s="398"/>
      <c r="AI33" s="383" t="str">
        <f t="shared" si="2"/>
        <v/>
      </c>
      <c r="AJ33" s="384" t="str">
        <f t="shared" si="3"/>
        <v/>
      </c>
      <c r="AK33" s="384" t="str">
        <f t="shared" si="4"/>
        <v/>
      </c>
      <c r="AL33" s="377"/>
      <c r="AM33" s="385" t="str">
        <f t="shared" si="5"/>
        <v/>
      </c>
      <c r="AN33" s="384" t="str">
        <f t="shared" si="6"/>
        <v/>
      </c>
      <c r="AO33" s="384" t="str">
        <f t="shared" si="7"/>
        <v/>
      </c>
      <c r="AP33" s="384" t="str">
        <f t="shared" si="8"/>
        <v/>
      </c>
      <c r="AQ33" s="384" t="str">
        <f t="shared" si="9"/>
        <v/>
      </c>
      <c r="AR33" s="384" t="str">
        <f t="shared" si="10"/>
        <v/>
      </c>
      <c r="AS33" s="386" t="str">
        <f t="shared" si="11"/>
        <v/>
      </c>
      <c r="AT33" s="387" t="str">
        <f t="shared" si="12"/>
        <v/>
      </c>
      <c r="AU33" s="388" t="str">
        <f t="shared" si="36"/>
        <v/>
      </c>
      <c r="AV33" s="387" t="str">
        <f t="shared" si="13"/>
        <v/>
      </c>
      <c r="AW33" s="387" t="str">
        <f t="shared" si="14"/>
        <v/>
      </c>
      <c r="AX33" s="389" t="str">
        <f t="shared" si="27"/>
        <v/>
      </c>
      <c r="AY33" s="387" t="str">
        <f t="shared" si="15"/>
        <v/>
      </c>
      <c r="AZ33" s="387" t="str">
        <f t="shared" si="16"/>
        <v/>
      </c>
      <c r="BA33" s="389" t="str">
        <f t="shared" si="28"/>
        <v/>
      </c>
      <c r="BB33" s="390" t="str">
        <f t="shared" si="17"/>
        <v/>
      </c>
      <c r="BC33" s="391"/>
      <c r="BD33" s="390" t="str">
        <f t="shared" si="29"/>
        <v/>
      </c>
      <c r="BE33" s="390" t="str">
        <f t="shared" si="29"/>
        <v/>
      </c>
      <c r="BF33" s="390" t="str">
        <f t="shared" si="37"/>
        <v/>
      </c>
      <c r="BG33" s="392" t="str" cm="1">
        <f t="array" ref="BG33">IF(AS33="","",IF((IFERROR(_xlfn.IFS($BB33="Devis 1",(IFERROR(VALUE(TRIM(SUBSTITUTE(AS33,CHAR(160),""))),0)),$BB33="Devis 2",(IFERROR(VALUE(TRIM(SUBSTITUTE(AV33,CHAR(160),""))),0)),$BB33="Devis 3",(IFERROR(VALUE(TRIM(SUBSTITUTE(AY33,CHAR(160),""))),0))),0))=0,"",(IFERROR(_xlfn.IFS($BB33="Devis 1",(IFERROR(VALUE(TRIM(SUBSTITUTE(AS33,CHAR(160),""))),0)),$BB33="Devis 2",(IFERROR(VALUE(TRIM(SUBSTITUTE(AV33,CHAR(160),""))),0)),$BB33="Devis 3",(IFERROR(VALUE(TRIM(SUBSTITUTE(AY33,CHAR(160),""))),0))),0))))</f>
        <v/>
      </c>
      <c r="BH33" s="392" t="str" cm="1">
        <f t="array" ref="BH33">IF(AT33="","",IF((IFERROR(_xlfn.IFS($BB33="Devis 1",(IFERROR(VALUE(TRIM(SUBSTITUTE(AT33,CHAR(160),""))),0)),$BB33="Devis 2",(IFERROR(VALUE(TRIM(SUBSTITUTE(AW33,CHAR(160),""))),0)),$BB33="Devis 3",(IFERROR(VALUE(TRIM(SUBSTITUTE(AZ33,CHAR(160),""))),0))),0))=0,"",(IFERROR(_xlfn.IFS($BB33="Devis 1",(IFERROR(VALUE(TRIM(SUBSTITUTE(AT33,CHAR(160),""))),0)),$BB33="Devis 2",(IFERROR(VALUE(TRIM(SUBSTITUTE(AW33,CHAR(160),""))),0)),$BB33="Devis 3",(IFERROR(VALUE(TRIM(SUBSTITUTE(AZ33,CHAR(160),""))),0))),0))))</f>
        <v/>
      </c>
      <c r="BI33" s="700" t="str" cm="1">
        <f t="array" ref="BI33">IF(AU33="","",IF(IFERROR(_xlfn.IFS($BB33="Devis 1",IFERROR(VALUE(TRIM(SUBSTITUTE(AU33,CHAR(160),""))),0),$BB33="Devis 2",IFERROR(VALUE(TRIM(SUBSTITUTE(AX33,CHAR(160),""))),0),$BB33="Devis 3",IFERROR(VALUE(TRIM(SUBSTITUTE(BA33,CHAR(160),""))),0)),0)=0,"",IFERROR(_xlfn.IFS($BB33="Devis 1",IFERROR(VALUE(TRIM(SUBSTITUTE(AU33,CHAR(160),""))),0),$BB33="Devis 2",IFERROR(VALUE(TRIM(SUBSTITUTE(AX33,CHAR(160),""))),0),$BB33="Devis 3",IFERROR(VALUE(TRIM(SUBSTITUTE(BA33,CHAR(160),""))),0)),0)))</f>
        <v/>
      </c>
      <c r="BJ33" s="739" t="str">
        <f t="shared" si="18"/>
        <v/>
      </c>
      <c r="BK33" s="740" t="str">
        <f t="shared" si="19"/>
        <v/>
      </c>
      <c r="BL33" s="741" t="str">
        <f t="shared" si="30"/>
        <v/>
      </c>
      <c r="BM33" s="741" t="str">
        <f t="shared" si="31"/>
        <v/>
      </c>
      <c r="BN33" s="741" t="str">
        <f t="shared" si="32"/>
        <v/>
      </c>
      <c r="BO33" s="741" t="str">
        <f t="shared" si="33"/>
        <v/>
      </c>
      <c r="BP33" s="711">
        <f t="shared" si="20"/>
        <v>0</v>
      </c>
      <c r="BQ33" s="372" t="str">
        <f t="shared" si="34"/>
        <v/>
      </c>
      <c r="BR33" s="718"/>
      <c r="BS33" s="393" t="str" cm="1">
        <f t="array" ref="BS33">IF(OR(BI33="",BF33="",BG33="",BD33="",BH33="",BE33=""),"",_xlfn.IFS((IFERROR(VALUE(TRIM(SUBSTITUTE(BI33,CHAR(160),""))),0))&gt;(IFERROR(VALUE(TRIM(SUBSTITUTE(BF33,CHAR(160),""))),0)),"KO : Le montant retenu TTC est supérieur au montant raisonnable TTC. Merci de revoir la ligne de dépense ou plafonner son montant.",(IFERROR(VALUE(TRIM(SUBSTITUTE(BG33,CHAR(160),""))),0))&gt;(IFERROR(VALUE(TRIM(SUBSTITUTE(BD33,CHAR(160),""))),0)),"Attention : Le montant retenu HT est supérieur au montant HT raisonnable. Merci de revoir la ligne de dépense, plafonner son montant, ou justifier la reventillation HT / TVA.",(IFERROR(VALUE(TRIM(SUBSTITUTE(BH33,CHAR(160),""))),0))&gt;(IFERROR(VALUE(TRIM(SUBSTITUTE(BE33,CHAR(160),""))),0)),"Attention : Le montant TVA retenu est supérieur au montant TVA raisonnable. Merci de revoir la ligne de dépense, plafonner son montant, ou justifier la reventillation HT / TVA.",(IFERROR(VALUE(TRIM(SUBSTITUTE(BI33,CHAR(160),""))),0))=0,"",(IFERROR(VALUE(TRIM(SUBSTITUTE(BF33,CHAR(160),""))),0))=(IFERROR(VALUE(TRIM(SUBSTITUTE(BI33,CHAR(160),""))),0)),"OK",(IFERROR(VALUE(TRIM(SUBSTITUTE(BF33,CHAR(160),""))),0))&gt;(IFERROR(VALUE(TRIM(SUBSTITUTE(BI33,CHAR(160),""))),0))," OK : Montant instruit inférieur au montant raisonnable.",TRUE,""))</f>
        <v/>
      </c>
      <c r="BT33" s="394" t="str" cm="1">
        <f t="array" ref="BT33">IF(OR(BI33="",X33="",BG33="",V33="",BH33="",W33=""),"",_xlfn.IFS((IFERROR(VALUE(TRIM(SUBSTITUTE(BI33,CHAR(160),""))),0))=0,"Attention : montant présenté entièrement écarté",(IFERROR(VALUE(TRIM(SUBSTITUTE(BI33,CHAR(160),""))),0))&gt;(IFERROR(VALUE(TRIM(SUBSTITUTE(X33,CHAR(160),""))),0)),"KO : Le montant retenu TTC est supérieur au montant présenté TTC. Merci de revoir la ligne de dépense ou plafonner son montant.",(IFERROR(VALUE(TRIM(SUBSTITUTE(BG33,CHAR(160),""))),0))&gt;(IFERROR(VALUE(TRIM(SUBSTITUTE(V33,CHAR(160),""))),0)),"Attention : Le montant retenu HT est supérieur au montant HT présenté. Merci de revoir la ligne de dépense,plafonner son montant,ou justifier la reventillation HT/TVA.",(IFERROR(VALUE(TRIM(SUBSTITUTE(BH33,CHAR(160),""))),0))&gt;(IFERROR(VALUE(TRIM(SUBSTITUTE(W33,CHAR(160),""))),0)),"Attention : Le montant TVA retenu est supérieur au montant TVA présenté. Merci de revoir la ligne de dépense,plafonner son montant,ou justifier la reventillation HT/TVA.",(IFERROR(VALUE(TRIM(SUBSTITUTE(X33,CHAR(160),""))),0))=0,"Attention : montant présenté entièrement écarté",(IFERROR(VALUE(TRIM(SUBSTITUTE(BI33,CHAR(160),""))),0))=(IFERROR(VALUE(TRIM(SUBSTITUTE(X33,CHAR(160),""))),0)),"OK",
  AND((IFERROR(VALUE(TRIM(SUBSTITUTE(BI33,CHAR(160),""))),0))&lt;(IFERROR(VALUE(TRIM(SUBSTITUTE(X33,CHAR(160),""))),0)),((IFERROR(VALUE(TRIM(SUBSTITUTE(X33,CHAR(160),""))),0))-(IFERROR(VALUE(TRIM(SUBSTITUTE(BI33,CHAR(160),""))),0)))&lt;0.01),"OK",(IFERROR(VALUE(TRIM(SUBSTITUTE(BI33,CHAR(160),""))),0))&lt;(IFERROR(VALUE(TRIM(SUBSTITUTE(X33,CHAR(160),""))),0)),"Attention : Montant présenté partiellement écarté.",
  TRUE,""))</f>
        <v/>
      </c>
      <c r="BU33" s="373" t="str" cm="1">
        <f t="array" ref="BU33">IF(OR(AF33="",BP33=""),"",_xlfn.IFS((IFERROR(VALUE(TRIM(SUBSTITUTE(BP33,CHAR(160),""))),0))&gt;(IFERROR(VALUE(TRIM(SUBSTITUTE(AF33,CHAR(160),""))),0)),"KO : Le montant retenu est supérieur au montant présenté. Merci de revoir la ligne de contribution ou plafonner son montant.",(IFERROR(VALUE(TRIM(SUBSTITUTE(AF33,CHAR(160),""))),0))=0,"Attention : montant présenté entièrement écarté",(IFERROR(VALUE(TRIM(SUBSTITUTE(BP33,CHAR(160),""))),0))=(IFERROR(VALUE(TRIM(SUBSTITUTE(AF33,CHAR(160),""))),0)),"OK",(IFERROR(VALUE(TRIM(SUBSTITUTE(BP33,CHAR(160),""))),0))&lt;(IFERROR(VALUE(TRIM(SUBSTITUTE(AF33,CHAR(160),""))),0)),"Attention : montant présenté partiellement écarté.",TRUE,""))</f>
        <v>Attention : montant présenté entièrement écarté</v>
      </c>
      <c r="BV33" s="395" t="str">
        <f t="shared" si="21"/>
        <v/>
      </c>
      <c r="BW33" s="396" t="str">
        <f t="shared" si="22"/>
        <v/>
      </c>
      <c r="BX33" s="397" t="str">
        <f t="shared" si="23"/>
        <v/>
      </c>
    </row>
    <row r="34" spans="1:76" ht="14.25" customHeight="1">
      <c r="A34" s="375">
        <v>25</v>
      </c>
      <c r="B34" s="333"/>
      <c r="C34" s="333"/>
      <c r="D34" s="333"/>
      <c r="E34" s="377"/>
      <c r="F34" s="376"/>
      <c r="G34" s="376"/>
      <c r="H34" s="400"/>
      <c r="I34" s="400"/>
      <c r="J34" s="400"/>
      <c r="K34" s="612"/>
      <c r="L34" s="613"/>
      <c r="M34" s="613"/>
      <c r="N34" s="395" t="str">
        <f t="shared" si="35"/>
        <v/>
      </c>
      <c r="O34" s="613"/>
      <c r="P34" s="613"/>
      <c r="Q34" s="610" t="str">
        <f t="shared" si="0"/>
        <v/>
      </c>
      <c r="R34" s="613"/>
      <c r="S34" s="613"/>
      <c r="T34" s="610" t="str">
        <f t="shared" si="1"/>
        <v/>
      </c>
      <c r="U34" s="611"/>
      <c r="V34" s="395" t="str" cm="1">
        <f t="array" ref="V34">IF((_xlfn.IFS(TRIM(SUBSTITUTE(U34,CHAR(160),""))="Devis 1",IFERROR(VALUE(TRIM(SUBSTITUTE(L34,CHAR(160),""))),0),TRIM(SUBSTITUTE(U34,CHAR(160),""))="Devis 2",IFERROR(VALUE(TRIM(SUBSTITUTE(O34,CHAR(160),""))),0),TRIM(SUBSTITUTE(U34,CHAR(160),""))="Devis 3",IFERROR(VALUE(TRIM(SUBSTITUTE(R34,CHAR(160),""))),0),TRUE,0))=0,"",_xlfn.IFS(TRIM(SUBSTITUTE(U34,CHAR(160),""))="Devis 1",IFERROR(VALUE(TRIM(SUBSTITUTE(L34,CHAR(160),""))),0),TRIM(SUBSTITUTE(U34,CHAR(160),""))="Devis 2",IFERROR(VALUE(TRIM(SUBSTITUTE(O34,CHAR(160),""))),0),TRIM(SUBSTITUTE(U34,CHAR(160),""))="Devis 3",IFERROR(VALUE(TRIM(SUBSTITUTE(R34,CHAR(160),""))),0),TRUE,0))</f>
        <v/>
      </c>
      <c r="W34" s="396" t="str" cm="1">
        <f t="array" ref="W34">IF((_xlfn.IFS(TRIM(SUBSTITUTE(U34,CHAR(160),""))="Devis 1",IFERROR(VALUE(TRIM(SUBSTITUTE(M34,CHAR(160),""))),0),TRIM(SUBSTITUTE(U34,CHAR(160),""))="Devis 2",IFERROR(VALUE(TRIM(SUBSTITUTE(P34,CHAR(160),""))),0),TRIM(SUBSTITUTE(U34,CHAR(160),""))="Devis 3",IFERROR(VALUE(TRIM(SUBSTITUTE(S34,CHAR(160),""))),0),TRUE,0))=0,"",_xlfn.IFS(TRIM(SUBSTITUTE(U34,CHAR(160),""))="Devis 1",IFERROR(VALUE(TRIM(SUBSTITUTE(M34,CHAR(160),""))),0),TRIM(SUBSTITUTE(U34,CHAR(160),""))="Devis 2",IFERROR(VALUE(TRIM(SUBSTITUTE(P34,CHAR(160),""))),0),TRIM(SUBSTITUTE(U34,CHAR(160),""))="Devis 3",IFERROR(VALUE(TRIM(SUBSTITUTE(S34,CHAR(160),""))),0),TRUE,0))</f>
        <v/>
      </c>
      <c r="X34" s="926" t="str" cm="1">
        <f t="array" ref="X34">IF((_xlfn.IFS(TRIM(SUBSTITUTE(U34,CHAR(160),""))="Devis 1",IFERROR(VALUE(TRIM(SUBSTITUTE(N34,CHAR(160),""))),0),TRIM(SUBSTITUTE(U34,CHAR(160),""))="Devis 2",IFERROR(VALUE(TRIM(SUBSTITUTE(Q34,CHAR(160),""))),0),TRIM(SUBSTITUTE(U34,CHAR(160),""))="Devis 3",IFERROR(VALUE(TRIM(SUBSTITUTE(T34,CHAR(160),""))),0),TRUE,0))=0,"",_xlfn.IFS(TRIM(SUBSTITUTE(U34,CHAR(160),""))="Devis 1",IFERROR(VALUE(TRIM(SUBSTITUTE(N34,CHAR(160),""))),0),TRIM(SUBSTITUTE(U34,CHAR(160),""))="Devis 2",IFERROR(VALUE(TRIM(SUBSTITUTE(Q34,CHAR(160),""))),0),TRIM(SUBSTITUTE(U34,CHAR(160),""))="Devis 3",IFERROR(VALUE(TRIM(SUBSTITUTE(T34,CHAR(160),""))),0),TRUE,0))</f>
        <v/>
      </c>
      <c r="Y34" s="933"/>
      <c r="Z34" s="929"/>
      <c r="AA34" s="935" t="str">
        <f t="shared" si="24"/>
        <v/>
      </c>
      <c r="AB34" s="934" t="str" cm="1">
        <f t="array" ref="AB34">IF(Y34="","",_xlfn.IFS(Y34=$CB$6,70,Y34=$CB$7,90,Y34=$CB$8,70,Y34=$CB$9,90,Y34=$CB$10,110))</f>
        <v/>
      </c>
      <c r="AC34" s="379"/>
      <c r="AD34" s="934" t="str" cm="1">
        <f t="array" ref="AD34">IF(Y34="","",_xlfn.IFS(Y34=$CB$6,15.75,Y34=$CB$7,21,Y34=$CB$8,15.25,Y34=$CB$9,15.25,Y34=$CB$10,15.25))</f>
        <v/>
      </c>
      <c r="AE34" s="380"/>
      <c r="AF34" s="936">
        <f t="shared" si="25"/>
        <v>0</v>
      </c>
      <c r="AG34" s="381" t="str">
        <f t="shared" si="26"/>
        <v/>
      </c>
      <c r="AH34" s="398"/>
      <c r="AI34" s="383" t="str">
        <f t="shared" si="2"/>
        <v/>
      </c>
      <c r="AJ34" s="384" t="str">
        <f t="shared" si="3"/>
        <v/>
      </c>
      <c r="AK34" s="384" t="str">
        <f t="shared" si="4"/>
        <v/>
      </c>
      <c r="AL34" s="377"/>
      <c r="AM34" s="385" t="str">
        <f t="shared" si="5"/>
        <v/>
      </c>
      <c r="AN34" s="384" t="str">
        <f t="shared" si="6"/>
        <v/>
      </c>
      <c r="AO34" s="384" t="str">
        <f t="shared" si="7"/>
        <v/>
      </c>
      <c r="AP34" s="384" t="str">
        <f t="shared" si="8"/>
        <v/>
      </c>
      <c r="AQ34" s="384" t="str">
        <f t="shared" si="9"/>
        <v/>
      </c>
      <c r="AR34" s="384" t="str">
        <f t="shared" si="10"/>
        <v/>
      </c>
      <c r="AS34" s="386" t="str">
        <f t="shared" si="11"/>
        <v/>
      </c>
      <c r="AT34" s="387" t="str">
        <f t="shared" si="12"/>
        <v/>
      </c>
      <c r="AU34" s="388" t="str">
        <f t="shared" si="36"/>
        <v/>
      </c>
      <c r="AV34" s="387" t="str">
        <f t="shared" si="13"/>
        <v/>
      </c>
      <c r="AW34" s="387" t="str">
        <f t="shared" si="14"/>
        <v/>
      </c>
      <c r="AX34" s="389" t="str">
        <f t="shared" si="27"/>
        <v/>
      </c>
      <c r="AY34" s="387" t="str">
        <f t="shared" si="15"/>
        <v/>
      </c>
      <c r="AZ34" s="387" t="str">
        <f t="shared" si="16"/>
        <v/>
      </c>
      <c r="BA34" s="389" t="str">
        <f t="shared" si="28"/>
        <v/>
      </c>
      <c r="BB34" s="390" t="str">
        <f t="shared" si="17"/>
        <v/>
      </c>
      <c r="BC34" s="391"/>
      <c r="BD34" s="390" t="str">
        <f t="shared" si="29"/>
        <v/>
      </c>
      <c r="BE34" s="390" t="str">
        <f t="shared" si="29"/>
        <v/>
      </c>
      <c r="BF34" s="390" t="str">
        <f t="shared" si="37"/>
        <v/>
      </c>
      <c r="BG34" s="392" t="str" cm="1">
        <f t="array" ref="BG34">IF(AS34="","",IF((IFERROR(_xlfn.IFS($BB34="Devis 1",(IFERROR(VALUE(TRIM(SUBSTITUTE(AS34,CHAR(160),""))),0)),$BB34="Devis 2",(IFERROR(VALUE(TRIM(SUBSTITUTE(AV34,CHAR(160),""))),0)),$BB34="Devis 3",(IFERROR(VALUE(TRIM(SUBSTITUTE(AY34,CHAR(160),""))),0))),0))=0,"",(IFERROR(_xlfn.IFS($BB34="Devis 1",(IFERROR(VALUE(TRIM(SUBSTITUTE(AS34,CHAR(160),""))),0)),$BB34="Devis 2",(IFERROR(VALUE(TRIM(SUBSTITUTE(AV34,CHAR(160),""))),0)),$BB34="Devis 3",(IFERROR(VALUE(TRIM(SUBSTITUTE(AY34,CHAR(160),""))),0))),0))))</f>
        <v/>
      </c>
      <c r="BH34" s="392" t="str" cm="1">
        <f t="array" ref="BH34">IF(AT34="","",IF((IFERROR(_xlfn.IFS($BB34="Devis 1",(IFERROR(VALUE(TRIM(SUBSTITUTE(AT34,CHAR(160),""))),0)),$BB34="Devis 2",(IFERROR(VALUE(TRIM(SUBSTITUTE(AW34,CHAR(160),""))),0)),$BB34="Devis 3",(IFERROR(VALUE(TRIM(SUBSTITUTE(AZ34,CHAR(160),""))),0))),0))=0,"",(IFERROR(_xlfn.IFS($BB34="Devis 1",(IFERROR(VALUE(TRIM(SUBSTITUTE(AT34,CHAR(160),""))),0)),$BB34="Devis 2",(IFERROR(VALUE(TRIM(SUBSTITUTE(AW34,CHAR(160),""))),0)),$BB34="Devis 3",(IFERROR(VALUE(TRIM(SUBSTITUTE(AZ34,CHAR(160),""))),0))),0))))</f>
        <v/>
      </c>
      <c r="BI34" s="700" t="str" cm="1">
        <f t="array" ref="BI34">IF(AU34="","",IF(IFERROR(_xlfn.IFS($BB34="Devis 1",IFERROR(VALUE(TRIM(SUBSTITUTE(AU34,CHAR(160),""))),0),$BB34="Devis 2",IFERROR(VALUE(TRIM(SUBSTITUTE(AX34,CHAR(160),""))),0),$BB34="Devis 3",IFERROR(VALUE(TRIM(SUBSTITUTE(BA34,CHAR(160),""))),0)),0)=0,"",IFERROR(_xlfn.IFS($BB34="Devis 1",IFERROR(VALUE(TRIM(SUBSTITUTE(AU34,CHAR(160),""))),0),$BB34="Devis 2",IFERROR(VALUE(TRIM(SUBSTITUTE(AX34,CHAR(160),""))),0),$BB34="Devis 3",IFERROR(VALUE(TRIM(SUBSTITUTE(BA34,CHAR(160),""))),0)),0)))</f>
        <v/>
      </c>
      <c r="BJ34" s="739" t="str">
        <f t="shared" si="18"/>
        <v/>
      </c>
      <c r="BK34" s="740" t="str">
        <f t="shared" si="19"/>
        <v/>
      </c>
      <c r="BL34" s="741" t="str">
        <f t="shared" si="30"/>
        <v/>
      </c>
      <c r="BM34" s="741" t="str">
        <f t="shared" si="31"/>
        <v/>
      </c>
      <c r="BN34" s="741" t="str">
        <f t="shared" si="32"/>
        <v/>
      </c>
      <c r="BO34" s="741" t="str">
        <f t="shared" si="33"/>
        <v/>
      </c>
      <c r="BP34" s="711">
        <f t="shared" si="20"/>
        <v>0</v>
      </c>
      <c r="BQ34" s="372" t="str">
        <f t="shared" si="34"/>
        <v/>
      </c>
      <c r="BR34" s="718"/>
      <c r="BS34" s="393" t="str" cm="1">
        <f t="array" ref="BS34">IF(OR(BI34="",BF34="",BG34="",BD34="",BH34="",BE34=""),"",_xlfn.IFS((IFERROR(VALUE(TRIM(SUBSTITUTE(BI34,CHAR(160),""))),0))&gt;(IFERROR(VALUE(TRIM(SUBSTITUTE(BF34,CHAR(160),""))),0)),"KO : Le montant retenu TTC est supérieur au montant raisonnable TTC. Merci de revoir la ligne de dépense ou plafonner son montant.",(IFERROR(VALUE(TRIM(SUBSTITUTE(BG34,CHAR(160),""))),0))&gt;(IFERROR(VALUE(TRIM(SUBSTITUTE(BD34,CHAR(160),""))),0)),"Attention : Le montant retenu HT est supérieur au montant HT raisonnable. Merci de revoir la ligne de dépense, plafonner son montant, ou justifier la reventillation HT / TVA.",(IFERROR(VALUE(TRIM(SUBSTITUTE(BH34,CHAR(160),""))),0))&gt;(IFERROR(VALUE(TRIM(SUBSTITUTE(BE34,CHAR(160),""))),0)),"Attention : Le montant TVA retenu est supérieur au montant TVA raisonnable. Merci de revoir la ligne de dépense, plafonner son montant, ou justifier la reventillation HT / TVA.",(IFERROR(VALUE(TRIM(SUBSTITUTE(BI34,CHAR(160),""))),0))=0,"",(IFERROR(VALUE(TRIM(SUBSTITUTE(BF34,CHAR(160),""))),0))=(IFERROR(VALUE(TRIM(SUBSTITUTE(BI34,CHAR(160),""))),0)),"OK",(IFERROR(VALUE(TRIM(SUBSTITUTE(BF34,CHAR(160),""))),0))&gt;(IFERROR(VALUE(TRIM(SUBSTITUTE(BI34,CHAR(160),""))),0))," OK : Montant instruit inférieur au montant raisonnable.",TRUE,""))</f>
        <v/>
      </c>
      <c r="BT34" s="394" t="str" cm="1">
        <f t="array" ref="BT34">IF(OR(BI34="",X34="",BG34="",V34="",BH34="",W34=""),"",_xlfn.IFS((IFERROR(VALUE(TRIM(SUBSTITUTE(BI34,CHAR(160),""))),0))=0,"Attention : montant présenté entièrement écarté",(IFERROR(VALUE(TRIM(SUBSTITUTE(BI34,CHAR(160),""))),0))&gt;(IFERROR(VALUE(TRIM(SUBSTITUTE(X34,CHAR(160),""))),0)),"KO : Le montant retenu TTC est supérieur au montant présenté TTC. Merci de revoir la ligne de dépense ou plafonner son montant.",(IFERROR(VALUE(TRIM(SUBSTITUTE(BG34,CHAR(160),""))),0))&gt;(IFERROR(VALUE(TRIM(SUBSTITUTE(V34,CHAR(160),""))),0)),"Attention : Le montant retenu HT est supérieur au montant HT présenté. Merci de revoir la ligne de dépense,plafonner son montant,ou justifier la reventillation HT/TVA.",(IFERROR(VALUE(TRIM(SUBSTITUTE(BH34,CHAR(160),""))),0))&gt;(IFERROR(VALUE(TRIM(SUBSTITUTE(W34,CHAR(160),""))),0)),"Attention : Le montant TVA retenu est supérieur au montant TVA présenté. Merci de revoir la ligne de dépense,plafonner son montant,ou justifier la reventillation HT/TVA.",(IFERROR(VALUE(TRIM(SUBSTITUTE(X34,CHAR(160),""))),0))=0,"Attention : montant présenté entièrement écarté",(IFERROR(VALUE(TRIM(SUBSTITUTE(BI34,CHAR(160),""))),0))=(IFERROR(VALUE(TRIM(SUBSTITUTE(X34,CHAR(160),""))),0)),"OK",
  AND((IFERROR(VALUE(TRIM(SUBSTITUTE(BI34,CHAR(160),""))),0))&lt;(IFERROR(VALUE(TRIM(SUBSTITUTE(X34,CHAR(160),""))),0)),((IFERROR(VALUE(TRIM(SUBSTITUTE(X34,CHAR(160),""))),0))-(IFERROR(VALUE(TRIM(SUBSTITUTE(BI34,CHAR(160),""))),0)))&lt;0.01),"OK",(IFERROR(VALUE(TRIM(SUBSTITUTE(BI34,CHAR(160),""))),0))&lt;(IFERROR(VALUE(TRIM(SUBSTITUTE(X34,CHAR(160),""))),0)),"Attention : Montant présenté partiellement écarté.",
  TRUE,""))</f>
        <v/>
      </c>
      <c r="BU34" s="373" t="str" cm="1">
        <f t="array" ref="BU34">IF(OR(AF34="",BP34=""),"",_xlfn.IFS((IFERROR(VALUE(TRIM(SUBSTITUTE(BP34,CHAR(160),""))),0))&gt;(IFERROR(VALUE(TRIM(SUBSTITUTE(AF34,CHAR(160),""))),0)),"KO : Le montant retenu est supérieur au montant présenté. Merci de revoir la ligne de contribution ou plafonner son montant.",(IFERROR(VALUE(TRIM(SUBSTITUTE(AF34,CHAR(160),""))),0))=0,"Attention : montant présenté entièrement écarté",(IFERROR(VALUE(TRIM(SUBSTITUTE(BP34,CHAR(160),""))),0))=(IFERROR(VALUE(TRIM(SUBSTITUTE(AF34,CHAR(160),""))),0)),"OK",(IFERROR(VALUE(TRIM(SUBSTITUTE(BP34,CHAR(160),""))),0))&lt;(IFERROR(VALUE(TRIM(SUBSTITUTE(AF34,CHAR(160),""))),0)),"Attention : montant présenté partiellement écarté.",TRUE,""))</f>
        <v>Attention : montant présenté entièrement écarté</v>
      </c>
      <c r="BV34" s="395" t="str">
        <f t="shared" si="21"/>
        <v/>
      </c>
      <c r="BW34" s="396" t="str">
        <f t="shared" si="22"/>
        <v/>
      </c>
      <c r="BX34" s="397" t="str">
        <f t="shared" si="23"/>
        <v/>
      </c>
    </row>
    <row r="35" spans="1:76" ht="14.25" customHeight="1">
      <c r="A35" s="375">
        <v>26</v>
      </c>
      <c r="B35" s="333"/>
      <c r="C35" s="333"/>
      <c r="D35" s="333"/>
      <c r="E35" s="377"/>
      <c r="F35" s="376"/>
      <c r="G35" s="376"/>
      <c r="H35" s="400"/>
      <c r="I35" s="400"/>
      <c r="J35" s="400"/>
      <c r="K35" s="612"/>
      <c r="L35" s="613"/>
      <c r="M35" s="613"/>
      <c r="N35" s="395" t="str">
        <f t="shared" si="35"/>
        <v/>
      </c>
      <c r="O35" s="613"/>
      <c r="P35" s="613"/>
      <c r="Q35" s="610" t="str">
        <f t="shared" si="0"/>
        <v/>
      </c>
      <c r="R35" s="613"/>
      <c r="S35" s="613"/>
      <c r="T35" s="610" t="str">
        <f t="shared" si="1"/>
        <v/>
      </c>
      <c r="U35" s="611"/>
      <c r="V35" s="395" t="str" cm="1">
        <f t="array" ref="V35">IF((_xlfn.IFS(TRIM(SUBSTITUTE(U35,CHAR(160),""))="Devis 1",IFERROR(VALUE(TRIM(SUBSTITUTE(L35,CHAR(160),""))),0),TRIM(SUBSTITUTE(U35,CHAR(160),""))="Devis 2",IFERROR(VALUE(TRIM(SUBSTITUTE(O35,CHAR(160),""))),0),TRIM(SUBSTITUTE(U35,CHAR(160),""))="Devis 3",IFERROR(VALUE(TRIM(SUBSTITUTE(R35,CHAR(160),""))),0),TRUE,0))=0,"",_xlfn.IFS(TRIM(SUBSTITUTE(U35,CHAR(160),""))="Devis 1",IFERROR(VALUE(TRIM(SUBSTITUTE(L35,CHAR(160),""))),0),TRIM(SUBSTITUTE(U35,CHAR(160),""))="Devis 2",IFERROR(VALUE(TRIM(SUBSTITUTE(O35,CHAR(160),""))),0),TRIM(SUBSTITUTE(U35,CHAR(160),""))="Devis 3",IFERROR(VALUE(TRIM(SUBSTITUTE(R35,CHAR(160),""))),0),TRUE,0))</f>
        <v/>
      </c>
      <c r="W35" s="396" t="str" cm="1">
        <f t="array" ref="W35">IF((_xlfn.IFS(TRIM(SUBSTITUTE(U35,CHAR(160),""))="Devis 1",IFERROR(VALUE(TRIM(SUBSTITUTE(M35,CHAR(160),""))),0),TRIM(SUBSTITUTE(U35,CHAR(160),""))="Devis 2",IFERROR(VALUE(TRIM(SUBSTITUTE(P35,CHAR(160),""))),0),TRIM(SUBSTITUTE(U35,CHAR(160),""))="Devis 3",IFERROR(VALUE(TRIM(SUBSTITUTE(S35,CHAR(160),""))),0),TRUE,0))=0,"",_xlfn.IFS(TRIM(SUBSTITUTE(U35,CHAR(160),""))="Devis 1",IFERROR(VALUE(TRIM(SUBSTITUTE(M35,CHAR(160),""))),0),TRIM(SUBSTITUTE(U35,CHAR(160),""))="Devis 2",IFERROR(VALUE(TRIM(SUBSTITUTE(P35,CHAR(160),""))),0),TRIM(SUBSTITUTE(U35,CHAR(160),""))="Devis 3",IFERROR(VALUE(TRIM(SUBSTITUTE(S35,CHAR(160),""))),0),TRUE,0))</f>
        <v/>
      </c>
      <c r="X35" s="926" t="str" cm="1">
        <f t="array" ref="X35">IF((_xlfn.IFS(TRIM(SUBSTITUTE(U35,CHAR(160),""))="Devis 1",IFERROR(VALUE(TRIM(SUBSTITUTE(N35,CHAR(160),""))),0),TRIM(SUBSTITUTE(U35,CHAR(160),""))="Devis 2",IFERROR(VALUE(TRIM(SUBSTITUTE(Q35,CHAR(160),""))),0),TRIM(SUBSTITUTE(U35,CHAR(160),""))="Devis 3",IFERROR(VALUE(TRIM(SUBSTITUTE(T35,CHAR(160),""))),0),TRUE,0))=0,"",_xlfn.IFS(TRIM(SUBSTITUTE(U35,CHAR(160),""))="Devis 1",IFERROR(VALUE(TRIM(SUBSTITUTE(N35,CHAR(160),""))),0),TRIM(SUBSTITUTE(U35,CHAR(160),""))="Devis 2",IFERROR(VALUE(TRIM(SUBSTITUTE(Q35,CHAR(160),""))),0),TRIM(SUBSTITUTE(U35,CHAR(160),""))="Devis 3",IFERROR(VALUE(TRIM(SUBSTITUTE(T35,CHAR(160),""))),0),TRUE,0))</f>
        <v/>
      </c>
      <c r="Y35" s="933"/>
      <c r="Z35" s="929"/>
      <c r="AA35" s="935" t="str">
        <f t="shared" si="24"/>
        <v/>
      </c>
      <c r="AB35" s="934" t="str" cm="1">
        <f t="array" ref="AB35">IF(Y35="","",_xlfn.IFS(Y35=$CB$6,70,Y35=$CB$7,90,Y35=$CB$8,70,Y35=$CB$9,90,Y35=$CB$10,110))</f>
        <v/>
      </c>
      <c r="AC35" s="379"/>
      <c r="AD35" s="934" t="str" cm="1">
        <f t="array" ref="AD35">IF(Y35="","",_xlfn.IFS(Y35=$CB$6,15.75,Y35=$CB$7,21,Y35=$CB$8,15.25,Y35=$CB$9,15.25,Y35=$CB$10,15.25))</f>
        <v/>
      </c>
      <c r="AE35" s="380"/>
      <c r="AF35" s="936">
        <f t="shared" si="25"/>
        <v>0</v>
      </c>
      <c r="AG35" s="381" t="str">
        <f t="shared" si="26"/>
        <v/>
      </c>
      <c r="AH35" s="398"/>
      <c r="AI35" s="383" t="str">
        <f t="shared" si="2"/>
        <v/>
      </c>
      <c r="AJ35" s="384" t="str">
        <f t="shared" si="3"/>
        <v/>
      </c>
      <c r="AK35" s="384" t="str">
        <f t="shared" si="4"/>
        <v/>
      </c>
      <c r="AL35" s="377"/>
      <c r="AM35" s="385" t="str">
        <f t="shared" si="5"/>
        <v/>
      </c>
      <c r="AN35" s="384" t="str">
        <f t="shared" si="6"/>
        <v/>
      </c>
      <c r="AO35" s="384" t="str">
        <f t="shared" si="7"/>
        <v/>
      </c>
      <c r="AP35" s="384" t="str">
        <f t="shared" si="8"/>
        <v/>
      </c>
      <c r="AQ35" s="384" t="str">
        <f t="shared" si="9"/>
        <v/>
      </c>
      <c r="AR35" s="384" t="str">
        <f t="shared" si="10"/>
        <v/>
      </c>
      <c r="AS35" s="386" t="str">
        <f t="shared" si="11"/>
        <v/>
      </c>
      <c r="AT35" s="387" t="str">
        <f t="shared" si="12"/>
        <v/>
      </c>
      <c r="AU35" s="388" t="str">
        <f t="shared" si="36"/>
        <v/>
      </c>
      <c r="AV35" s="387" t="str">
        <f t="shared" si="13"/>
        <v/>
      </c>
      <c r="AW35" s="387" t="str">
        <f t="shared" si="14"/>
        <v/>
      </c>
      <c r="AX35" s="389" t="str">
        <f t="shared" si="27"/>
        <v/>
      </c>
      <c r="AY35" s="387" t="str">
        <f t="shared" si="15"/>
        <v/>
      </c>
      <c r="AZ35" s="387" t="str">
        <f t="shared" si="16"/>
        <v/>
      </c>
      <c r="BA35" s="389" t="str">
        <f t="shared" si="28"/>
        <v/>
      </c>
      <c r="BB35" s="390" t="str">
        <f t="shared" si="17"/>
        <v/>
      </c>
      <c r="BC35" s="391"/>
      <c r="BD35" s="390" t="str">
        <f t="shared" si="29"/>
        <v/>
      </c>
      <c r="BE35" s="390" t="str">
        <f t="shared" si="29"/>
        <v/>
      </c>
      <c r="BF35" s="390" t="str">
        <f t="shared" si="37"/>
        <v/>
      </c>
      <c r="BG35" s="392" t="str" cm="1">
        <f t="array" ref="BG35">IF(AS35="","",IF((IFERROR(_xlfn.IFS($BB35="Devis 1",(IFERROR(VALUE(TRIM(SUBSTITUTE(AS35,CHAR(160),""))),0)),$BB35="Devis 2",(IFERROR(VALUE(TRIM(SUBSTITUTE(AV35,CHAR(160),""))),0)),$BB35="Devis 3",(IFERROR(VALUE(TRIM(SUBSTITUTE(AY35,CHAR(160),""))),0))),0))=0,"",(IFERROR(_xlfn.IFS($BB35="Devis 1",(IFERROR(VALUE(TRIM(SUBSTITUTE(AS35,CHAR(160),""))),0)),$BB35="Devis 2",(IFERROR(VALUE(TRIM(SUBSTITUTE(AV35,CHAR(160),""))),0)),$BB35="Devis 3",(IFERROR(VALUE(TRIM(SUBSTITUTE(AY35,CHAR(160),""))),0))),0))))</f>
        <v/>
      </c>
      <c r="BH35" s="392" t="str" cm="1">
        <f t="array" ref="BH35">IF(AT35="","",IF((IFERROR(_xlfn.IFS($BB35="Devis 1",(IFERROR(VALUE(TRIM(SUBSTITUTE(AT35,CHAR(160),""))),0)),$BB35="Devis 2",(IFERROR(VALUE(TRIM(SUBSTITUTE(AW35,CHAR(160),""))),0)),$BB35="Devis 3",(IFERROR(VALUE(TRIM(SUBSTITUTE(AZ35,CHAR(160),""))),0))),0))=0,"",(IFERROR(_xlfn.IFS($BB35="Devis 1",(IFERROR(VALUE(TRIM(SUBSTITUTE(AT35,CHAR(160),""))),0)),$BB35="Devis 2",(IFERROR(VALUE(TRIM(SUBSTITUTE(AW35,CHAR(160),""))),0)),$BB35="Devis 3",(IFERROR(VALUE(TRIM(SUBSTITUTE(AZ35,CHAR(160),""))),0))),0))))</f>
        <v/>
      </c>
      <c r="BI35" s="700" t="str" cm="1">
        <f t="array" ref="BI35">IF(AU35="","",IF(IFERROR(_xlfn.IFS($BB35="Devis 1",IFERROR(VALUE(TRIM(SUBSTITUTE(AU35,CHAR(160),""))),0),$BB35="Devis 2",IFERROR(VALUE(TRIM(SUBSTITUTE(AX35,CHAR(160),""))),0),$BB35="Devis 3",IFERROR(VALUE(TRIM(SUBSTITUTE(BA35,CHAR(160),""))),0)),0)=0,"",IFERROR(_xlfn.IFS($BB35="Devis 1",IFERROR(VALUE(TRIM(SUBSTITUTE(AU35,CHAR(160),""))),0),$BB35="Devis 2",IFERROR(VALUE(TRIM(SUBSTITUTE(AX35,CHAR(160),""))),0),$BB35="Devis 3",IFERROR(VALUE(TRIM(SUBSTITUTE(BA35,CHAR(160),""))),0)),0)))</f>
        <v/>
      </c>
      <c r="BJ35" s="739" t="str">
        <f t="shared" si="18"/>
        <v/>
      </c>
      <c r="BK35" s="740" t="str">
        <f t="shared" si="19"/>
        <v/>
      </c>
      <c r="BL35" s="741" t="str">
        <f t="shared" si="30"/>
        <v/>
      </c>
      <c r="BM35" s="741" t="str">
        <f t="shared" si="31"/>
        <v/>
      </c>
      <c r="BN35" s="741" t="str">
        <f t="shared" si="32"/>
        <v/>
      </c>
      <c r="BO35" s="741" t="str">
        <f t="shared" si="33"/>
        <v/>
      </c>
      <c r="BP35" s="711">
        <f t="shared" si="20"/>
        <v>0</v>
      </c>
      <c r="BQ35" s="372" t="str">
        <f t="shared" si="34"/>
        <v/>
      </c>
      <c r="BR35" s="718"/>
      <c r="BS35" s="393" t="str" cm="1">
        <f t="array" ref="BS35">IF(OR(BI35="",BF35="",BG35="",BD35="",BH35="",BE35=""),"",_xlfn.IFS((IFERROR(VALUE(TRIM(SUBSTITUTE(BI35,CHAR(160),""))),0))&gt;(IFERROR(VALUE(TRIM(SUBSTITUTE(BF35,CHAR(160),""))),0)),"KO : Le montant retenu TTC est supérieur au montant raisonnable TTC. Merci de revoir la ligne de dépense ou plafonner son montant.",(IFERROR(VALUE(TRIM(SUBSTITUTE(BG35,CHAR(160),""))),0))&gt;(IFERROR(VALUE(TRIM(SUBSTITUTE(BD35,CHAR(160),""))),0)),"Attention : Le montant retenu HT est supérieur au montant HT raisonnable. Merci de revoir la ligne de dépense, plafonner son montant, ou justifier la reventillation HT / TVA.",(IFERROR(VALUE(TRIM(SUBSTITUTE(BH35,CHAR(160),""))),0))&gt;(IFERROR(VALUE(TRIM(SUBSTITUTE(BE35,CHAR(160),""))),0)),"Attention : Le montant TVA retenu est supérieur au montant TVA raisonnable. Merci de revoir la ligne de dépense, plafonner son montant, ou justifier la reventillation HT / TVA.",(IFERROR(VALUE(TRIM(SUBSTITUTE(BI35,CHAR(160),""))),0))=0,"",(IFERROR(VALUE(TRIM(SUBSTITUTE(BF35,CHAR(160),""))),0))=(IFERROR(VALUE(TRIM(SUBSTITUTE(BI35,CHAR(160),""))),0)),"OK",(IFERROR(VALUE(TRIM(SUBSTITUTE(BF35,CHAR(160),""))),0))&gt;(IFERROR(VALUE(TRIM(SUBSTITUTE(BI35,CHAR(160),""))),0))," OK : Montant instruit inférieur au montant raisonnable.",TRUE,""))</f>
        <v/>
      </c>
      <c r="BT35" s="394" t="str" cm="1">
        <f t="array" ref="BT35">IF(OR(BI35="",X35="",BG35="",V35="",BH35="",W35=""),"",_xlfn.IFS((IFERROR(VALUE(TRIM(SUBSTITUTE(BI35,CHAR(160),""))),0))=0,"Attention : montant présenté entièrement écarté",(IFERROR(VALUE(TRIM(SUBSTITUTE(BI35,CHAR(160),""))),0))&gt;(IFERROR(VALUE(TRIM(SUBSTITUTE(X35,CHAR(160),""))),0)),"KO : Le montant retenu TTC est supérieur au montant présenté TTC. Merci de revoir la ligne de dépense ou plafonner son montant.",(IFERROR(VALUE(TRIM(SUBSTITUTE(BG35,CHAR(160),""))),0))&gt;(IFERROR(VALUE(TRIM(SUBSTITUTE(V35,CHAR(160),""))),0)),"Attention : Le montant retenu HT est supérieur au montant HT présenté. Merci de revoir la ligne de dépense,plafonner son montant,ou justifier la reventillation HT/TVA.",(IFERROR(VALUE(TRIM(SUBSTITUTE(BH35,CHAR(160),""))),0))&gt;(IFERROR(VALUE(TRIM(SUBSTITUTE(W35,CHAR(160),""))),0)),"Attention : Le montant TVA retenu est supérieur au montant TVA présenté. Merci de revoir la ligne de dépense,plafonner son montant,ou justifier la reventillation HT/TVA.",(IFERROR(VALUE(TRIM(SUBSTITUTE(X35,CHAR(160),""))),0))=0,"Attention : montant présenté entièrement écarté",(IFERROR(VALUE(TRIM(SUBSTITUTE(BI35,CHAR(160),""))),0))=(IFERROR(VALUE(TRIM(SUBSTITUTE(X35,CHAR(160),""))),0)),"OK",
  AND((IFERROR(VALUE(TRIM(SUBSTITUTE(BI35,CHAR(160),""))),0))&lt;(IFERROR(VALUE(TRIM(SUBSTITUTE(X35,CHAR(160),""))),0)),((IFERROR(VALUE(TRIM(SUBSTITUTE(X35,CHAR(160),""))),0))-(IFERROR(VALUE(TRIM(SUBSTITUTE(BI35,CHAR(160),""))),0)))&lt;0.01),"OK",(IFERROR(VALUE(TRIM(SUBSTITUTE(BI35,CHAR(160),""))),0))&lt;(IFERROR(VALUE(TRIM(SUBSTITUTE(X35,CHAR(160),""))),0)),"Attention : Montant présenté partiellement écarté.",
  TRUE,""))</f>
        <v/>
      </c>
      <c r="BU35" s="373" t="str" cm="1">
        <f t="array" ref="BU35">IF(OR(AF35="",BP35=""),"",_xlfn.IFS((IFERROR(VALUE(TRIM(SUBSTITUTE(BP35,CHAR(160),""))),0))&gt;(IFERROR(VALUE(TRIM(SUBSTITUTE(AF35,CHAR(160),""))),0)),"KO : Le montant retenu est supérieur au montant présenté. Merci de revoir la ligne de contribution ou plafonner son montant.",(IFERROR(VALUE(TRIM(SUBSTITUTE(AF35,CHAR(160),""))),0))=0,"Attention : montant présenté entièrement écarté",(IFERROR(VALUE(TRIM(SUBSTITUTE(BP35,CHAR(160),""))),0))=(IFERROR(VALUE(TRIM(SUBSTITUTE(AF35,CHAR(160),""))),0)),"OK",(IFERROR(VALUE(TRIM(SUBSTITUTE(BP35,CHAR(160),""))),0))&lt;(IFERROR(VALUE(TRIM(SUBSTITUTE(AF35,CHAR(160),""))),0)),"Attention : montant présenté partiellement écarté.",TRUE,""))</f>
        <v>Attention : montant présenté entièrement écarté</v>
      </c>
      <c r="BV35" s="395" t="str">
        <f t="shared" si="21"/>
        <v/>
      </c>
      <c r="BW35" s="396" t="str">
        <f t="shared" si="22"/>
        <v/>
      </c>
      <c r="BX35" s="397" t="str">
        <f t="shared" si="23"/>
        <v/>
      </c>
    </row>
    <row r="36" spans="1:76" ht="14.25" customHeight="1">
      <c r="A36" s="375">
        <v>27</v>
      </c>
      <c r="B36" s="333"/>
      <c r="C36" s="333"/>
      <c r="D36" s="333"/>
      <c r="E36" s="377"/>
      <c r="F36" s="376"/>
      <c r="G36" s="376"/>
      <c r="H36" s="400"/>
      <c r="I36" s="400"/>
      <c r="J36" s="400"/>
      <c r="K36" s="612"/>
      <c r="L36" s="613"/>
      <c r="M36" s="613"/>
      <c r="N36" s="395" t="str">
        <f t="shared" si="35"/>
        <v/>
      </c>
      <c r="O36" s="613"/>
      <c r="P36" s="613"/>
      <c r="Q36" s="610" t="str">
        <f t="shared" si="0"/>
        <v/>
      </c>
      <c r="R36" s="613"/>
      <c r="S36" s="613"/>
      <c r="T36" s="610" t="str">
        <f t="shared" si="1"/>
        <v/>
      </c>
      <c r="U36" s="611"/>
      <c r="V36" s="395" t="str" cm="1">
        <f t="array" ref="V36">IF((_xlfn.IFS(TRIM(SUBSTITUTE(U36,CHAR(160),""))="Devis 1",IFERROR(VALUE(TRIM(SUBSTITUTE(L36,CHAR(160),""))),0),TRIM(SUBSTITUTE(U36,CHAR(160),""))="Devis 2",IFERROR(VALUE(TRIM(SUBSTITUTE(O36,CHAR(160),""))),0),TRIM(SUBSTITUTE(U36,CHAR(160),""))="Devis 3",IFERROR(VALUE(TRIM(SUBSTITUTE(R36,CHAR(160),""))),0),TRUE,0))=0,"",_xlfn.IFS(TRIM(SUBSTITUTE(U36,CHAR(160),""))="Devis 1",IFERROR(VALUE(TRIM(SUBSTITUTE(L36,CHAR(160),""))),0),TRIM(SUBSTITUTE(U36,CHAR(160),""))="Devis 2",IFERROR(VALUE(TRIM(SUBSTITUTE(O36,CHAR(160),""))),0),TRIM(SUBSTITUTE(U36,CHAR(160),""))="Devis 3",IFERROR(VALUE(TRIM(SUBSTITUTE(R36,CHAR(160),""))),0),TRUE,0))</f>
        <v/>
      </c>
      <c r="W36" s="396" t="str" cm="1">
        <f t="array" ref="W36">IF((_xlfn.IFS(TRIM(SUBSTITUTE(U36,CHAR(160),""))="Devis 1",IFERROR(VALUE(TRIM(SUBSTITUTE(M36,CHAR(160),""))),0),TRIM(SUBSTITUTE(U36,CHAR(160),""))="Devis 2",IFERROR(VALUE(TRIM(SUBSTITUTE(P36,CHAR(160),""))),0),TRIM(SUBSTITUTE(U36,CHAR(160),""))="Devis 3",IFERROR(VALUE(TRIM(SUBSTITUTE(S36,CHAR(160),""))),0),TRUE,0))=0,"",_xlfn.IFS(TRIM(SUBSTITUTE(U36,CHAR(160),""))="Devis 1",IFERROR(VALUE(TRIM(SUBSTITUTE(M36,CHAR(160),""))),0),TRIM(SUBSTITUTE(U36,CHAR(160),""))="Devis 2",IFERROR(VALUE(TRIM(SUBSTITUTE(P36,CHAR(160),""))),0),TRIM(SUBSTITUTE(U36,CHAR(160),""))="Devis 3",IFERROR(VALUE(TRIM(SUBSTITUTE(S36,CHAR(160),""))),0),TRUE,0))</f>
        <v/>
      </c>
      <c r="X36" s="926" t="str" cm="1">
        <f t="array" ref="X36">IF((_xlfn.IFS(TRIM(SUBSTITUTE(U36,CHAR(160),""))="Devis 1",IFERROR(VALUE(TRIM(SUBSTITUTE(N36,CHAR(160),""))),0),TRIM(SUBSTITUTE(U36,CHAR(160),""))="Devis 2",IFERROR(VALUE(TRIM(SUBSTITUTE(Q36,CHAR(160),""))),0),TRIM(SUBSTITUTE(U36,CHAR(160),""))="Devis 3",IFERROR(VALUE(TRIM(SUBSTITUTE(T36,CHAR(160),""))),0),TRUE,0))=0,"",_xlfn.IFS(TRIM(SUBSTITUTE(U36,CHAR(160),""))="Devis 1",IFERROR(VALUE(TRIM(SUBSTITUTE(N36,CHAR(160),""))),0),TRIM(SUBSTITUTE(U36,CHAR(160),""))="Devis 2",IFERROR(VALUE(TRIM(SUBSTITUTE(Q36,CHAR(160),""))),0),TRIM(SUBSTITUTE(U36,CHAR(160),""))="Devis 3",IFERROR(VALUE(TRIM(SUBSTITUTE(T36,CHAR(160),""))),0),TRUE,0))</f>
        <v/>
      </c>
      <c r="Y36" s="933"/>
      <c r="Z36" s="929"/>
      <c r="AA36" s="935" t="str">
        <f t="shared" si="24"/>
        <v/>
      </c>
      <c r="AB36" s="934" t="str" cm="1">
        <f t="array" ref="AB36">IF(Y36="","",_xlfn.IFS(Y36=$CB$6,70,Y36=$CB$7,90,Y36=$CB$8,70,Y36=$CB$9,90,Y36=$CB$10,110))</f>
        <v/>
      </c>
      <c r="AC36" s="379"/>
      <c r="AD36" s="934" t="str" cm="1">
        <f t="array" ref="AD36">IF(Y36="","",_xlfn.IFS(Y36=$CB$6,15.75,Y36=$CB$7,21,Y36=$CB$8,15.25,Y36=$CB$9,15.25,Y36=$CB$10,15.25))</f>
        <v/>
      </c>
      <c r="AE36" s="380"/>
      <c r="AF36" s="936">
        <f t="shared" si="25"/>
        <v>0</v>
      </c>
      <c r="AG36" s="381" t="str">
        <f t="shared" si="26"/>
        <v/>
      </c>
      <c r="AH36" s="398"/>
      <c r="AI36" s="383" t="str">
        <f t="shared" si="2"/>
        <v/>
      </c>
      <c r="AJ36" s="384" t="str">
        <f t="shared" si="3"/>
        <v/>
      </c>
      <c r="AK36" s="384" t="str">
        <f t="shared" si="4"/>
        <v/>
      </c>
      <c r="AL36" s="377"/>
      <c r="AM36" s="385" t="str">
        <f t="shared" si="5"/>
        <v/>
      </c>
      <c r="AN36" s="384" t="str">
        <f t="shared" si="6"/>
        <v/>
      </c>
      <c r="AO36" s="384" t="str">
        <f t="shared" si="7"/>
        <v/>
      </c>
      <c r="AP36" s="384" t="str">
        <f t="shared" si="8"/>
        <v/>
      </c>
      <c r="AQ36" s="384" t="str">
        <f t="shared" si="9"/>
        <v/>
      </c>
      <c r="AR36" s="384" t="str">
        <f t="shared" si="10"/>
        <v/>
      </c>
      <c r="AS36" s="386" t="str">
        <f t="shared" si="11"/>
        <v/>
      </c>
      <c r="AT36" s="387" t="str">
        <f t="shared" si="12"/>
        <v/>
      </c>
      <c r="AU36" s="388" t="str">
        <f t="shared" si="36"/>
        <v/>
      </c>
      <c r="AV36" s="387" t="str">
        <f t="shared" si="13"/>
        <v/>
      </c>
      <c r="AW36" s="387" t="str">
        <f t="shared" si="14"/>
        <v/>
      </c>
      <c r="AX36" s="389" t="str">
        <f t="shared" si="27"/>
        <v/>
      </c>
      <c r="AY36" s="387" t="str">
        <f t="shared" si="15"/>
        <v/>
      </c>
      <c r="AZ36" s="387" t="str">
        <f t="shared" si="16"/>
        <v/>
      </c>
      <c r="BA36" s="389" t="str">
        <f t="shared" si="28"/>
        <v/>
      </c>
      <c r="BB36" s="390" t="str">
        <f t="shared" si="17"/>
        <v/>
      </c>
      <c r="BC36" s="391"/>
      <c r="BD36" s="390" t="str">
        <f t="shared" si="29"/>
        <v/>
      </c>
      <c r="BE36" s="390" t="str">
        <f t="shared" si="29"/>
        <v/>
      </c>
      <c r="BF36" s="390" t="str">
        <f t="shared" si="37"/>
        <v/>
      </c>
      <c r="BG36" s="392" t="str" cm="1">
        <f t="array" ref="BG36">IF(AS36="","",IF((IFERROR(_xlfn.IFS($BB36="Devis 1",(IFERROR(VALUE(TRIM(SUBSTITUTE(AS36,CHAR(160),""))),0)),$BB36="Devis 2",(IFERROR(VALUE(TRIM(SUBSTITUTE(AV36,CHAR(160),""))),0)),$BB36="Devis 3",(IFERROR(VALUE(TRIM(SUBSTITUTE(AY36,CHAR(160),""))),0))),0))=0,"",(IFERROR(_xlfn.IFS($BB36="Devis 1",(IFERROR(VALUE(TRIM(SUBSTITUTE(AS36,CHAR(160),""))),0)),$BB36="Devis 2",(IFERROR(VALUE(TRIM(SUBSTITUTE(AV36,CHAR(160),""))),0)),$BB36="Devis 3",(IFERROR(VALUE(TRIM(SUBSTITUTE(AY36,CHAR(160),""))),0))),0))))</f>
        <v/>
      </c>
      <c r="BH36" s="392" t="str" cm="1">
        <f t="array" ref="BH36">IF(AT36="","",IF((IFERROR(_xlfn.IFS($BB36="Devis 1",(IFERROR(VALUE(TRIM(SUBSTITUTE(AT36,CHAR(160),""))),0)),$BB36="Devis 2",(IFERROR(VALUE(TRIM(SUBSTITUTE(AW36,CHAR(160),""))),0)),$BB36="Devis 3",(IFERROR(VALUE(TRIM(SUBSTITUTE(AZ36,CHAR(160),""))),0))),0))=0,"",(IFERROR(_xlfn.IFS($BB36="Devis 1",(IFERROR(VALUE(TRIM(SUBSTITUTE(AT36,CHAR(160),""))),0)),$BB36="Devis 2",(IFERROR(VALUE(TRIM(SUBSTITUTE(AW36,CHAR(160),""))),0)),$BB36="Devis 3",(IFERROR(VALUE(TRIM(SUBSTITUTE(AZ36,CHAR(160),""))),0))),0))))</f>
        <v/>
      </c>
      <c r="BI36" s="700" t="str" cm="1">
        <f t="array" ref="BI36">IF(AU36="","",IF(IFERROR(_xlfn.IFS($BB36="Devis 1",IFERROR(VALUE(TRIM(SUBSTITUTE(AU36,CHAR(160),""))),0),$BB36="Devis 2",IFERROR(VALUE(TRIM(SUBSTITUTE(AX36,CHAR(160),""))),0),$BB36="Devis 3",IFERROR(VALUE(TRIM(SUBSTITUTE(BA36,CHAR(160),""))),0)),0)=0,"",IFERROR(_xlfn.IFS($BB36="Devis 1",IFERROR(VALUE(TRIM(SUBSTITUTE(AU36,CHAR(160),""))),0),$BB36="Devis 2",IFERROR(VALUE(TRIM(SUBSTITUTE(AX36,CHAR(160),""))),0),$BB36="Devis 3",IFERROR(VALUE(TRIM(SUBSTITUTE(BA36,CHAR(160),""))),0)),0)))</f>
        <v/>
      </c>
      <c r="BJ36" s="739" t="str">
        <f t="shared" si="18"/>
        <v/>
      </c>
      <c r="BK36" s="740" t="str">
        <f t="shared" si="19"/>
        <v/>
      </c>
      <c r="BL36" s="741" t="str">
        <f t="shared" si="30"/>
        <v/>
      </c>
      <c r="BM36" s="741" t="str">
        <f t="shared" si="31"/>
        <v/>
      </c>
      <c r="BN36" s="741" t="str">
        <f t="shared" si="32"/>
        <v/>
      </c>
      <c r="BO36" s="741" t="str">
        <f t="shared" si="33"/>
        <v/>
      </c>
      <c r="BP36" s="711">
        <f t="shared" si="20"/>
        <v>0</v>
      </c>
      <c r="BQ36" s="372" t="str">
        <f t="shared" si="34"/>
        <v/>
      </c>
      <c r="BR36" s="718"/>
      <c r="BS36" s="393" t="str" cm="1">
        <f t="array" ref="BS36">IF(OR(BI36="",BF36="",BG36="",BD36="",BH36="",BE36=""),"",_xlfn.IFS((IFERROR(VALUE(TRIM(SUBSTITUTE(BI36,CHAR(160),""))),0))&gt;(IFERROR(VALUE(TRIM(SUBSTITUTE(BF36,CHAR(160),""))),0)),"KO : Le montant retenu TTC est supérieur au montant raisonnable TTC. Merci de revoir la ligne de dépense ou plafonner son montant.",(IFERROR(VALUE(TRIM(SUBSTITUTE(BG36,CHAR(160),""))),0))&gt;(IFERROR(VALUE(TRIM(SUBSTITUTE(BD36,CHAR(160),""))),0)),"Attention : Le montant retenu HT est supérieur au montant HT raisonnable. Merci de revoir la ligne de dépense, plafonner son montant, ou justifier la reventillation HT / TVA.",(IFERROR(VALUE(TRIM(SUBSTITUTE(BH36,CHAR(160),""))),0))&gt;(IFERROR(VALUE(TRIM(SUBSTITUTE(BE36,CHAR(160),""))),0)),"Attention : Le montant TVA retenu est supérieur au montant TVA raisonnable. Merci de revoir la ligne de dépense, plafonner son montant, ou justifier la reventillation HT / TVA.",(IFERROR(VALUE(TRIM(SUBSTITUTE(BI36,CHAR(160),""))),0))=0,"",(IFERROR(VALUE(TRIM(SUBSTITUTE(BF36,CHAR(160),""))),0))=(IFERROR(VALUE(TRIM(SUBSTITUTE(BI36,CHAR(160),""))),0)),"OK",(IFERROR(VALUE(TRIM(SUBSTITUTE(BF36,CHAR(160),""))),0))&gt;(IFERROR(VALUE(TRIM(SUBSTITUTE(BI36,CHAR(160),""))),0))," OK : Montant instruit inférieur au montant raisonnable.",TRUE,""))</f>
        <v/>
      </c>
      <c r="BT36" s="394" t="str" cm="1">
        <f t="array" ref="BT36">IF(OR(BI36="",X36="",BG36="",V36="",BH36="",W36=""),"",_xlfn.IFS((IFERROR(VALUE(TRIM(SUBSTITUTE(BI36,CHAR(160),""))),0))=0,"Attention : montant présenté entièrement écarté",(IFERROR(VALUE(TRIM(SUBSTITUTE(BI36,CHAR(160),""))),0))&gt;(IFERROR(VALUE(TRIM(SUBSTITUTE(X36,CHAR(160),""))),0)),"KO : Le montant retenu TTC est supérieur au montant présenté TTC. Merci de revoir la ligne de dépense ou plafonner son montant.",(IFERROR(VALUE(TRIM(SUBSTITUTE(BG36,CHAR(160),""))),0))&gt;(IFERROR(VALUE(TRIM(SUBSTITUTE(V36,CHAR(160),""))),0)),"Attention : Le montant retenu HT est supérieur au montant HT présenté. Merci de revoir la ligne de dépense,plafonner son montant,ou justifier la reventillation HT/TVA.",(IFERROR(VALUE(TRIM(SUBSTITUTE(BH36,CHAR(160),""))),0))&gt;(IFERROR(VALUE(TRIM(SUBSTITUTE(W36,CHAR(160),""))),0)),"Attention : Le montant TVA retenu est supérieur au montant TVA présenté. Merci de revoir la ligne de dépense,plafonner son montant,ou justifier la reventillation HT/TVA.",(IFERROR(VALUE(TRIM(SUBSTITUTE(X36,CHAR(160),""))),0))=0,"Attention : montant présenté entièrement écarté",(IFERROR(VALUE(TRIM(SUBSTITUTE(BI36,CHAR(160),""))),0))=(IFERROR(VALUE(TRIM(SUBSTITUTE(X36,CHAR(160),""))),0)),"OK",
  AND((IFERROR(VALUE(TRIM(SUBSTITUTE(BI36,CHAR(160),""))),0))&lt;(IFERROR(VALUE(TRIM(SUBSTITUTE(X36,CHAR(160),""))),0)),((IFERROR(VALUE(TRIM(SUBSTITUTE(X36,CHAR(160),""))),0))-(IFERROR(VALUE(TRIM(SUBSTITUTE(BI36,CHAR(160),""))),0)))&lt;0.01),"OK",(IFERROR(VALUE(TRIM(SUBSTITUTE(BI36,CHAR(160),""))),0))&lt;(IFERROR(VALUE(TRIM(SUBSTITUTE(X36,CHAR(160),""))),0)),"Attention : Montant présenté partiellement écarté.",
  TRUE,""))</f>
        <v/>
      </c>
      <c r="BU36" s="373" t="str" cm="1">
        <f t="array" ref="BU36">IF(OR(AF36="",BP36=""),"",_xlfn.IFS((IFERROR(VALUE(TRIM(SUBSTITUTE(BP36,CHAR(160),""))),0))&gt;(IFERROR(VALUE(TRIM(SUBSTITUTE(AF36,CHAR(160),""))),0)),"KO : Le montant retenu est supérieur au montant présenté. Merci de revoir la ligne de contribution ou plafonner son montant.",(IFERROR(VALUE(TRIM(SUBSTITUTE(AF36,CHAR(160),""))),0))=0,"Attention : montant présenté entièrement écarté",(IFERROR(VALUE(TRIM(SUBSTITUTE(BP36,CHAR(160),""))),0))=(IFERROR(VALUE(TRIM(SUBSTITUTE(AF36,CHAR(160),""))),0)),"OK",(IFERROR(VALUE(TRIM(SUBSTITUTE(BP36,CHAR(160),""))),0))&lt;(IFERROR(VALUE(TRIM(SUBSTITUTE(AF36,CHAR(160),""))),0)),"Attention : montant présenté partiellement écarté.",TRUE,""))</f>
        <v>Attention : montant présenté entièrement écarté</v>
      </c>
      <c r="BV36" s="395" t="str">
        <f t="shared" si="21"/>
        <v/>
      </c>
      <c r="BW36" s="396" t="str">
        <f t="shared" si="22"/>
        <v/>
      </c>
      <c r="BX36" s="397" t="str">
        <f t="shared" si="23"/>
        <v/>
      </c>
    </row>
    <row r="37" spans="1:76" ht="14.25" customHeight="1">
      <c r="A37" s="375">
        <v>28</v>
      </c>
      <c r="B37" s="333"/>
      <c r="C37" s="333"/>
      <c r="D37" s="333"/>
      <c r="E37" s="377"/>
      <c r="F37" s="376"/>
      <c r="G37" s="376"/>
      <c r="H37" s="400"/>
      <c r="I37" s="400"/>
      <c r="J37" s="400"/>
      <c r="K37" s="612"/>
      <c r="L37" s="613"/>
      <c r="M37" s="613"/>
      <c r="N37" s="395" t="str">
        <f t="shared" si="35"/>
        <v/>
      </c>
      <c r="O37" s="613"/>
      <c r="P37" s="613"/>
      <c r="Q37" s="610" t="str">
        <f t="shared" si="0"/>
        <v/>
      </c>
      <c r="R37" s="613"/>
      <c r="S37" s="613"/>
      <c r="T37" s="610" t="str">
        <f t="shared" si="1"/>
        <v/>
      </c>
      <c r="U37" s="611"/>
      <c r="V37" s="395" t="str" cm="1">
        <f t="array" ref="V37">IF((_xlfn.IFS(TRIM(SUBSTITUTE(U37,CHAR(160),""))="Devis 1",IFERROR(VALUE(TRIM(SUBSTITUTE(L37,CHAR(160),""))),0),TRIM(SUBSTITUTE(U37,CHAR(160),""))="Devis 2",IFERROR(VALUE(TRIM(SUBSTITUTE(O37,CHAR(160),""))),0),TRIM(SUBSTITUTE(U37,CHAR(160),""))="Devis 3",IFERROR(VALUE(TRIM(SUBSTITUTE(R37,CHAR(160),""))),0),TRUE,0))=0,"",_xlfn.IFS(TRIM(SUBSTITUTE(U37,CHAR(160),""))="Devis 1",IFERROR(VALUE(TRIM(SUBSTITUTE(L37,CHAR(160),""))),0),TRIM(SUBSTITUTE(U37,CHAR(160),""))="Devis 2",IFERROR(VALUE(TRIM(SUBSTITUTE(O37,CHAR(160),""))),0),TRIM(SUBSTITUTE(U37,CHAR(160),""))="Devis 3",IFERROR(VALUE(TRIM(SUBSTITUTE(R37,CHAR(160),""))),0),TRUE,0))</f>
        <v/>
      </c>
      <c r="W37" s="396" t="str" cm="1">
        <f t="array" ref="W37">IF((_xlfn.IFS(TRIM(SUBSTITUTE(U37,CHAR(160),""))="Devis 1",IFERROR(VALUE(TRIM(SUBSTITUTE(M37,CHAR(160),""))),0),TRIM(SUBSTITUTE(U37,CHAR(160),""))="Devis 2",IFERROR(VALUE(TRIM(SUBSTITUTE(P37,CHAR(160),""))),0),TRIM(SUBSTITUTE(U37,CHAR(160),""))="Devis 3",IFERROR(VALUE(TRIM(SUBSTITUTE(S37,CHAR(160),""))),0),TRUE,0))=0,"",_xlfn.IFS(TRIM(SUBSTITUTE(U37,CHAR(160),""))="Devis 1",IFERROR(VALUE(TRIM(SUBSTITUTE(M37,CHAR(160),""))),0),TRIM(SUBSTITUTE(U37,CHAR(160),""))="Devis 2",IFERROR(VALUE(TRIM(SUBSTITUTE(P37,CHAR(160),""))),0),TRIM(SUBSTITUTE(U37,CHAR(160),""))="Devis 3",IFERROR(VALUE(TRIM(SUBSTITUTE(S37,CHAR(160),""))),0),TRUE,0))</f>
        <v/>
      </c>
      <c r="X37" s="926" t="str" cm="1">
        <f t="array" ref="X37">IF((_xlfn.IFS(TRIM(SUBSTITUTE(U37,CHAR(160),""))="Devis 1",IFERROR(VALUE(TRIM(SUBSTITUTE(N37,CHAR(160),""))),0),TRIM(SUBSTITUTE(U37,CHAR(160),""))="Devis 2",IFERROR(VALUE(TRIM(SUBSTITUTE(Q37,CHAR(160),""))),0),TRIM(SUBSTITUTE(U37,CHAR(160),""))="Devis 3",IFERROR(VALUE(TRIM(SUBSTITUTE(T37,CHAR(160),""))),0),TRUE,0))=0,"",_xlfn.IFS(TRIM(SUBSTITUTE(U37,CHAR(160),""))="Devis 1",IFERROR(VALUE(TRIM(SUBSTITUTE(N37,CHAR(160),""))),0),TRIM(SUBSTITUTE(U37,CHAR(160),""))="Devis 2",IFERROR(VALUE(TRIM(SUBSTITUTE(Q37,CHAR(160),""))),0),TRIM(SUBSTITUTE(U37,CHAR(160),""))="Devis 3",IFERROR(VALUE(TRIM(SUBSTITUTE(T37,CHAR(160),""))),0),TRUE,0))</f>
        <v/>
      </c>
      <c r="Y37" s="933"/>
      <c r="Z37" s="929"/>
      <c r="AA37" s="935" t="str">
        <f t="shared" si="24"/>
        <v/>
      </c>
      <c r="AB37" s="934" t="str" cm="1">
        <f t="array" ref="AB37">IF(Y37="","",_xlfn.IFS(Y37=$CB$6,70,Y37=$CB$7,90,Y37=$CB$8,70,Y37=$CB$9,90,Y37=$CB$10,110))</f>
        <v/>
      </c>
      <c r="AC37" s="379"/>
      <c r="AD37" s="934" t="str" cm="1">
        <f t="array" ref="AD37">IF(Y37="","",_xlfn.IFS(Y37=$CB$6,15.75,Y37=$CB$7,21,Y37=$CB$8,15.25,Y37=$CB$9,15.25,Y37=$CB$10,15.25))</f>
        <v/>
      </c>
      <c r="AE37" s="380"/>
      <c r="AF37" s="936">
        <f t="shared" si="25"/>
        <v>0</v>
      </c>
      <c r="AG37" s="381" t="str">
        <f t="shared" si="26"/>
        <v/>
      </c>
      <c r="AH37" s="398"/>
      <c r="AI37" s="383" t="str">
        <f t="shared" si="2"/>
        <v/>
      </c>
      <c r="AJ37" s="384" t="str">
        <f t="shared" si="3"/>
        <v/>
      </c>
      <c r="AK37" s="384" t="str">
        <f t="shared" si="4"/>
        <v/>
      </c>
      <c r="AL37" s="377"/>
      <c r="AM37" s="385" t="str">
        <f t="shared" si="5"/>
        <v/>
      </c>
      <c r="AN37" s="384" t="str">
        <f t="shared" si="6"/>
        <v/>
      </c>
      <c r="AO37" s="384" t="str">
        <f t="shared" si="7"/>
        <v/>
      </c>
      <c r="AP37" s="384" t="str">
        <f t="shared" si="8"/>
        <v/>
      </c>
      <c r="AQ37" s="384" t="str">
        <f t="shared" si="9"/>
        <v/>
      </c>
      <c r="AR37" s="384" t="str">
        <f t="shared" si="10"/>
        <v/>
      </c>
      <c r="AS37" s="386" t="str">
        <f t="shared" si="11"/>
        <v/>
      </c>
      <c r="AT37" s="387" t="str">
        <f t="shared" si="12"/>
        <v/>
      </c>
      <c r="AU37" s="388" t="str">
        <f t="shared" si="36"/>
        <v/>
      </c>
      <c r="AV37" s="387" t="str">
        <f t="shared" si="13"/>
        <v/>
      </c>
      <c r="AW37" s="387" t="str">
        <f t="shared" si="14"/>
        <v/>
      </c>
      <c r="AX37" s="389" t="str">
        <f t="shared" si="27"/>
        <v/>
      </c>
      <c r="AY37" s="387" t="str">
        <f t="shared" si="15"/>
        <v/>
      </c>
      <c r="AZ37" s="387" t="str">
        <f t="shared" si="16"/>
        <v/>
      </c>
      <c r="BA37" s="389" t="str">
        <f t="shared" si="28"/>
        <v/>
      </c>
      <c r="BB37" s="390" t="str">
        <f t="shared" si="17"/>
        <v/>
      </c>
      <c r="BC37" s="391"/>
      <c r="BD37" s="390" t="str">
        <f t="shared" si="29"/>
        <v/>
      </c>
      <c r="BE37" s="390" t="str">
        <f t="shared" si="29"/>
        <v/>
      </c>
      <c r="BF37" s="390" t="str">
        <f t="shared" si="37"/>
        <v/>
      </c>
      <c r="BG37" s="392" t="str" cm="1">
        <f t="array" ref="BG37">IF(AS37="","",IF((IFERROR(_xlfn.IFS($BB37="Devis 1",(IFERROR(VALUE(TRIM(SUBSTITUTE(AS37,CHAR(160),""))),0)),$BB37="Devis 2",(IFERROR(VALUE(TRIM(SUBSTITUTE(AV37,CHAR(160),""))),0)),$BB37="Devis 3",(IFERROR(VALUE(TRIM(SUBSTITUTE(AY37,CHAR(160),""))),0))),0))=0,"",(IFERROR(_xlfn.IFS($BB37="Devis 1",(IFERROR(VALUE(TRIM(SUBSTITUTE(AS37,CHAR(160),""))),0)),$BB37="Devis 2",(IFERROR(VALUE(TRIM(SUBSTITUTE(AV37,CHAR(160),""))),0)),$BB37="Devis 3",(IFERROR(VALUE(TRIM(SUBSTITUTE(AY37,CHAR(160),""))),0))),0))))</f>
        <v/>
      </c>
      <c r="BH37" s="392" t="str" cm="1">
        <f t="array" ref="BH37">IF(AT37="","",IF((IFERROR(_xlfn.IFS($BB37="Devis 1",(IFERROR(VALUE(TRIM(SUBSTITUTE(AT37,CHAR(160),""))),0)),$BB37="Devis 2",(IFERROR(VALUE(TRIM(SUBSTITUTE(AW37,CHAR(160),""))),0)),$BB37="Devis 3",(IFERROR(VALUE(TRIM(SUBSTITUTE(AZ37,CHAR(160),""))),0))),0))=0,"",(IFERROR(_xlfn.IFS($BB37="Devis 1",(IFERROR(VALUE(TRIM(SUBSTITUTE(AT37,CHAR(160),""))),0)),$BB37="Devis 2",(IFERROR(VALUE(TRIM(SUBSTITUTE(AW37,CHAR(160),""))),0)),$BB37="Devis 3",(IFERROR(VALUE(TRIM(SUBSTITUTE(AZ37,CHAR(160),""))),0))),0))))</f>
        <v/>
      </c>
      <c r="BI37" s="700" t="str" cm="1">
        <f t="array" ref="BI37">IF(AU37="","",IF(IFERROR(_xlfn.IFS($BB37="Devis 1",IFERROR(VALUE(TRIM(SUBSTITUTE(AU37,CHAR(160),""))),0),$BB37="Devis 2",IFERROR(VALUE(TRIM(SUBSTITUTE(AX37,CHAR(160),""))),0),$BB37="Devis 3",IFERROR(VALUE(TRIM(SUBSTITUTE(BA37,CHAR(160),""))),0)),0)=0,"",IFERROR(_xlfn.IFS($BB37="Devis 1",IFERROR(VALUE(TRIM(SUBSTITUTE(AU37,CHAR(160),""))),0),$BB37="Devis 2",IFERROR(VALUE(TRIM(SUBSTITUTE(AX37,CHAR(160),""))),0),$BB37="Devis 3",IFERROR(VALUE(TRIM(SUBSTITUTE(BA37,CHAR(160),""))),0)),0)))</f>
        <v/>
      </c>
      <c r="BJ37" s="739" t="str">
        <f t="shared" si="18"/>
        <v/>
      </c>
      <c r="BK37" s="740" t="str">
        <f t="shared" si="19"/>
        <v/>
      </c>
      <c r="BL37" s="741" t="str">
        <f t="shared" si="30"/>
        <v/>
      </c>
      <c r="BM37" s="741" t="str">
        <f t="shared" si="31"/>
        <v/>
      </c>
      <c r="BN37" s="741" t="str">
        <f t="shared" si="32"/>
        <v/>
      </c>
      <c r="BO37" s="741" t="str">
        <f t="shared" si="33"/>
        <v/>
      </c>
      <c r="BP37" s="711">
        <f t="shared" si="20"/>
        <v>0</v>
      </c>
      <c r="BQ37" s="372" t="str">
        <f t="shared" si="34"/>
        <v/>
      </c>
      <c r="BR37" s="718"/>
      <c r="BS37" s="393" t="str" cm="1">
        <f t="array" ref="BS37">IF(OR(BI37="",BF37="",BG37="",BD37="",BH37="",BE37=""),"",_xlfn.IFS((IFERROR(VALUE(TRIM(SUBSTITUTE(BI37,CHAR(160),""))),0))&gt;(IFERROR(VALUE(TRIM(SUBSTITUTE(BF37,CHAR(160),""))),0)),"KO : Le montant retenu TTC est supérieur au montant raisonnable TTC. Merci de revoir la ligne de dépense ou plafonner son montant.",(IFERROR(VALUE(TRIM(SUBSTITUTE(BG37,CHAR(160),""))),0))&gt;(IFERROR(VALUE(TRIM(SUBSTITUTE(BD37,CHAR(160),""))),0)),"Attention : Le montant retenu HT est supérieur au montant HT raisonnable. Merci de revoir la ligne de dépense, plafonner son montant, ou justifier la reventillation HT / TVA.",(IFERROR(VALUE(TRIM(SUBSTITUTE(BH37,CHAR(160),""))),0))&gt;(IFERROR(VALUE(TRIM(SUBSTITUTE(BE37,CHAR(160),""))),0)),"Attention : Le montant TVA retenu est supérieur au montant TVA raisonnable. Merci de revoir la ligne de dépense, plafonner son montant, ou justifier la reventillation HT / TVA.",(IFERROR(VALUE(TRIM(SUBSTITUTE(BI37,CHAR(160),""))),0))=0,"",(IFERROR(VALUE(TRIM(SUBSTITUTE(BF37,CHAR(160),""))),0))=(IFERROR(VALUE(TRIM(SUBSTITUTE(BI37,CHAR(160),""))),0)),"OK",(IFERROR(VALUE(TRIM(SUBSTITUTE(BF37,CHAR(160),""))),0))&gt;(IFERROR(VALUE(TRIM(SUBSTITUTE(BI37,CHAR(160),""))),0))," OK : Montant instruit inférieur au montant raisonnable.",TRUE,""))</f>
        <v/>
      </c>
      <c r="BT37" s="394" t="str" cm="1">
        <f t="array" ref="BT37">IF(OR(BI37="",X37="",BG37="",V37="",BH37="",W37=""),"",_xlfn.IFS((IFERROR(VALUE(TRIM(SUBSTITUTE(BI37,CHAR(160),""))),0))=0,"Attention : montant présenté entièrement écarté",(IFERROR(VALUE(TRIM(SUBSTITUTE(BI37,CHAR(160),""))),0))&gt;(IFERROR(VALUE(TRIM(SUBSTITUTE(X37,CHAR(160),""))),0)),"KO : Le montant retenu TTC est supérieur au montant présenté TTC. Merci de revoir la ligne de dépense ou plafonner son montant.",(IFERROR(VALUE(TRIM(SUBSTITUTE(BG37,CHAR(160),""))),0))&gt;(IFERROR(VALUE(TRIM(SUBSTITUTE(V37,CHAR(160),""))),0)),"Attention : Le montant retenu HT est supérieur au montant HT présenté. Merci de revoir la ligne de dépense,plafonner son montant,ou justifier la reventillation HT/TVA.",(IFERROR(VALUE(TRIM(SUBSTITUTE(BH37,CHAR(160),""))),0))&gt;(IFERROR(VALUE(TRIM(SUBSTITUTE(W37,CHAR(160),""))),0)),"Attention : Le montant TVA retenu est supérieur au montant TVA présenté. Merci de revoir la ligne de dépense,plafonner son montant,ou justifier la reventillation HT/TVA.",(IFERROR(VALUE(TRIM(SUBSTITUTE(X37,CHAR(160),""))),0))=0,"Attention : montant présenté entièrement écarté",(IFERROR(VALUE(TRIM(SUBSTITUTE(BI37,CHAR(160),""))),0))=(IFERROR(VALUE(TRIM(SUBSTITUTE(X37,CHAR(160),""))),0)),"OK",
  AND((IFERROR(VALUE(TRIM(SUBSTITUTE(BI37,CHAR(160),""))),0))&lt;(IFERROR(VALUE(TRIM(SUBSTITUTE(X37,CHAR(160),""))),0)),((IFERROR(VALUE(TRIM(SUBSTITUTE(X37,CHAR(160),""))),0))-(IFERROR(VALUE(TRIM(SUBSTITUTE(BI37,CHAR(160),""))),0)))&lt;0.01),"OK",(IFERROR(VALUE(TRIM(SUBSTITUTE(BI37,CHAR(160),""))),0))&lt;(IFERROR(VALUE(TRIM(SUBSTITUTE(X37,CHAR(160),""))),0)),"Attention : Montant présenté partiellement écarté.",
  TRUE,""))</f>
        <v/>
      </c>
      <c r="BU37" s="373" t="str" cm="1">
        <f t="array" ref="BU37">IF(OR(AF37="",BP37=""),"",_xlfn.IFS((IFERROR(VALUE(TRIM(SUBSTITUTE(BP37,CHAR(160),""))),0))&gt;(IFERROR(VALUE(TRIM(SUBSTITUTE(AF37,CHAR(160),""))),0)),"KO : Le montant retenu est supérieur au montant présenté. Merci de revoir la ligne de contribution ou plafonner son montant.",(IFERROR(VALUE(TRIM(SUBSTITUTE(AF37,CHAR(160),""))),0))=0,"Attention : montant présenté entièrement écarté",(IFERROR(VALUE(TRIM(SUBSTITUTE(BP37,CHAR(160),""))),0))=(IFERROR(VALUE(TRIM(SUBSTITUTE(AF37,CHAR(160),""))),0)),"OK",(IFERROR(VALUE(TRIM(SUBSTITUTE(BP37,CHAR(160),""))),0))&lt;(IFERROR(VALUE(TRIM(SUBSTITUTE(AF37,CHAR(160),""))),0)),"Attention : montant présenté partiellement écarté.",TRUE,""))</f>
        <v>Attention : montant présenté entièrement écarté</v>
      </c>
      <c r="BV37" s="395" t="str">
        <f t="shared" si="21"/>
        <v/>
      </c>
      <c r="BW37" s="396" t="str">
        <f t="shared" si="22"/>
        <v/>
      </c>
      <c r="BX37" s="397" t="str">
        <f t="shared" si="23"/>
        <v/>
      </c>
    </row>
    <row r="38" spans="1:76" ht="14.25" customHeight="1">
      <c r="A38" s="375">
        <v>29</v>
      </c>
      <c r="B38" s="333"/>
      <c r="C38" s="333"/>
      <c r="D38" s="333"/>
      <c r="E38" s="377"/>
      <c r="F38" s="376"/>
      <c r="G38" s="376"/>
      <c r="H38" s="400"/>
      <c r="I38" s="400"/>
      <c r="J38" s="400"/>
      <c r="K38" s="612"/>
      <c r="L38" s="613"/>
      <c r="M38" s="613"/>
      <c r="N38" s="395" t="str">
        <f t="shared" si="35"/>
        <v/>
      </c>
      <c r="O38" s="613"/>
      <c r="P38" s="613"/>
      <c r="Q38" s="610" t="str">
        <f t="shared" si="0"/>
        <v/>
      </c>
      <c r="R38" s="613"/>
      <c r="S38" s="613"/>
      <c r="T38" s="610" t="str">
        <f t="shared" si="1"/>
        <v/>
      </c>
      <c r="U38" s="611"/>
      <c r="V38" s="395" t="str" cm="1">
        <f t="array" ref="V38">IF((_xlfn.IFS(TRIM(SUBSTITUTE(U38,CHAR(160),""))="Devis 1",IFERROR(VALUE(TRIM(SUBSTITUTE(L38,CHAR(160),""))),0),TRIM(SUBSTITUTE(U38,CHAR(160),""))="Devis 2",IFERROR(VALUE(TRIM(SUBSTITUTE(O38,CHAR(160),""))),0),TRIM(SUBSTITUTE(U38,CHAR(160),""))="Devis 3",IFERROR(VALUE(TRIM(SUBSTITUTE(R38,CHAR(160),""))),0),TRUE,0))=0,"",_xlfn.IFS(TRIM(SUBSTITUTE(U38,CHAR(160),""))="Devis 1",IFERROR(VALUE(TRIM(SUBSTITUTE(L38,CHAR(160),""))),0),TRIM(SUBSTITUTE(U38,CHAR(160),""))="Devis 2",IFERROR(VALUE(TRIM(SUBSTITUTE(O38,CHAR(160),""))),0),TRIM(SUBSTITUTE(U38,CHAR(160),""))="Devis 3",IFERROR(VALUE(TRIM(SUBSTITUTE(R38,CHAR(160),""))),0),TRUE,0))</f>
        <v/>
      </c>
      <c r="W38" s="396" t="str" cm="1">
        <f t="array" ref="W38">IF((_xlfn.IFS(TRIM(SUBSTITUTE(U38,CHAR(160),""))="Devis 1",IFERROR(VALUE(TRIM(SUBSTITUTE(M38,CHAR(160),""))),0),TRIM(SUBSTITUTE(U38,CHAR(160),""))="Devis 2",IFERROR(VALUE(TRIM(SUBSTITUTE(P38,CHAR(160),""))),0),TRIM(SUBSTITUTE(U38,CHAR(160),""))="Devis 3",IFERROR(VALUE(TRIM(SUBSTITUTE(S38,CHAR(160),""))),0),TRUE,0))=0,"",_xlfn.IFS(TRIM(SUBSTITUTE(U38,CHAR(160),""))="Devis 1",IFERROR(VALUE(TRIM(SUBSTITUTE(M38,CHAR(160),""))),0),TRIM(SUBSTITUTE(U38,CHAR(160),""))="Devis 2",IFERROR(VALUE(TRIM(SUBSTITUTE(P38,CHAR(160),""))),0),TRIM(SUBSTITUTE(U38,CHAR(160),""))="Devis 3",IFERROR(VALUE(TRIM(SUBSTITUTE(S38,CHAR(160),""))),0),TRUE,0))</f>
        <v/>
      </c>
      <c r="X38" s="926" t="str" cm="1">
        <f t="array" ref="X38">IF((_xlfn.IFS(TRIM(SUBSTITUTE(U38,CHAR(160),""))="Devis 1",IFERROR(VALUE(TRIM(SUBSTITUTE(N38,CHAR(160),""))),0),TRIM(SUBSTITUTE(U38,CHAR(160),""))="Devis 2",IFERROR(VALUE(TRIM(SUBSTITUTE(Q38,CHAR(160),""))),0),TRIM(SUBSTITUTE(U38,CHAR(160),""))="Devis 3",IFERROR(VALUE(TRIM(SUBSTITUTE(T38,CHAR(160),""))),0),TRUE,0))=0,"",_xlfn.IFS(TRIM(SUBSTITUTE(U38,CHAR(160),""))="Devis 1",IFERROR(VALUE(TRIM(SUBSTITUTE(N38,CHAR(160),""))),0),TRIM(SUBSTITUTE(U38,CHAR(160),""))="Devis 2",IFERROR(VALUE(TRIM(SUBSTITUTE(Q38,CHAR(160),""))),0),TRIM(SUBSTITUTE(U38,CHAR(160),""))="Devis 3",IFERROR(VALUE(TRIM(SUBSTITUTE(T38,CHAR(160),""))),0),TRUE,0))</f>
        <v/>
      </c>
      <c r="Y38" s="933"/>
      <c r="Z38" s="929"/>
      <c r="AA38" s="935" t="str">
        <f t="shared" si="24"/>
        <v/>
      </c>
      <c r="AB38" s="934" t="str" cm="1">
        <f t="array" ref="AB38">IF(Y38="","",_xlfn.IFS(Y38=$CB$6,70,Y38=$CB$7,90,Y38=$CB$8,70,Y38=$CB$9,90,Y38=$CB$10,110))</f>
        <v/>
      </c>
      <c r="AC38" s="379"/>
      <c r="AD38" s="934" t="str" cm="1">
        <f t="array" ref="AD38">IF(Y38="","",_xlfn.IFS(Y38=$CB$6,15.75,Y38=$CB$7,21,Y38=$CB$8,15.25,Y38=$CB$9,15.25,Y38=$CB$10,15.25))</f>
        <v/>
      </c>
      <c r="AE38" s="380"/>
      <c r="AF38" s="936">
        <f t="shared" si="25"/>
        <v>0</v>
      </c>
      <c r="AG38" s="381" t="str">
        <f t="shared" si="26"/>
        <v/>
      </c>
      <c r="AH38" s="398"/>
      <c r="AI38" s="383" t="str">
        <f t="shared" si="2"/>
        <v/>
      </c>
      <c r="AJ38" s="384" t="str">
        <f t="shared" si="3"/>
        <v/>
      </c>
      <c r="AK38" s="384" t="str">
        <f t="shared" si="4"/>
        <v/>
      </c>
      <c r="AL38" s="377"/>
      <c r="AM38" s="385" t="str">
        <f t="shared" si="5"/>
        <v/>
      </c>
      <c r="AN38" s="384" t="str">
        <f t="shared" si="6"/>
        <v/>
      </c>
      <c r="AO38" s="384" t="str">
        <f t="shared" si="7"/>
        <v/>
      </c>
      <c r="AP38" s="384" t="str">
        <f t="shared" si="8"/>
        <v/>
      </c>
      <c r="AQ38" s="384" t="str">
        <f t="shared" si="9"/>
        <v/>
      </c>
      <c r="AR38" s="384" t="str">
        <f t="shared" si="10"/>
        <v/>
      </c>
      <c r="AS38" s="386" t="str">
        <f t="shared" si="11"/>
        <v/>
      </c>
      <c r="AT38" s="387" t="str">
        <f t="shared" si="12"/>
        <v/>
      </c>
      <c r="AU38" s="388" t="str">
        <f t="shared" si="36"/>
        <v/>
      </c>
      <c r="AV38" s="387" t="str">
        <f t="shared" si="13"/>
        <v/>
      </c>
      <c r="AW38" s="387" t="str">
        <f t="shared" si="14"/>
        <v/>
      </c>
      <c r="AX38" s="389" t="str">
        <f t="shared" si="27"/>
        <v/>
      </c>
      <c r="AY38" s="387" t="str">
        <f t="shared" si="15"/>
        <v/>
      </c>
      <c r="AZ38" s="387" t="str">
        <f t="shared" si="16"/>
        <v/>
      </c>
      <c r="BA38" s="389" t="str">
        <f t="shared" si="28"/>
        <v/>
      </c>
      <c r="BB38" s="390" t="str">
        <f t="shared" si="17"/>
        <v/>
      </c>
      <c r="BC38" s="391"/>
      <c r="BD38" s="390" t="str">
        <f t="shared" si="29"/>
        <v/>
      </c>
      <c r="BE38" s="390" t="str">
        <f t="shared" si="29"/>
        <v/>
      </c>
      <c r="BF38" s="390" t="str">
        <f t="shared" si="37"/>
        <v/>
      </c>
      <c r="BG38" s="392" t="str" cm="1">
        <f t="array" ref="BG38">IF(AS38="","",IF((IFERROR(_xlfn.IFS($BB38="Devis 1",(IFERROR(VALUE(TRIM(SUBSTITUTE(AS38,CHAR(160),""))),0)),$BB38="Devis 2",(IFERROR(VALUE(TRIM(SUBSTITUTE(AV38,CHAR(160),""))),0)),$BB38="Devis 3",(IFERROR(VALUE(TRIM(SUBSTITUTE(AY38,CHAR(160),""))),0))),0))=0,"",(IFERROR(_xlfn.IFS($BB38="Devis 1",(IFERROR(VALUE(TRIM(SUBSTITUTE(AS38,CHAR(160),""))),0)),$BB38="Devis 2",(IFERROR(VALUE(TRIM(SUBSTITUTE(AV38,CHAR(160),""))),0)),$BB38="Devis 3",(IFERROR(VALUE(TRIM(SUBSTITUTE(AY38,CHAR(160),""))),0))),0))))</f>
        <v/>
      </c>
      <c r="BH38" s="392" t="str" cm="1">
        <f t="array" ref="BH38">IF(AT38="","",IF((IFERROR(_xlfn.IFS($BB38="Devis 1",(IFERROR(VALUE(TRIM(SUBSTITUTE(AT38,CHAR(160),""))),0)),$BB38="Devis 2",(IFERROR(VALUE(TRIM(SUBSTITUTE(AW38,CHAR(160),""))),0)),$BB38="Devis 3",(IFERROR(VALUE(TRIM(SUBSTITUTE(AZ38,CHAR(160),""))),0))),0))=0,"",(IFERROR(_xlfn.IFS($BB38="Devis 1",(IFERROR(VALUE(TRIM(SUBSTITUTE(AT38,CHAR(160),""))),0)),$BB38="Devis 2",(IFERROR(VALUE(TRIM(SUBSTITUTE(AW38,CHAR(160),""))),0)),$BB38="Devis 3",(IFERROR(VALUE(TRIM(SUBSTITUTE(AZ38,CHAR(160),""))),0))),0))))</f>
        <v/>
      </c>
      <c r="BI38" s="700" t="str" cm="1">
        <f t="array" ref="BI38">IF(AU38="","",IF(IFERROR(_xlfn.IFS($BB38="Devis 1",IFERROR(VALUE(TRIM(SUBSTITUTE(AU38,CHAR(160),""))),0),$BB38="Devis 2",IFERROR(VALUE(TRIM(SUBSTITUTE(AX38,CHAR(160),""))),0),$BB38="Devis 3",IFERROR(VALUE(TRIM(SUBSTITUTE(BA38,CHAR(160),""))),0)),0)=0,"",IFERROR(_xlfn.IFS($BB38="Devis 1",IFERROR(VALUE(TRIM(SUBSTITUTE(AU38,CHAR(160),""))),0),$BB38="Devis 2",IFERROR(VALUE(TRIM(SUBSTITUTE(AX38,CHAR(160),""))),0),$BB38="Devis 3",IFERROR(VALUE(TRIM(SUBSTITUTE(BA38,CHAR(160),""))),0)),0)))</f>
        <v/>
      </c>
      <c r="BJ38" s="739" t="str">
        <f t="shared" si="18"/>
        <v/>
      </c>
      <c r="BK38" s="740" t="str">
        <f t="shared" si="19"/>
        <v/>
      </c>
      <c r="BL38" s="741" t="str">
        <f t="shared" si="30"/>
        <v/>
      </c>
      <c r="BM38" s="741" t="str">
        <f t="shared" si="31"/>
        <v/>
      </c>
      <c r="BN38" s="741" t="str">
        <f t="shared" si="32"/>
        <v/>
      </c>
      <c r="BO38" s="741" t="str">
        <f t="shared" si="33"/>
        <v/>
      </c>
      <c r="BP38" s="711">
        <f t="shared" si="20"/>
        <v>0</v>
      </c>
      <c r="BQ38" s="372" t="str">
        <f t="shared" si="34"/>
        <v/>
      </c>
      <c r="BR38" s="718"/>
      <c r="BS38" s="393" t="str" cm="1">
        <f t="array" ref="BS38">IF(OR(BI38="",BF38="",BG38="",BD38="",BH38="",BE38=""),"",_xlfn.IFS((IFERROR(VALUE(TRIM(SUBSTITUTE(BI38,CHAR(160),""))),0))&gt;(IFERROR(VALUE(TRIM(SUBSTITUTE(BF38,CHAR(160),""))),0)),"KO : Le montant retenu TTC est supérieur au montant raisonnable TTC. Merci de revoir la ligne de dépense ou plafonner son montant.",(IFERROR(VALUE(TRIM(SUBSTITUTE(BG38,CHAR(160),""))),0))&gt;(IFERROR(VALUE(TRIM(SUBSTITUTE(BD38,CHAR(160),""))),0)),"Attention : Le montant retenu HT est supérieur au montant HT raisonnable. Merci de revoir la ligne de dépense, plafonner son montant, ou justifier la reventillation HT / TVA.",(IFERROR(VALUE(TRIM(SUBSTITUTE(BH38,CHAR(160),""))),0))&gt;(IFERROR(VALUE(TRIM(SUBSTITUTE(BE38,CHAR(160),""))),0)),"Attention : Le montant TVA retenu est supérieur au montant TVA raisonnable. Merci de revoir la ligne de dépense, plafonner son montant, ou justifier la reventillation HT / TVA.",(IFERROR(VALUE(TRIM(SUBSTITUTE(BI38,CHAR(160),""))),0))=0,"",(IFERROR(VALUE(TRIM(SUBSTITUTE(BF38,CHAR(160),""))),0))=(IFERROR(VALUE(TRIM(SUBSTITUTE(BI38,CHAR(160),""))),0)),"OK",(IFERROR(VALUE(TRIM(SUBSTITUTE(BF38,CHAR(160),""))),0))&gt;(IFERROR(VALUE(TRIM(SUBSTITUTE(BI38,CHAR(160),""))),0))," OK : Montant instruit inférieur au montant raisonnable.",TRUE,""))</f>
        <v/>
      </c>
      <c r="BT38" s="394" t="str" cm="1">
        <f t="array" ref="BT38">IF(OR(BI38="",X38="",BG38="",V38="",BH38="",W38=""),"",_xlfn.IFS((IFERROR(VALUE(TRIM(SUBSTITUTE(BI38,CHAR(160),""))),0))=0,"Attention : montant présenté entièrement écarté",(IFERROR(VALUE(TRIM(SUBSTITUTE(BI38,CHAR(160),""))),0))&gt;(IFERROR(VALUE(TRIM(SUBSTITUTE(X38,CHAR(160),""))),0)),"KO : Le montant retenu TTC est supérieur au montant présenté TTC. Merci de revoir la ligne de dépense ou plafonner son montant.",(IFERROR(VALUE(TRIM(SUBSTITUTE(BG38,CHAR(160),""))),0))&gt;(IFERROR(VALUE(TRIM(SUBSTITUTE(V38,CHAR(160),""))),0)),"Attention : Le montant retenu HT est supérieur au montant HT présenté. Merci de revoir la ligne de dépense,plafonner son montant,ou justifier la reventillation HT/TVA.",(IFERROR(VALUE(TRIM(SUBSTITUTE(BH38,CHAR(160),""))),0))&gt;(IFERROR(VALUE(TRIM(SUBSTITUTE(W38,CHAR(160),""))),0)),"Attention : Le montant TVA retenu est supérieur au montant TVA présenté. Merci de revoir la ligne de dépense,plafonner son montant,ou justifier la reventillation HT/TVA.",(IFERROR(VALUE(TRIM(SUBSTITUTE(X38,CHAR(160),""))),0))=0,"Attention : montant présenté entièrement écarté",(IFERROR(VALUE(TRIM(SUBSTITUTE(BI38,CHAR(160),""))),0))=(IFERROR(VALUE(TRIM(SUBSTITUTE(X38,CHAR(160),""))),0)),"OK",
  AND((IFERROR(VALUE(TRIM(SUBSTITUTE(BI38,CHAR(160),""))),0))&lt;(IFERROR(VALUE(TRIM(SUBSTITUTE(X38,CHAR(160),""))),0)),((IFERROR(VALUE(TRIM(SUBSTITUTE(X38,CHAR(160),""))),0))-(IFERROR(VALUE(TRIM(SUBSTITUTE(BI38,CHAR(160),""))),0)))&lt;0.01),"OK",(IFERROR(VALUE(TRIM(SUBSTITUTE(BI38,CHAR(160),""))),0))&lt;(IFERROR(VALUE(TRIM(SUBSTITUTE(X38,CHAR(160),""))),0)),"Attention : Montant présenté partiellement écarté.",
  TRUE,""))</f>
        <v/>
      </c>
      <c r="BU38" s="373" t="str" cm="1">
        <f t="array" ref="BU38">IF(OR(AF38="",BP38=""),"",_xlfn.IFS((IFERROR(VALUE(TRIM(SUBSTITUTE(BP38,CHAR(160),""))),0))&gt;(IFERROR(VALUE(TRIM(SUBSTITUTE(AF38,CHAR(160),""))),0)),"KO : Le montant retenu est supérieur au montant présenté. Merci de revoir la ligne de contribution ou plafonner son montant.",(IFERROR(VALUE(TRIM(SUBSTITUTE(AF38,CHAR(160),""))),0))=0,"Attention : montant présenté entièrement écarté",(IFERROR(VALUE(TRIM(SUBSTITUTE(BP38,CHAR(160),""))),0))=(IFERROR(VALUE(TRIM(SUBSTITUTE(AF38,CHAR(160),""))),0)),"OK",(IFERROR(VALUE(TRIM(SUBSTITUTE(BP38,CHAR(160),""))),0))&lt;(IFERROR(VALUE(TRIM(SUBSTITUTE(AF38,CHAR(160),""))),0)),"Attention : montant présenté partiellement écarté.",TRUE,""))</f>
        <v>Attention : montant présenté entièrement écarté</v>
      </c>
      <c r="BV38" s="395" t="str">
        <f t="shared" si="21"/>
        <v/>
      </c>
      <c r="BW38" s="396" t="str">
        <f t="shared" si="22"/>
        <v/>
      </c>
      <c r="BX38" s="397" t="str">
        <f t="shared" si="23"/>
        <v/>
      </c>
    </row>
    <row r="39" spans="1:76" ht="14.25" customHeight="1">
      <c r="A39" s="375">
        <v>30</v>
      </c>
      <c r="B39" s="333"/>
      <c r="C39" s="333"/>
      <c r="D39" s="333"/>
      <c r="E39" s="377"/>
      <c r="F39" s="376"/>
      <c r="G39" s="376"/>
      <c r="H39" s="400"/>
      <c r="I39" s="400"/>
      <c r="J39" s="400"/>
      <c r="K39" s="612"/>
      <c r="L39" s="613"/>
      <c r="M39" s="613"/>
      <c r="N39" s="395" t="str">
        <f t="shared" si="35"/>
        <v/>
      </c>
      <c r="O39" s="613"/>
      <c r="P39" s="613"/>
      <c r="Q39" s="610" t="str">
        <f t="shared" si="0"/>
        <v/>
      </c>
      <c r="R39" s="613"/>
      <c r="S39" s="613"/>
      <c r="T39" s="610" t="str">
        <f t="shared" si="1"/>
        <v/>
      </c>
      <c r="U39" s="611"/>
      <c r="V39" s="395" t="str" cm="1">
        <f t="array" ref="V39">IF((_xlfn.IFS(TRIM(SUBSTITUTE(U39,CHAR(160),""))="Devis 1",IFERROR(VALUE(TRIM(SUBSTITUTE(L39,CHAR(160),""))),0),TRIM(SUBSTITUTE(U39,CHAR(160),""))="Devis 2",IFERROR(VALUE(TRIM(SUBSTITUTE(O39,CHAR(160),""))),0),TRIM(SUBSTITUTE(U39,CHAR(160),""))="Devis 3",IFERROR(VALUE(TRIM(SUBSTITUTE(R39,CHAR(160),""))),0),TRUE,0))=0,"",_xlfn.IFS(TRIM(SUBSTITUTE(U39,CHAR(160),""))="Devis 1",IFERROR(VALUE(TRIM(SUBSTITUTE(L39,CHAR(160),""))),0),TRIM(SUBSTITUTE(U39,CHAR(160),""))="Devis 2",IFERROR(VALUE(TRIM(SUBSTITUTE(O39,CHAR(160),""))),0),TRIM(SUBSTITUTE(U39,CHAR(160),""))="Devis 3",IFERROR(VALUE(TRIM(SUBSTITUTE(R39,CHAR(160),""))),0),TRUE,0))</f>
        <v/>
      </c>
      <c r="W39" s="396" t="str" cm="1">
        <f t="array" ref="W39">IF((_xlfn.IFS(TRIM(SUBSTITUTE(U39,CHAR(160),""))="Devis 1",IFERROR(VALUE(TRIM(SUBSTITUTE(M39,CHAR(160),""))),0),TRIM(SUBSTITUTE(U39,CHAR(160),""))="Devis 2",IFERROR(VALUE(TRIM(SUBSTITUTE(P39,CHAR(160),""))),0),TRIM(SUBSTITUTE(U39,CHAR(160),""))="Devis 3",IFERROR(VALUE(TRIM(SUBSTITUTE(S39,CHAR(160),""))),0),TRUE,0))=0,"",_xlfn.IFS(TRIM(SUBSTITUTE(U39,CHAR(160),""))="Devis 1",IFERROR(VALUE(TRIM(SUBSTITUTE(M39,CHAR(160),""))),0),TRIM(SUBSTITUTE(U39,CHAR(160),""))="Devis 2",IFERROR(VALUE(TRIM(SUBSTITUTE(P39,CHAR(160),""))),0),TRIM(SUBSTITUTE(U39,CHAR(160),""))="Devis 3",IFERROR(VALUE(TRIM(SUBSTITUTE(S39,CHAR(160),""))),0),TRUE,0))</f>
        <v/>
      </c>
      <c r="X39" s="926" t="str" cm="1">
        <f t="array" ref="X39">IF((_xlfn.IFS(TRIM(SUBSTITUTE(U39,CHAR(160),""))="Devis 1",IFERROR(VALUE(TRIM(SUBSTITUTE(N39,CHAR(160),""))),0),TRIM(SUBSTITUTE(U39,CHAR(160),""))="Devis 2",IFERROR(VALUE(TRIM(SUBSTITUTE(Q39,CHAR(160),""))),0),TRIM(SUBSTITUTE(U39,CHAR(160),""))="Devis 3",IFERROR(VALUE(TRIM(SUBSTITUTE(T39,CHAR(160),""))),0),TRUE,0))=0,"",_xlfn.IFS(TRIM(SUBSTITUTE(U39,CHAR(160),""))="Devis 1",IFERROR(VALUE(TRIM(SUBSTITUTE(N39,CHAR(160),""))),0),TRIM(SUBSTITUTE(U39,CHAR(160),""))="Devis 2",IFERROR(VALUE(TRIM(SUBSTITUTE(Q39,CHAR(160),""))),0),TRIM(SUBSTITUTE(U39,CHAR(160),""))="Devis 3",IFERROR(VALUE(TRIM(SUBSTITUTE(T39,CHAR(160),""))),0),TRUE,0))</f>
        <v/>
      </c>
      <c r="Y39" s="933"/>
      <c r="Z39" s="929"/>
      <c r="AA39" s="935" t="str">
        <f t="shared" si="24"/>
        <v/>
      </c>
      <c r="AB39" s="934" t="str" cm="1">
        <f t="array" ref="AB39">IF(Y39="","",_xlfn.IFS(Y39=$CB$6,70,Y39=$CB$7,90,Y39=$CB$8,70,Y39=$CB$9,90,Y39=$CB$10,110))</f>
        <v/>
      </c>
      <c r="AC39" s="379"/>
      <c r="AD39" s="934" t="str" cm="1">
        <f t="array" ref="AD39">IF(Y39="","",_xlfn.IFS(Y39=$CB$6,15.75,Y39=$CB$7,21,Y39=$CB$8,15.25,Y39=$CB$9,15.25,Y39=$CB$10,15.25))</f>
        <v/>
      </c>
      <c r="AE39" s="380"/>
      <c r="AF39" s="936">
        <f t="shared" si="25"/>
        <v>0</v>
      </c>
      <c r="AG39" s="381" t="str">
        <f t="shared" si="26"/>
        <v/>
      </c>
      <c r="AH39" s="398"/>
      <c r="AI39" s="383" t="str">
        <f t="shared" si="2"/>
        <v/>
      </c>
      <c r="AJ39" s="384" t="str">
        <f t="shared" si="3"/>
        <v/>
      </c>
      <c r="AK39" s="384" t="str">
        <f t="shared" si="4"/>
        <v/>
      </c>
      <c r="AL39" s="377"/>
      <c r="AM39" s="385" t="str">
        <f t="shared" si="5"/>
        <v/>
      </c>
      <c r="AN39" s="384" t="str">
        <f t="shared" si="6"/>
        <v/>
      </c>
      <c r="AO39" s="384" t="str">
        <f t="shared" si="7"/>
        <v/>
      </c>
      <c r="AP39" s="384" t="str">
        <f t="shared" si="8"/>
        <v/>
      </c>
      <c r="AQ39" s="384" t="str">
        <f t="shared" si="9"/>
        <v/>
      </c>
      <c r="AR39" s="384" t="str">
        <f t="shared" si="10"/>
        <v/>
      </c>
      <c r="AS39" s="386" t="str">
        <f t="shared" si="11"/>
        <v/>
      </c>
      <c r="AT39" s="387" t="str">
        <f t="shared" si="12"/>
        <v/>
      </c>
      <c r="AU39" s="388" t="str">
        <f t="shared" si="36"/>
        <v/>
      </c>
      <c r="AV39" s="387" t="str">
        <f t="shared" si="13"/>
        <v/>
      </c>
      <c r="AW39" s="387" t="str">
        <f t="shared" si="14"/>
        <v/>
      </c>
      <c r="AX39" s="389" t="str">
        <f t="shared" si="27"/>
        <v/>
      </c>
      <c r="AY39" s="387" t="str">
        <f t="shared" si="15"/>
        <v/>
      </c>
      <c r="AZ39" s="387" t="str">
        <f t="shared" si="16"/>
        <v/>
      </c>
      <c r="BA39" s="389" t="str">
        <f t="shared" si="28"/>
        <v/>
      </c>
      <c r="BB39" s="390" t="str">
        <f t="shared" si="17"/>
        <v/>
      </c>
      <c r="BC39" s="391"/>
      <c r="BD39" s="390" t="str">
        <f t="shared" si="29"/>
        <v/>
      </c>
      <c r="BE39" s="390" t="str">
        <f t="shared" si="29"/>
        <v/>
      </c>
      <c r="BF39" s="390" t="str">
        <f t="shared" si="37"/>
        <v/>
      </c>
      <c r="BG39" s="392" t="str" cm="1">
        <f t="array" ref="BG39">IF(AS39="","",IF((IFERROR(_xlfn.IFS($BB39="Devis 1",(IFERROR(VALUE(TRIM(SUBSTITUTE(AS39,CHAR(160),""))),0)),$BB39="Devis 2",(IFERROR(VALUE(TRIM(SUBSTITUTE(AV39,CHAR(160),""))),0)),$BB39="Devis 3",(IFERROR(VALUE(TRIM(SUBSTITUTE(AY39,CHAR(160),""))),0))),0))=0,"",(IFERROR(_xlfn.IFS($BB39="Devis 1",(IFERROR(VALUE(TRIM(SUBSTITUTE(AS39,CHAR(160),""))),0)),$BB39="Devis 2",(IFERROR(VALUE(TRIM(SUBSTITUTE(AV39,CHAR(160),""))),0)),$BB39="Devis 3",(IFERROR(VALUE(TRIM(SUBSTITUTE(AY39,CHAR(160),""))),0))),0))))</f>
        <v/>
      </c>
      <c r="BH39" s="392" t="str" cm="1">
        <f t="array" ref="BH39">IF(AT39="","",IF((IFERROR(_xlfn.IFS($BB39="Devis 1",(IFERROR(VALUE(TRIM(SUBSTITUTE(AT39,CHAR(160),""))),0)),$BB39="Devis 2",(IFERROR(VALUE(TRIM(SUBSTITUTE(AW39,CHAR(160),""))),0)),$BB39="Devis 3",(IFERROR(VALUE(TRIM(SUBSTITUTE(AZ39,CHAR(160),""))),0))),0))=0,"",(IFERROR(_xlfn.IFS($BB39="Devis 1",(IFERROR(VALUE(TRIM(SUBSTITUTE(AT39,CHAR(160),""))),0)),$BB39="Devis 2",(IFERROR(VALUE(TRIM(SUBSTITUTE(AW39,CHAR(160),""))),0)),$BB39="Devis 3",(IFERROR(VALUE(TRIM(SUBSTITUTE(AZ39,CHAR(160),""))),0))),0))))</f>
        <v/>
      </c>
      <c r="BI39" s="700" t="str" cm="1">
        <f t="array" ref="BI39">IF(AU39="","",IF(IFERROR(_xlfn.IFS($BB39="Devis 1",IFERROR(VALUE(TRIM(SUBSTITUTE(AU39,CHAR(160),""))),0),$BB39="Devis 2",IFERROR(VALUE(TRIM(SUBSTITUTE(AX39,CHAR(160),""))),0),$BB39="Devis 3",IFERROR(VALUE(TRIM(SUBSTITUTE(BA39,CHAR(160),""))),0)),0)=0,"",IFERROR(_xlfn.IFS($BB39="Devis 1",IFERROR(VALUE(TRIM(SUBSTITUTE(AU39,CHAR(160),""))),0),$BB39="Devis 2",IFERROR(VALUE(TRIM(SUBSTITUTE(AX39,CHAR(160),""))),0),$BB39="Devis 3",IFERROR(VALUE(TRIM(SUBSTITUTE(BA39,CHAR(160),""))),0)),0)))</f>
        <v/>
      </c>
      <c r="BJ39" s="739" t="str">
        <f t="shared" si="18"/>
        <v/>
      </c>
      <c r="BK39" s="740" t="str">
        <f t="shared" si="19"/>
        <v/>
      </c>
      <c r="BL39" s="741" t="str">
        <f t="shared" si="30"/>
        <v/>
      </c>
      <c r="BM39" s="741" t="str">
        <f t="shared" si="31"/>
        <v/>
      </c>
      <c r="BN39" s="741" t="str">
        <f t="shared" si="32"/>
        <v/>
      </c>
      <c r="BO39" s="741" t="str">
        <f t="shared" si="33"/>
        <v/>
      </c>
      <c r="BP39" s="711">
        <f t="shared" si="20"/>
        <v>0</v>
      </c>
      <c r="BQ39" s="372" t="str">
        <f t="shared" si="34"/>
        <v/>
      </c>
      <c r="BR39" s="718"/>
      <c r="BS39" s="393" t="str" cm="1">
        <f t="array" ref="BS39">IF(OR(BI39="",BF39="",BG39="",BD39="",BH39="",BE39=""),"",_xlfn.IFS((IFERROR(VALUE(TRIM(SUBSTITUTE(BI39,CHAR(160),""))),0))&gt;(IFERROR(VALUE(TRIM(SUBSTITUTE(BF39,CHAR(160),""))),0)),"KO : Le montant retenu TTC est supérieur au montant raisonnable TTC. Merci de revoir la ligne de dépense ou plafonner son montant.",(IFERROR(VALUE(TRIM(SUBSTITUTE(BG39,CHAR(160),""))),0))&gt;(IFERROR(VALUE(TRIM(SUBSTITUTE(BD39,CHAR(160),""))),0)),"Attention : Le montant retenu HT est supérieur au montant HT raisonnable. Merci de revoir la ligne de dépense, plafonner son montant, ou justifier la reventillation HT / TVA.",(IFERROR(VALUE(TRIM(SUBSTITUTE(BH39,CHAR(160),""))),0))&gt;(IFERROR(VALUE(TRIM(SUBSTITUTE(BE39,CHAR(160),""))),0)),"Attention : Le montant TVA retenu est supérieur au montant TVA raisonnable. Merci de revoir la ligne de dépense, plafonner son montant, ou justifier la reventillation HT / TVA.",(IFERROR(VALUE(TRIM(SUBSTITUTE(BI39,CHAR(160),""))),0))=0,"",(IFERROR(VALUE(TRIM(SUBSTITUTE(BF39,CHAR(160),""))),0))=(IFERROR(VALUE(TRIM(SUBSTITUTE(BI39,CHAR(160),""))),0)),"OK",(IFERROR(VALUE(TRIM(SUBSTITUTE(BF39,CHAR(160),""))),0))&gt;(IFERROR(VALUE(TRIM(SUBSTITUTE(BI39,CHAR(160),""))),0))," OK : Montant instruit inférieur au montant raisonnable.",TRUE,""))</f>
        <v/>
      </c>
      <c r="BT39" s="394" t="str" cm="1">
        <f t="array" ref="BT39">IF(OR(BI39="",X39="",BG39="",V39="",BH39="",W39=""),"",_xlfn.IFS((IFERROR(VALUE(TRIM(SUBSTITUTE(BI39,CHAR(160),""))),0))=0,"Attention : montant présenté entièrement écarté",(IFERROR(VALUE(TRIM(SUBSTITUTE(BI39,CHAR(160),""))),0))&gt;(IFERROR(VALUE(TRIM(SUBSTITUTE(X39,CHAR(160),""))),0)),"KO : Le montant retenu TTC est supérieur au montant présenté TTC. Merci de revoir la ligne de dépense ou plafonner son montant.",(IFERROR(VALUE(TRIM(SUBSTITUTE(BG39,CHAR(160),""))),0))&gt;(IFERROR(VALUE(TRIM(SUBSTITUTE(V39,CHAR(160),""))),0)),"Attention : Le montant retenu HT est supérieur au montant HT présenté. Merci de revoir la ligne de dépense,plafonner son montant,ou justifier la reventillation HT/TVA.",(IFERROR(VALUE(TRIM(SUBSTITUTE(BH39,CHAR(160),""))),0))&gt;(IFERROR(VALUE(TRIM(SUBSTITUTE(W39,CHAR(160),""))),0)),"Attention : Le montant TVA retenu est supérieur au montant TVA présenté. Merci de revoir la ligne de dépense,plafonner son montant,ou justifier la reventillation HT/TVA.",(IFERROR(VALUE(TRIM(SUBSTITUTE(X39,CHAR(160),""))),0))=0,"Attention : montant présenté entièrement écarté",(IFERROR(VALUE(TRIM(SUBSTITUTE(BI39,CHAR(160),""))),0))=(IFERROR(VALUE(TRIM(SUBSTITUTE(X39,CHAR(160),""))),0)),"OK",
  AND((IFERROR(VALUE(TRIM(SUBSTITUTE(BI39,CHAR(160),""))),0))&lt;(IFERROR(VALUE(TRIM(SUBSTITUTE(X39,CHAR(160),""))),0)),((IFERROR(VALUE(TRIM(SUBSTITUTE(X39,CHAR(160),""))),0))-(IFERROR(VALUE(TRIM(SUBSTITUTE(BI39,CHAR(160),""))),0)))&lt;0.01),"OK",(IFERROR(VALUE(TRIM(SUBSTITUTE(BI39,CHAR(160),""))),0))&lt;(IFERROR(VALUE(TRIM(SUBSTITUTE(X39,CHAR(160),""))),0)),"Attention : Montant présenté partiellement écarté.",
  TRUE,""))</f>
        <v/>
      </c>
      <c r="BU39" s="373" t="str" cm="1">
        <f t="array" ref="BU39">IF(OR(AF39="",BP39=""),"",_xlfn.IFS((IFERROR(VALUE(TRIM(SUBSTITUTE(BP39,CHAR(160),""))),0))&gt;(IFERROR(VALUE(TRIM(SUBSTITUTE(AF39,CHAR(160),""))),0)),"KO : Le montant retenu est supérieur au montant présenté. Merci de revoir la ligne de contribution ou plafonner son montant.",(IFERROR(VALUE(TRIM(SUBSTITUTE(AF39,CHAR(160),""))),0))=0,"Attention : montant présenté entièrement écarté",(IFERROR(VALUE(TRIM(SUBSTITUTE(BP39,CHAR(160),""))),0))=(IFERROR(VALUE(TRIM(SUBSTITUTE(AF39,CHAR(160),""))),0)),"OK",(IFERROR(VALUE(TRIM(SUBSTITUTE(BP39,CHAR(160),""))),0))&lt;(IFERROR(VALUE(TRIM(SUBSTITUTE(AF39,CHAR(160),""))),0)),"Attention : montant présenté partiellement écarté.",TRUE,""))</f>
        <v>Attention : montant présenté entièrement écarté</v>
      </c>
      <c r="BV39" s="395" t="str">
        <f t="shared" si="21"/>
        <v/>
      </c>
      <c r="BW39" s="396" t="str">
        <f t="shared" si="22"/>
        <v/>
      </c>
      <c r="BX39" s="397" t="str">
        <f t="shared" si="23"/>
        <v/>
      </c>
    </row>
    <row r="40" spans="1:76" ht="14.25" customHeight="1">
      <c r="A40" s="375">
        <v>31</v>
      </c>
      <c r="B40" s="333"/>
      <c r="C40" s="333"/>
      <c r="D40" s="333"/>
      <c r="E40" s="377"/>
      <c r="F40" s="376"/>
      <c r="G40" s="376"/>
      <c r="H40" s="400"/>
      <c r="I40" s="400"/>
      <c r="J40" s="400"/>
      <c r="K40" s="612"/>
      <c r="L40" s="613"/>
      <c r="M40" s="613"/>
      <c r="N40" s="395" t="str">
        <f t="shared" si="35"/>
        <v/>
      </c>
      <c r="O40" s="613"/>
      <c r="P40" s="613"/>
      <c r="Q40" s="610" t="str">
        <f t="shared" si="0"/>
        <v/>
      </c>
      <c r="R40" s="613"/>
      <c r="S40" s="613"/>
      <c r="T40" s="610" t="str">
        <f t="shared" si="1"/>
        <v/>
      </c>
      <c r="U40" s="611"/>
      <c r="V40" s="395" t="str" cm="1">
        <f t="array" ref="V40">IF((_xlfn.IFS(TRIM(SUBSTITUTE(U40,CHAR(160),""))="Devis 1",IFERROR(VALUE(TRIM(SUBSTITUTE(L40,CHAR(160),""))),0),TRIM(SUBSTITUTE(U40,CHAR(160),""))="Devis 2",IFERROR(VALUE(TRIM(SUBSTITUTE(O40,CHAR(160),""))),0),TRIM(SUBSTITUTE(U40,CHAR(160),""))="Devis 3",IFERROR(VALUE(TRIM(SUBSTITUTE(R40,CHAR(160),""))),0),TRUE,0))=0,"",_xlfn.IFS(TRIM(SUBSTITUTE(U40,CHAR(160),""))="Devis 1",IFERROR(VALUE(TRIM(SUBSTITUTE(L40,CHAR(160),""))),0),TRIM(SUBSTITUTE(U40,CHAR(160),""))="Devis 2",IFERROR(VALUE(TRIM(SUBSTITUTE(O40,CHAR(160),""))),0),TRIM(SUBSTITUTE(U40,CHAR(160),""))="Devis 3",IFERROR(VALUE(TRIM(SUBSTITUTE(R40,CHAR(160),""))),0),TRUE,0))</f>
        <v/>
      </c>
      <c r="W40" s="396" t="str" cm="1">
        <f t="array" ref="W40">IF((_xlfn.IFS(TRIM(SUBSTITUTE(U40,CHAR(160),""))="Devis 1",IFERROR(VALUE(TRIM(SUBSTITUTE(M40,CHAR(160),""))),0),TRIM(SUBSTITUTE(U40,CHAR(160),""))="Devis 2",IFERROR(VALUE(TRIM(SUBSTITUTE(P40,CHAR(160),""))),0),TRIM(SUBSTITUTE(U40,CHAR(160),""))="Devis 3",IFERROR(VALUE(TRIM(SUBSTITUTE(S40,CHAR(160),""))),0),TRUE,0))=0,"",_xlfn.IFS(TRIM(SUBSTITUTE(U40,CHAR(160),""))="Devis 1",IFERROR(VALUE(TRIM(SUBSTITUTE(M40,CHAR(160),""))),0),TRIM(SUBSTITUTE(U40,CHAR(160),""))="Devis 2",IFERROR(VALUE(TRIM(SUBSTITUTE(P40,CHAR(160),""))),0),TRIM(SUBSTITUTE(U40,CHAR(160),""))="Devis 3",IFERROR(VALUE(TRIM(SUBSTITUTE(S40,CHAR(160),""))),0),TRUE,0))</f>
        <v/>
      </c>
      <c r="X40" s="926" t="str" cm="1">
        <f t="array" ref="X40">IF((_xlfn.IFS(TRIM(SUBSTITUTE(U40,CHAR(160),""))="Devis 1",IFERROR(VALUE(TRIM(SUBSTITUTE(N40,CHAR(160),""))),0),TRIM(SUBSTITUTE(U40,CHAR(160),""))="Devis 2",IFERROR(VALUE(TRIM(SUBSTITUTE(Q40,CHAR(160),""))),0),TRIM(SUBSTITUTE(U40,CHAR(160),""))="Devis 3",IFERROR(VALUE(TRIM(SUBSTITUTE(T40,CHAR(160),""))),0),TRUE,0))=0,"",_xlfn.IFS(TRIM(SUBSTITUTE(U40,CHAR(160),""))="Devis 1",IFERROR(VALUE(TRIM(SUBSTITUTE(N40,CHAR(160),""))),0),TRIM(SUBSTITUTE(U40,CHAR(160),""))="Devis 2",IFERROR(VALUE(TRIM(SUBSTITUTE(Q40,CHAR(160),""))),0),TRIM(SUBSTITUTE(U40,CHAR(160),""))="Devis 3",IFERROR(VALUE(TRIM(SUBSTITUTE(T40,CHAR(160),""))),0),TRUE,0))</f>
        <v/>
      </c>
      <c r="Y40" s="933"/>
      <c r="Z40" s="929"/>
      <c r="AA40" s="935" t="str">
        <f t="shared" si="24"/>
        <v/>
      </c>
      <c r="AB40" s="934" t="str" cm="1">
        <f t="array" ref="AB40">IF(Y40="","",_xlfn.IFS(Y40=$CB$6,70,Y40=$CB$7,90,Y40=$CB$8,70,Y40=$CB$9,90,Y40=$CB$10,110))</f>
        <v/>
      </c>
      <c r="AC40" s="379"/>
      <c r="AD40" s="934" t="str" cm="1">
        <f t="array" ref="AD40">IF(Y40="","",_xlfn.IFS(Y40=$CB$6,15.75,Y40=$CB$7,21,Y40=$CB$8,15.25,Y40=$CB$9,15.25,Y40=$CB$10,15.25))</f>
        <v/>
      </c>
      <c r="AE40" s="380"/>
      <c r="AF40" s="936">
        <f t="shared" si="25"/>
        <v>0</v>
      </c>
      <c r="AG40" s="381" t="str">
        <f t="shared" si="26"/>
        <v/>
      </c>
      <c r="AH40" s="398"/>
      <c r="AI40" s="383" t="str">
        <f t="shared" si="2"/>
        <v/>
      </c>
      <c r="AJ40" s="384" t="str">
        <f t="shared" si="3"/>
        <v/>
      </c>
      <c r="AK40" s="384" t="str">
        <f t="shared" si="4"/>
        <v/>
      </c>
      <c r="AL40" s="377"/>
      <c r="AM40" s="385" t="str">
        <f t="shared" si="5"/>
        <v/>
      </c>
      <c r="AN40" s="384" t="str">
        <f t="shared" si="6"/>
        <v/>
      </c>
      <c r="AO40" s="384" t="str">
        <f t="shared" si="7"/>
        <v/>
      </c>
      <c r="AP40" s="384" t="str">
        <f t="shared" si="8"/>
        <v/>
      </c>
      <c r="AQ40" s="384" t="str">
        <f t="shared" si="9"/>
        <v/>
      </c>
      <c r="AR40" s="384" t="str">
        <f t="shared" si="10"/>
        <v/>
      </c>
      <c r="AS40" s="386" t="str">
        <f t="shared" si="11"/>
        <v/>
      </c>
      <c r="AT40" s="387" t="str">
        <f t="shared" si="12"/>
        <v/>
      </c>
      <c r="AU40" s="388" t="str">
        <f t="shared" si="36"/>
        <v/>
      </c>
      <c r="AV40" s="387" t="str">
        <f t="shared" si="13"/>
        <v/>
      </c>
      <c r="AW40" s="387" t="str">
        <f t="shared" si="14"/>
        <v/>
      </c>
      <c r="AX40" s="389" t="str">
        <f t="shared" si="27"/>
        <v/>
      </c>
      <c r="AY40" s="387" t="str">
        <f t="shared" si="15"/>
        <v/>
      </c>
      <c r="AZ40" s="387" t="str">
        <f t="shared" si="16"/>
        <v/>
      </c>
      <c r="BA40" s="389" t="str">
        <f t="shared" si="28"/>
        <v/>
      </c>
      <c r="BB40" s="390" t="str">
        <f t="shared" si="17"/>
        <v/>
      </c>
      <c r="BC40" s="391"/>
      <c r="BD40" s="390" t="str">
        <f t="shared" si="29"/>
        <v/>
      </c>
      <c r="BE40" s="390" t="str">
        <f t="shared" si="29"/>
        <v/>
      </c>
      <c r="BF40" s="390" t="str">
        <f t="shared" si="37"/>
        <v/>
      </c>
      <c r="BG40" s="392" t="str" cm="1">
        <f t="array" ref="BG40">IF(AS40="","",IF((IFERROR(_xlfn.IFS($BB40="Devis 1",(IFERROR(VALUE(TRIM(SUBSTITUTE(AS40,CHAR(160),""))),0)),$BB40="Devis 2",(IFERROR(VALUE(TRIM(SUBSTITUTE(AV40,CHAR(160),""))),0)),$BB40="Devis 3",(IFERROR(VALUE(TRIM(SUBSTITUTE(AY40,CHAR(160),""))),0))),0))=0,"",(IFERROR(_xlfn.IFS($BB40="Devis 1",(IFERROR(VALUE(TRIM(SUBSTITUTE(AS40,CHAR(160),""))),0)),$BB40="Devis 2",(IFERROR(VALUE(TRIM(SUBSTITUTE(AV40,CHAR(160),""))),0)),$BB40="Devis 3",(IFERROR(VALUE(TRIM(SUBSTITUTE(AY40,CHAR(160),""))),0))),0))))</f>
        <v/>
      </c>
      <c r="BH40" s="392" t="str" cm="1">
        <f t="array" ref="BH40">IF(AT40="","",IF((IFERROR(_xlfn.IFS($BB40="Devis 1",(IFERROR(VALUE(TRIM(SUBSTITUTE(AT40,CHAR(160),""))),0)),$BB40="Devis 2",(IFERROR(VALUE(TRIM(SUBSTITUTE(AW40,CHAR(160),""))),0)),$BB40="Devis 3",(IFERROR(VALUE(TRIM(SUBSTITUTE(AZ40,CHAR(160),""))),0))),0))=0,"",(IFERROR(_xlfn.IFS($BB40="Devis 1",(IFERROR(VALUE(TRIM(SUBSTITUTE(AT40,CHAR(160),""))),0)),$BB40="Devis 2",(IFERROR(VALUE(TRIM(SUBSTITUTE(AW40,CHAR(160),""))),0)),$BB40="Devis 3",(IFERROR(VALUE(TRIM(SUBSTITUTE(AZ40,CHAR(160),""))),0))),0))))</f>
        <v/>
      </c>
      <c r="BI40" s="700" t="str" cm="1">
        <f t="array" ref="BI40">IF(AU40="","",IF(IFERROR(_xlfn.IFS($BB40="Devis 1",IFERROR(VALUE(TRIM(SUBSTITUTE(AU40,CHAR(160),""))),0),$BB40="Devis 2",IFERROR(VALUE(TRIM(SUBSTITUTE(AX40,CHAR(160),""))),0),$BB40="Devis 3",IFERROR(VALUE(TRIM(SUBSTITUTE(BA40,CHAR(160),""))),0)),0)=0,"",IFERROR(_xlfn.IFS($BB40="Devis 1",IFERROR(VALUE(TRIM(SUBSTITUTE(AU40,CHAR(160),""))),0),$BB40="Devis 2",IFERROR(VALUE(TRIM(SUBSTITUTE(AX40,CHAR(160),""))),0),$BB40="Devis 3",IFERROR(VALUE(TRIM(SUBSTITUTE(BA40,CHAR(160),""))),0)),0)))</f>
        <v/>
      </c>
      <c r="BJ40" s="739" t="str">
        <f t="shared" si="18"/>
        <v/>
      </c>
      <c r="BK40" s="740" t="str">
        <f t="shared" si="19"/>
        <v/>
      </c>
      <c r="BL40" s="741" t="str">
        <f t="shared" si="30"/>
        <v/>
      </c>
      <c r="BM40" s="741" t="str">
        <f t="shared" si="31"/>
        <v/>
      </c>
      <c r="BN40" s="741" t="str">
        <f t="shared" si="32"/>
        <v/>
      </c>
      <c r="BO40" s="741" t="str">
        <f t="shared" si="33"/>
        <v/>
      </c>
      <c r="BP40" s="711">
        <f t="shared" si="20"/>
        <v>0</v>
      </c>
      <c r="BQ40" s="372" t="str">
        <f t="shared" si="34"/>
        <v/>
      </c>
      <c r="BR40" s="718"/>
      <c r="BS40" s="393" t="str" cm="1">
        <f t="array" ref="BS40">IF(OR(BI40="",BF40="",BG40="",BD40="",BH40="",BE40=""),"",_xlfn.IFS((IFERROR(VALUE(TRIM(SUBSTITUTE(BI40,CHAR(160),""))),0))&gt;(IFERROR(VALUE(TRIM(SUBSTITUTE(BF40,CHAR(160),""))),0)),"KO : Le montant retenu TTC est supérieur au montant raisonnable TTC. Merci de revoir la ligne de dépense ou plafonner son montant.",(IFERROR(VALUE(TRIM(SUBSTITUTE(BG40,CHAR(160),""))),0))&gt;(IFERROR(VALUE(TRIM(SUBSTITUTE(BD40,CHAR(160),""))),0)),"Attention : Le montant retenu HT est supérieur au montant HT raisonnable. Merci de revoir la ligne de dépense, plafonner son montant, ou justifier la reventillation HT / TVA.",(IFERROR(VALUE(TRIM(SUBSTITUTE(BH40,CHAR(160),""))),0))&gt;(IFERROR(VALUE(TRIM(SUBSTITUTE(BE40,CHAR(160),""))),0)),"Attention : Le montant TVA retenu est supérieur au montant TVA raisonnable. Merci de revoir la ligne de dépense, plafonner son montant, ou justifier la reventillation HT / TVA.",(IFERROR(VALUE(TRIM(SUBSTITUTE(BI40,CHAR(160),""))),0))=0,"",(IFERROR(VALUE(TRIM(SUBSTITUTE(BF40,CHAR(160),""))),0))=(IFERROR(VALUE(TRIM(SUBSTITUTE(BI40,CHAR(160),""))),0)),"OK",(IFERROR(VALUE(TRIM(SUBSTITUTE(BF40,CHAR(160),""))),0))&gt;(IFERROR(VALUE(TRIM(SUBSTITUTE(BI40,CHAR(160),""))),0))," OK : Montant instruit inférieur au montant raisonnable.",TRUE,""))</f>
        <v/>
      </c>
      <c r="BT40" s="394" t="str" cm="1">
        <f t="array" ref="BT40">IF(OR(BI40="",X40="",BG40="",V40="",BH40="",W40=""),"",_xlfn.IFS((IFERROR(VALUE(TRIM(SUBSTITUTE(BI40,CHAR(160),""))),0))=0,"Attention : montant présenté entièrement écarté",(IFERROR(VALUE(TRIM(SUBSTITUTE(BI40,CHAR(160),""))),0))&gt;(IFERROR(VALUE(TRIM(SUBSTITUTE(X40,CHAR(160),""))),0)),"KO : Le montant retenu TTC est supérieur au montant présenté TTC. Merci de revoir la ligne de dépense ou plafonner son montant.",(IFERROR(VALUE(TRIM(SUBSTITUTE(BG40,CHAR(160),""))),0))&gt;(IFERROR(VALUE(TRIM(SUBSTITUTE(V40,CHAR(160),""))),0)),"Attention : Le montant retenu HT est supérieur au montant HT présenté. Merci de revoir la ligne de dépense,plafonner son montant,ou justifier la reventillation HT/TVA.",(IFERROR(VALUE(TRIM(SUBSTITUTE(BH40,CHAR(160),""))),0))&gt;(IFERROR(VALUE(TRIM(SUBSTITUTE(W40,CHAR(160),""))),0)),"Attention : Le montant TVA retenu est supérieur au montant TVA présenté. Merci de revoir la ligne de dépense,plafonner son montant,ou justifier la reventillation HT/TVA.",(IFERROR(VALUE(TRIM(SUBSTITUTE(X40,CHAR(160),""))),0))=0,"Attention : montant présenté entièrement écarté",(IFERROR(VALUE(TRIM(SUBSTITUTE(BI40,CHAR(160),""))),0))=(IFERROR(VALUE(TRIM(SUBSTITUTE(X40,CHAR(160),""))),0)),"OK",
  AND((IFERROR(VALUE(TRIM(SUBSTITUTE(BI40,CHAR(160),""))),0))&lt;(IFERROR(VALUE(TRIM(SUBSTITUTE(X40,CHAR(160),""))),0)),((IFERROR(VALUE(TRIM(SUBSTITUTE(X40,CHAR(160),""))),0))-(IFERROR(VALUE(TRIM(SUBSTITUTE(BI40,CHAR(160),""))),0)))&lt;0.01),"OK",(IFERROR(VALUE(TRIM(SUBSTITUTE(BI40,CHAR(160),""))),0))&lt;(IFERROR(VALUE(TRIM(SUBSTITUTE(X40,CHAR(160),""))),0)),"Attention : Montant présenté partiellement écarté.",
  TRUE,""))</f>
        <v/>
      </c>
      <c r="BU40" s="373" t="str" cm="1">
        <f t="array" ref="BU40">IF(OR(AF40="",BP40=""),"",_xlfn.IFS((IFERROR(VALUE(TRIM(SUBSTITUTE(BP40,CHAR(160),""))),0))&gt;(IFERROR(VALUE(TRIM(SUBSTITUTE(AF40,CHAR(160),""))),0)),"KO : Le montant retenu est supérieur au montant présenté. Merci de revoir la ligne de contribution ou plafonner son montant.",(IFERROR(VALUE(TRIM(SUBSTITUTE(AF40,CHAR(160),""))),0))=0,"Attention : montant présenté entièrement écarté",(IFERROR(VALUE(TRIM(SUBSTITUTE(BP40,CHAR(160),""))),0))=(IFERROR(VALUE(TRIM(SUBSTITUTE(AF40,CHAR(160),""))),0)),"OK",(IFERROR(VALUE(TRIM(SUBSTITUTE(BP40,CHAR(160),""))),0))&lt;(IFERROR(VALUE(TRIM(SUBSTITUTE(AF40,CHAR(160),""))),0)),"Attention : montant présenté partiellement écarté.",TRUE,""))</f>
        <v>Attention : montant présenté entièrement écarté</v>
      </c>
      <c r="BV40" s="395" t="str">
        <f t="shared" si="21"/>
        <v/>
      </c>
      <c r="BW40" s="396" t="str">
        <f t="shared" si="22"/>
        <v/>
      </c>
      <c r="BX40" s="397" t="str">
        <f t="shared" si="23"/>
        <v/>
      </c>
    </row>
    <row r="41" spans="1:76" ht="14.25" customHeight="1">
      <c r="A41" s="375">
        <v>32</v>
      </c>
      <c r="B41" s="333"/>
      <c r="C41" s="333"/>
      <c r="D41" s="333"/>
      <c r="E41" s="377"/>
      <c r="F41" s="376"/>
      <c r="G41" s="376"/>
      <c r="H41" s="400"/>
      <c r="I41" s="400"/>
      <c r="J41" s="400"/>
      <c r="K41" s="612"/>
      <c r="L41" s="613"/>
      <c r="M41" s="613"/>
      <c r="N41" s="395" t="str">
        <f t="shared" si="35"/>
        <v/>
      </c>
      <c r="O41" s="613"/>
      <c r="P41" s="613"/>
      <c r="Q41" s="610" t="str">
        <f t="shared" si="0"/>
        <v/>
      </c>
      <c r="R41" s="613"/>
      <c r="S41" s="613"/>
      <c r="T41" s="610" t="str">
        <f t="shared" si="1"/>
        <v/>
      </c>
      <c r="U41" s="611"/>
      <c r="V41" s="395" t="str" cm="1">
        <f t="array" ref="V41">IF((_xlfn.IFS(TRIM(SUBSTITUTE(U41,CHAR(160),""))="Devis 1",IFERROR(VALUE(TRIM(SUBSTITUTE(L41,CHAR(160),""))),0),TRIM(SUBSTITUTE(U41,CHAR(160),""))="Devis 2",IFERROR(VALUE(TRIM(SUBSTITUTE(O41,CHAR(160),""))),0),TRIM(SUBSTITUTE(U41,CHAR(160),""))="Devis 3",IFERROR(VALUE(TRIM(SUBSTITUTE(R41,CHAR(160),""))),0),TRUE,0))=0,"",_xlfn.IFS(TRIM(SUBSTITUTE(U41,CHAR(160),""))="Devis 1",IFERROR(VALUE(TRIM(SUBSTITUTE(L41,CHAR(160),""))),0),TRIM(SUBSTITUTE(U41,CHAR(160),""))="Devis 2",IFERROR(VALUE(TRIM(SUBSTITUTE(O41,CHAR(160),""))),0),TRIM(SUBSTITUTE(U41,CHAR(160),""))="Devis 3",IFERROR(VALUE(TRIM(SUBSTITUTE(R41,CHAR(160),""))),0),TRUE,0))</f>
        <v/>
      </c>
      <c r="W41" s="396" t="str" cm="1">
        <f t="array" ref="W41">IF((_xlfn.IFS(TRIM(SUBSTITUTE(U41,CHAR(160),""))="Devis 1",IFERROR(VALUE(TRIM(SUBSTITUTE(M41,CHAR(160),""))),0),TRIM(SUBSTITUTE(U41,CHAR(160),""))="Devis 2",IFERROR(VALUE(TRIM(SUBSTITUTE(P41,CHAR(160),""))),0),TRIM(SUBSTITUTE(U41,CHAR(160),""))="Devis 3",IFERROR(VALUE(TRIM(SUBSTITUTE(S41,CHAR(160),""))),0),TRUE,0))=0,"",_xlfn.IFS(TRIM(SUBSTITUTE(U41,CHAR(160),""))="Devis 1",IFERROR(VALUE(TRIM(SUBSTITUTE(M41,CHAR(160),""))),0),TRIM(SUBSTITUTE(U41,CHAR(160),""))="Devis 2",IFERROR(VALUE(TRIM(SUBSTITUTE(P41,CHAR(160),""))),0),TRIM(SUBSTITUTE(U41,CHAR(160),""))="Devis 3",IFERROR(VALUE(TRIM(SUBSTITUTE(S41,CHAR(160),""))),0),TRUE,0))</f>
        <v/>
      </c>
      <c r="X41" s="926" t="str" cm="1">
        <f t="array" ref="X41">IF((_xlfn.IFS(TRIM(SUBSTITUTE(U41,CHAR(160),""))="Devis 1",IFERROR(VALUE(TRIM(SUBSTITUTE(N41,CHAR(160),""))),0),TRIM(SUBSTITUTE(U41,CHAR(160),""))="Devis 2",IFERROR(VALUE(TRIM(SUBSTITUTE(Q41,CHAR(160),""))),0),TRIM(SUBSTITUTE(U41,CHAR(160),""))="Devis 3",IFERROR(VALUE(TRIM(SUBSTITUTE(T41,CHAR(160),""))),0),TRUE,0))=0,"",_xlfn.IFS(TRIM(SUBSTITUTE(U41,CHAR(160),""))="Devis 1",IFERROR(VALUE(TRIM(SUBSTITUTE(N41,CHAR(160),""))),0),TRIM(SUBSTITUTE(U41,CHAR(160),""))="Devis 2",IFERROR(VALUE(TRIM(SUBSTITUTE(Q41,CHAR(160),""))),0),TRIM(SUBSTITUTE(U41,CHAR(160),""))="Devis 3",IFERROR(VALUE(TRIM(SUBSTITUTE(T41,CHAR(160),""))),0),TRUE,0))</f>
        <v/>
      </c>
      <c r="Y41" s="933"/>
      <c r="Z41" s="929"/>
      <c r="AA41" s="935" t="str">
        <f t="shared" si="24"/>
        <v/>
      </c>
      <c r="AB41" s="934" t="str" cm="1">
        <f t="array" ref="AB41">IF(Y41="","",_xlfn.IFS(Y41=$CB$6,70,Y41=$CB$7,90,Y41=$CB$8,70,Y41=$CB$9,90,Y41=$CB$10,110))</f>
        <v/>
      </c>
      <c r="AC41" s="379"/>
      <c r="AD41" s="934" t="str" cm="1">
        <f t="array" ref="AD41">IF(Y41="","",_xlfn.IFS(Y41=$CB$6,15.75,Y41=$CB$7,21,Y41=$CB$8,15.25,Y41=$CB$9,15.25,Y41=$CB$10,15.25))</f>
        <v/>
      </c>
      <c r="AE41" s="380"/>
      <c r="AF41" s="936">
        <f t="shared" si="25"/>
        <v>0</v>
      </c>
      <c r="AG41" s="381" t="str">
        <f t="shared" si="26"/>
        <v/>
      </c>
      <c r="AH41" s="398"/>
      <c r="AI41" s="383" t="str">
        <f t="shared" si="2"/>
        <v/>
      </c>
      <c r="AJ41" s="384" t="str">
        <f t="shared" si="3"/>
        <v/>
      </c>
      <c r="AK41" s="384" t="str">
        <f t="shared" si="4"/>
        <v/>
      </c>
      <c r="AL41" s="377"/>
      <c r="AM41" s="385" t="str">
        <f t="shared" si="5"/>
        <v/>
      </c>
      <c r="AN41" s="384" t="str">
        <f t="shared" si="6"/>
        <v/>
      </c>
      <c r="AO41" s="384" t="str">
        <f t="shared" si="7"/>
        <v/>
      </c>
      <c r="AP41" s="384" t="str">
        <f t="shared" si="8"/>
        <v/>
      </c>
      <c r="AQ41" s="384" t="str">
        <f t="shared" si="9"/>
        <v/>
      </c>
      <c r="AR41" s="384" t="str">
        <f t="shared" si="10"/>
        <v/>
      </c>
      <c r="AS41" s="386" t="str">
        <f t="shared" si="11"/>
        <v/>
      </c>
      <c r="AT41" s="387" t="str">
        <f t="shared" si="12"/>
        <v/>
      </c>
      <c r="AU41" s="388" t="str">
        <f t="shared" si="36"/>
        <v/>
      </c>
      <c r="AV41" s="387" t="str">
        <f t="shared" si="13"/>
        <v/>
      </c>
      <c r="AW41" s="387" t="str">
        <f t="shared" si="14"/>
        <v/>
      </c>
      <c r="AX41" s="389" t="str">
        <f t="shared" si="27"/>
        <v/>
      </c>
      <c r="AY41" s="387" t="str">
        <f t="shared" si="15"/>
        <v/>
      </c>
      <c r="AZ41" s="387" t="str">
        <f t="shared" si="16"/>
        <v/>
      </c>
      <c r="BA41" s="389" t="str">
        <f t="shared" si="28"/>
        <v/>
      </c>
      <c r="BB41" s="390" t="str">
        <f t="shared" si="17"/>
        <v/>
      </c>
      <c r="BC41" s="391"/>
      <c r="BD41" s="390" t="str">
        <f t="shared" si="29"/>
        <v/>
      </c>
      <c r="BE41" s="390" t="str">
        <f t="shared" si="29"/>
        <v/>
      </c>
      <c r="BF41" s="390" t="str">
        <f t="shared" si="37"/>
        <v/>
      </c>
      <c r="BG41" s="392" t="str" cm="1">
        <f t="array" ref="BG41">IF(AS41="","",IF((IFERROR(_xlfn.IFS($BB41="Devis 1",(IFERROR(VALUE(TRIM(SUBSTITUTE(AS41,CHAR(160),""))),0)),$BB41="Devis 2",(IFERROR(VALUE(TRIM(SUBSTITUTE(AV41,CHAR(160),""))),0)),$BB41="Devis 3",(IFERROR(VALUE(TRIM(SUBSTITUTE(AY41,CHAR(160),""))),0))),0))=0,"",(IFERROR(_xlfn.IFS($BB41="Devis 1",(IFERROR(VALUE(TRIM(SUBSTITUTE(AS41,CHAR(160),""))),0)),$BB41="Devis 2",(IFERROR(VALUE(TRIM(SUBSTITUTE(AV41,CHAR(160),""))),0)),$BB41="Devis 3",(IFERROR(VALUE(TRIM(SUBSTITUTE(AY41,CHAR(160),""))),0))),0))))</f>
        <v/>
      </c>
      <c r="BH41" s="392" t="str" cm="1">
        <f t="array" ref="BH41">IF(AT41="","",IF((IFERROR(_xlfn.IFS($BB41="Devis 1",(IFERROR(VALUE(TRIM(SUBSTITUTE(AT41,CHAR(160),""))),0)),$BB41="Devis 2",(IFERROR(VALUE(TRIM(SUBSTITUTE(AW41,CHAR(160),""))),0)),$BB41="Devis 3",(IFERROR(VALUE(TRIM(SUBSTITUTE(AZ41,CHAR(160),""))),0))),0))=0,"",(IFERROR(_xlfn.IFS($BB41="Devis 1",(IFERROR(VALUE(TRIM(SUBSTITUTE(AT41,CHAR(160),""))),0)),$BB41="Devis 2",(IFERROR(VALUE(TRIM(SUBSTITUTE(AW41,CHAR(160),""))),0)),$BB41="Devis 3",(IFERROR(VALUE(TRIM(SUBSTITUTE(AZ41,CHAR(160),""))),0))),0))))</f>
        <v/>
      </c>
      <c r="BI41" s="700" t="str" cm="1">
        <f t="array" ref="BI41">IF(AU41="","",IF(IFERROR(_xlfn.IFS($BB41="Devis 1",IFERROR(VALUE(TRIM(SUBSTITUTE(AU41,CHAR(160),""))),0),$BB41="Devis 2",IFERROR(VALUE(TRIM(SUBSTITUTE(AX41,CHAR(160),""))),0),$BB41="Devis 3",IFERROR(VALUE(TRIM(SUBSTITUTE(BA41,CHAR(160),""))),0)),0)=0,"",IFERROR(_xlfn.IFS($BB41="Devis 1",IFERROR(VALUE(TRIM(SUBSTITUTE(AU41,CHAR(160),""))),0),$BB41="Devis 2",IFERROR(VALUE(TRIM(SUBSTITUTE(AX41,CHAR(160),""))),0),$BB41="Devis 3",IFERROR(VALUE(TRIM(SUBSTITUTE(BA41,CHAR(160),""))),0)),0)))</f>
        <v/>
      </c>
      <c r="BJ41" s="739" t="str">
        <f t="shared" si="18"/>
        <v/>
      </c>
      <c r="BK41" s="740" t="str">
        <f t="shared" si="19"/>
        <v/>
      </c>
      <c r="BL41" s="741" t="str">
        <f t="shared" si="30"/>
        <v/>
      </c>
      <c r="BM41" s="741" t="str">
        <f t="shared" si="31"/>
        <v/>
      </c>
      <c r="BN41" s="741" t="str">
        <f t="shared" si="32"/>
        <v/>
      </c>
      <c r="BO41" s="741" t="str">
        <f t="shared" si="33"/>
        <v/>
      </c>
      <c r="BP41" s="711">
        <f t="shared" si="20"/>
        <v>0</v>
      </c>
      <c r="BQ41" s="372" t="str">
        <f t="shared" si="34"/>
        <v/>
      </c>
      <c r="BR41" s="718"/>
      <c r="BS41" s="393" t="str" cm="1">
        <f t="array" ref="BS41">IF(OR(BI41="",BF41="",BG41="",BD41="",BH41="",BE41=""),"",_xlfn.IFS((IFERROR(VALUE(TRIM(SUBSTITUTE(BI41,CHAR(160),""))),0))&gt;(IFERROR(VALUE(TRIM(SUBSTITUTE(BF41,CHAR(160),""))),0)),"KO : Le montant retenu TTC est supérieur au montant raisonnable TTC. Merci de revoir la ligne de dépense ou plafonner son montant.",(IFERROR(VALUE(TRIM(SUBSTITUTE(BG41,CHAR(160),""))),0))&gt;(IFERROR(VALUE(TRIM(SUBSTITUTE(BD41,CHAR(160),""))),0)),"Attention : Le montant retenu HT est supérieur au montant HT raisonnable. Merci de revoir la ligne de dépense, plafonner son montant, ou justifier la reventillation HT / TVA.",(IFERROR(VALUE(TRIM(SUBSTITUTE(BH41,CHAR(160),""))),0))&gt;(IFERROR(VALUE(TRIM(SUBSTITUTE(BE41,CHAR(160),""))),0)),"Attention : Le montant TVA retenu est supérieur au montant TVA raisonnable. Merci de revoir la ligne de dépense, plafonner son montant, ou justifier la reventillation HT / TVA.",(IFERROR(VALUE(TRIM(SUBSTITUTE(BI41,CHAR(160),""))),0))=0,"",(IFERROR(VALUE(TRIM(SUBSTITUTE(BF41,CHAR(160),""))),0))=(IFERROR(VALUE(TRIM(SUBSTITUTE(BI41,CHAR(160),""))),0)),"OK",(IFERROR(VALUE(TRIM(SUBSTITUTE(BF41,CHAR(160),""))),0))&gt;(IFERROR(VALUE(TRIM(SUBSTITUTE(BI41,CHAR(160),""))),0))," OK : Montant instruit inférieur au montant raisonnable.",TRUE,""))</f>
        <v/>
      </c>
      <c r="BT41" s="394" t="str" cm="1">
        <f t="array" ref="BT41">IF(OR(BI41="",X41="",BG41="",V41="",BH41="",W41=""),"",_xlfn.IFS((IFERROR(VALUE(TRIM(SUBSTITUTE(BI41,CHAR(160),""))),0))=0,"Attention : montant présenté entièrement écarté",(IFERROR(VALUE(TRIM(SUBSTITUTE(BI41,CHAR(160),""))),0))&gt;(IFERROR(VALUE(TRIM(SUBSTITUTE(X41,CHAR(160),""))),0)),"KO : Le montant retenu TTC est supérieur au montant présenté TTC. Merci de revoir la ligne de dépense ou plafonner son montant.",(IFERROR(VALUE(TRIM(SUBSTITUTE(BG41,CHAR(160),""))),0))&gt;(IFERROR(VALUE(TRIM(SUBSTITUTE(V41,CHAR(160),""))),0)),"Attention : Le montant retenu HT est supérieur au montant HT présenté. Merci de revoir la ligne de dépense,plafonner son montant,ou justifier la reventillation HT/TVA.",(IFERROR(VALUE(TRIM(SUBSTITUTE(BH41,CHAR(160),""))),0))&gt;(IFERROR(VALUE(TRIM(SUBSTITUTE(W41,CHAR(160),""))),0)),"Attention : Le montant TVA retenu est supérieur au montant TVA présenté. Merci de revoir la ligne de dépense,plafonner son montant,ou justifier la reventillation HT/TVA.",(IFERROR(VALUE(TRIM(SUBSTITUTE(X41,CHAR(160),""))),0))=0,"Attention : montant présenté entièrement écarté",(IFERROR(VALUE(TRIM(SUBSTITUTE(BI41,CHAR(160),""))),0))=(IFERROR(VALUE(TRIM(SUBSTITUTE(X41,CHAR(160),""))),0)),"OK",
  AND((IFERROR(VALUE(TRIM(SUBSTITUTE(BI41,CHAR(160),""))),0))&lt;(IFERROR(VALUE(TRIM(SUBSTITUTE(X41,CHAR(160),""))),0)),((IFERROR(VALUE(TRIM(SUBSTITUTE(X41,CHAR(160),""))),0))-(IFERROR(VALUE(TRIM(SUBSTITUTE(BI41,CHAR(160),""))),0)))&lt;0.01),"OK",(IFERROR(VALUE(TRIM(SUBSTITUTE(BI41,CHAR(160),""))),0))&lt;(IFERROR(VALUE(TRIM(SUBSTITUTE(X41,CHAR(160),""))),0)),"Attention : Montant présenté partiellement écarté.",
  TRUE,""))</f>
        <v/>
      </c>
      <c r="BU41" s="373" t="str" cm="1">
        <f t="array" ref="BU41">IF(OR(AF41="",BP41=""),"",_xlfn.IFS((IFERROR(VALUE(TRIM(SUBSTITUTE(BP41,CHAR(160),""))),0))&gt;(IFERROR(VALUE(TRIM(SUBSTITUTE(AF41,CHAR(160),""))),0)),"KO : Le montant retenu est supérieur au montant présenté. Merci de revoir la ligne de contribution ou plafonner son montant.",(IFERROR(VALUE(TRIM(SUBSTITUTE(AF41,CHAR(160),""))),0))=0,"Attention : montant présenté entièrement écarté",(IFERROR(VALUE(TRIM(SUBSTITUTE(BP41,CHAR(160),""))),0))=(IFERROR(VALUE(TRIM(SUBSTITUTE(AF41,CHAR(160),""))),0)),"OK",(IFERROR(VALUE(TRIM(SUBSTITUTE(BP41,CHAR(160),""))),0))&lt;(IFERROR(VALUE(TRIM(SUBSTITUTE(AF41,CHAR(160),""))),0)),"Attention : montant présenté partiellement écarté.",TRUE,""))</f>
        <v>Attention : montant présenté entièrement écarté</v>
      </c>
      <c r="BV41" s="395" t="str">
        <f t="shared" si="21"/>
        <v/>
      </c>
      <c r="BW41" s="396" t="str">
        <f t="shared" si="22"/>
        <v/>
      </c>
      <c r="BX41" s="397" t="str">
        <f t="shared" si="23"/>
        <v/>
      </c>
    </row>
    <row r="42" spans="1:76" ht="14.25" customHeight="1">
      <c r="A42" s="375">
        <v>33</v>
      </c>
      <c r="B42" s="333"/>
      <c r="C42" s="333"/>
      <c r="D42" s="333"/>
      <c r="E42" s="377"/>
      <c r="F42" s="376"/>
      <c r="G42" s="376"/>
      <c r="H42" s="400"/>
      <c r="I42" s="400"/>
      <c r="J42" s="400"/>
      <c r="K42" s="612"/>
      <c r="L42" s="613"/>
      <c r="M42" s="613"/>
      <c r="N42" s="395" t="str">
        <f t="shared" si="35"/>
        <v/>
      </c>
      <c r="O42" s="613"/>
      <c r="P42" s="613"/>
      <c r="Q42" s="610" t="str">
        <f t="shared" si="0"/>
        <v/>
      </c>
      <c r="R42" s="613"/>
      <c r="S42" s="613"/>
      <c r="T42" s="610" t="str">
        <f t="shared" si="1"/>
        <v/>
      </c>
      <c r="U42" s="611"/>
      <c r="V42" s="395" t="str" cm="1">
        <f t="array" ref="V42">IF((_xlfn.IFS(TRIM(SUBSTITUTE(U42,CHAR(160),""))="Devis 1",IFERROR(VALUE(TRIM(SUBSTITUTE(L42,CHAR(160),""))),0),TRIM(SUBSTITUTE(U42,CHAR(160),""))="Devis 2",IFERROR(VALUE(TRIM(SUBSTITUTE(O42,CHAR(160),""))),0),TRIM(SUBSTITUTE(U42,CHAR(160),""))="Devis 3",IFERROR(VALUE(TRIM(SUBSTITUTE(R42,CHAR(160),""))),0),TRUE,0))=0,"",_xlfn.IFS(TRIM(SUBSTITUTE(U42,CHAR(160),""))="Devis 1",IFERROR(VALUE(TRIM(SUBSTITUTE(L42,CHAR(160),""))),0),TRIM(SUBSTITUTE(U42,CHAR(160),""))="Devis 2",IFERROR(VALUE(TRIM(SUBSTITUTE(O42,CHAR(160),""))),0),TRIM(SUBSTITUTE(U42,CHAR(160),""))="Devis 3",IFERROR(VALUE(TRIM(SUBSTITUTE(R42,CHAR(160),""))),0),TRUE,0))</f>
        <v/>
      </c>
      <c r="W42" s="396" t="str" cm="1">
        <f t="array" ref="W42">IF((_xlfn.IFS(TRIM(SUBSTITUTE(U42,CHAR(160),""))="Devis 1",IFERROR(VALUE(TRIM(SUBSTITUTE(M42,CHAR(160),""))),0),TRIM(SUBSTITUTE(U42,CHAR(160),""))="Devis 2",IFERROR(VALUE(TRIM(SUBSTITUTE(P42,CHAR(160),""))),0),TRIM(SUBSTITUTE(U42,CHAR(160),""))="Devis 3",IFERROR(VALUE(TRIM(SUBSTITUTE(S42,CHAR(160),""))),0),TRUE,0))=0,"",_xlfn.IFS(TRIM(SUBSTITUTE(U42,CHAR(160),""))="Devis 1",IFERROR(VALUE(TRIM(SUBSTITUTE(M42,CHAR(160),""))),0),TRIM(SUBSTITUTE(U42,CHAR(160),""))="Devis 2",IFERROR(VALUE(TRIM(SUBSTITUTE(P42,CHAR(160),""))),0),TRIM(SUBSTITUTE(U42,CHAR(160),""))="Devis 3",IFERROR(VALUE(TRIM(SUBSTITUTE(S42,CHAR(160),""))),0),TRUE,0))</f>
        <v/>
      </c>
      <c r="X42" s="926" t="str" cm="1">
        <f t="array" ref="X42">IF((_xlfn.IFS(TRIM(SUBSTITUTE(U42,CHAR(160),""))="Devis 1",IFERROR(VALUE(TRIM(SUBSTITUTE(N42,CHAR(160),""))),0),TRIM(SUBSTITUTE(U42,CHAR(160),""))="Devis 2",IFERROR(VALUE(TRIM(SUBSTITUTE(Q42,CHAR(160),""))),0),TRIM(SUBSTITUTE(U42,CHAR(160),""))="Devis 3",IFERROR(VALUE(TRIM(SUBSTITUTE(T42,CHAR(160),""))),0),TRUE,0))=0,"",_xlfn.IFS(TRIM(SUBSTITUTE(U42,CHAR(160),""))="Devis 1",IFERROR(VALUE(TRIM(SUBSTITUTE(N42,CHAR(160),""))),0),TRIM(SUBSTITUTE(U42,CHAR(160),""))="Devis 2",IFERROR(VALUE(TRIM(SUBSTITUTE(Q42,CHAR(160),""))),0),TRIM(SUBSTITUTE(U42,CHAR(160),""))="Devis 3",IFERROR(VALUE(TRIM(SUBSTITUTE(T42,CHAR(160),""))),0),TRUE,0))</f>
        <v/>
      </c>
      <c r="Y42" s="933"/>
      <c r="Z42" s="929"/>
      <c r="AA42" s="935" t="str">
        <f t="shared" si="24"/>
        <v/>
      </c>
      <c r="AB42" s="934" t="str" cm="1">
        <f t="array" ref="AB42">IF(Y42="","",_xlfn.IFS(Y42=$CB$6,70,Y42=$CB$7,90,Y42=$CB$8,70,Y42=$CB$9,90,Y42=$CB$10,110))</f>
        <v/>
      </c>
      <c r="AC42" s="379"/>
      <c r="AD42" s="934" t="str" cm="1">
        <f t="array" ref="AD42">IF(Y42="","",_xlfn.IFS(Y42=$CB$6,15.75,Y42=$CB$7,21,Y42=$CB$8,15.25,Y42=$CB$9,15.25,Y42=$CB$10,15.25))</f>
        <v/>
      </c>
      <c r="AE42" s="380"/>
      <c r="AF42" s="936">
        <f t="shared" si="25"/>
        <v>0</v>
      </c>
      <c r="AG42" s="381" t="str">
        <f t="shared" si="26"/>
        <v/>
      </c>
      <c r="AH42" s="398"/>
      <c r="AI42" s="383" t="str">
        <f t="shared" si="2"/>
        <v/>
      </c>
      <c r="AJ42" s="384" t="str">
        <f t="shared" si="3"/>
        <v/>
      </c>
      <c r="AK42" s="384" t="str">
        <f t="shared" si="4"/>
        <v/>
      </c>
      <c r="AL42" s="377"/>
      <c r="AM42" s="385" t="str">
        <f t="shared" si="5"/>
        <v/>
      </c>
      <c r="AN42" s="384" t="str">
        <f t="shared" si="6"/>
        <v/>
      </c>
      <c r="AO42" s="384" t="str">
        <f t="shared" si="7"/>
        <v/>
      </c>
      <c r="AP42" s="384" t="str">
        <f t="shared" si="8"/>
        <v/>
      </c>
      <c r="AQ42" s="384" t="str">
        <f t="shared" si="9"/>
        <v/>
      </c>
      <c r="AR42" s="384" t="str">
        <f t="shared" si="10"/>
        <v/>
      </c>
      <c r="AS42" s="386" t="str">
        <f t="shared" si="11"/>
        <v/>
      </c>
      <c r="AT42" s="387" t="str">
        <f t="shared" si="12"/>
        <v/>
      </c>
      <c r="AU42" s="388" t="str">
        <f t="shared" si="36"/>
        <v/>
      </c>
      <c r="AV42" s="387" t="str">
        <f t="shared" si="13"/>
        <v/>
      </c>
      <c r="AW42" s="387" t="str">
        <f t="shared" si="14"/>
        <v/>
      </c>
      <c r="AX42" s="389" t="str">
        <f t="shared" si="27"/>
        <v/>
      </c>
      <c r="AY42" s="387" t="str">
        <f t="shared" si="15"/>
        <v/>
      </c>
      <c r="AZ42" s="387" t="str">
        <f t="shared" si="16"/>
        <v/>
      </c>
      <c r="BA42" s="389" t="str">
        <f t="shared" si="28"/>
        <v/>
      </c>
      <c r="BB42" s="390" t="str">
        <f t="shared" si="17"/>
        <v/>
      </c>
      <c r="BC42" s="391"/>
      <c r="BD42" s="390" t="str">
        <f t="shared" si="29"/>
        <v/>
      </c>
      <c r="BE42" s="390" t="str">
        <f t="shared" si="29"/>
        <v/>
      </c>
      <c r="BF42" s="390" t="str">
        <f t="shared" si="37"/>
        <v/>
      </c>
      <c r="BG42" s="392" t="str" cm="1">
        <f t="array" ref="BG42">IF(AS42="","",IF((IFERROR(_xlfn.IFS($BB42="Devis 1",(IFERROR(VALUE(TRIM(SUBSTITUTE(AS42,CHAR(160),""))),0)),$BB42="Devis 2",(IFERROR(VALUE(TRIM(SUBSTITUTE(AV42,CHAR(160),""))),0)),$BB42="Devis 3",(IFERROR(VALUE(TRIM(SUBSTITUTE(AY42,CHAR(160),""))),0))),0))=0,"",(IFERROR(_xlfn.IFS($BB42="Devis 1",(IFERROR(VALUE(TRIM(SUBSTITUTE(AS42,CHAR(160),""))),0)),$BB42="Devis 2",(IFERROR(VALUE(TRIM(SUBSTITUTE(AV42,CHAR(160),""))),0)),$BB42="Devis 3",(IFERROR(VALUE(TRIM(SUBSTITUTE(AY42,CHAR(160),""))),0))),0))))</f>
        <v/>
      </c>
      <c r="BH42" s="392" t="str" cm="1">
        <f t="array" ref="BH42">IF(AT42="","",IF((IFERROR(_xlfn.IFS($BB42="Devis 1",(IFERROR(VALUE(TRIM(SUBSTITUTE(AT42,CHAR(160),""))),0)),$BB42="Devis 2",(IFERROR(VALUE(TRIM(SUBSTITUTE(AW42,CHAR(160),""))),0)),$BB42="Devis 3",(IFERROR(VALUE(TRIM(SUBSTITUTE(AZ42,CHAR(160),""))),0))),0))=0,"",(IFERROR(_xlfn.IFS($BB42="Devis 1",(IFERROR(VALUE(TRIM(SUBSTITUTE(AT42,CHAR(160),""))),0)),$BB42="Devis 2",(IFERROR(VALUE(TRIM(SUBSTITUTE(AW42,CHAR(160),""))),0)),$BB42="Devis 3",(IFERROR(VALUE(TRIM(SUBSTITUTE(AZ42,CHAR(160),""))),0))),0))))</f>
        <v/>
      </c>
      <c r="BI42" s="700" t="str" cm="1">
        <f t="array" ref="BI42">IF(AU42="","",IF(IFERROR(_xlfn.IFS($BB42="Devis 1",IFERROR(VALUE(TRIM(SUBSTITUTE(AU42,CHAR(160),""))),0),$BB42="Devis 2",IFERROR(VALUE(TRIM(SUBSTITUTE(AX42,CHAR(160),""))),0),$BB42="Devis 3",IFERROR(VALUE(TRIM(SUBSTITUTE(BA42,CHAR(160),""))),0)),0)=0,"",IFERROR(_xlfn.IFS($BB42="Devis 1",IFERROR(VALUE(TRIM(SUBSTITUTE(AU42,CHAR(160),""))),0),$BB42="Devis 2",IFERROR(VALUE(TRIM(SUBSTITUTE(AX42,CHAR(160),""))),0),$BB42="Devis 3",IFERROR(VALUE(TRIM(SUBSTITUTE(BA42,CHAR(160),""))),0)),0)))</f>
        <v/>
      </c>
      <c r="BJ42" s="739" t="str">
        <f t="shared" si="18"/>
        <v/>
      </c>
      <c r="BK42" s="740" t="str">
        <f t="shared" si="19"/>
        <v/>
      </c>
      <c r="BL42" s="741" t="str">
        <f t="shared" si="30"/>
        <v/>
      </c>
      <c r="BM42" s="741" t="str">
        <f t="shared" si="31"/>
        <v/>
      </c>
      <c r="BN42" s="741" t="str">
        <f t="shared" si="32"/>
        <v/>
      </c>
      <c r="BO42" s="741" t="str">
        <f t="shared" si="33"/>
        <v/>
      </c>
      <c r="BP42" s="711">
        <f t="shared" si="20"/>
        <v>0</v>
      </c>
      <c r="BQ42" s="372" t="str">
        <f t="shared" si="34"/>
        <v/>
      </c>
      <c r="BR42" s="718"/>
      <c r="BS42" s="393" t="str" cm="1">
        <f t="array" ref="BS42">IF(OR(BI42="",BF42="",BG42="",BD42="",BH42="",BE42=""),"",_xlfn.IFS((IFERROR(VALUE(TRIM(SUBSTITUTE(BI42,CHAR(160),""))),0))&gt;(IFERROR(VALUE(TRIM(SUBSTITUTE(BF42,CHAR(160),""))),0)),"KO : Le montant retenu TTC est supérieur au montant raisonnable TTC. Merci de revoir la ligne de dépense ou plafonner son montant.",(IFERROR(VALUE(TRIM(SUBSTITUTE(BG42,CHAR(160),""))),0))&gt;(IFERROR(VALUE(TRIM(SUBSTITUTE(BD42,CHAR(160),""))),0)),"Attention : Le montant retenu HT est supérieur au montant HT raisonnable. Merci de revoir la ligne de dépense, plafonner son montant, ou justifier la reventillation HT / TVA.",(IFERROR(VALUE(TRIM(SUBSTITUTE(BH42,CHAR(160),""))),0))&gt;(IFERROR(VALUE(TRIM(SUBSTITUTE(BE42,CHAR(160),""))),0)),"Attention : Le montant TVA retenu est supérieur au montant TVA raisonnable. Merci de revoir la ligne de dépense, plafonner son montant, ou justifier la reventillation HT / TVA.",(IFERROR(VALUE(TRIM(SUBSTITUTE(BI42,CHAR(160),""))),0))=0,"",(IFERROR(VALUE(TRIM(SUBSTITUTE(BF42,CHAR(160),""))),0))=(IFERROR(VALUE(TRIM(SUBSTITUTE(BI42,CHAR(160),""))),0)),"OK",(IFERROR(VALUE(TRIM(SUBSTITUTE(BF42,CHAR(160),""))),0))&gt;(IFERROR(VALUE(TRIM(SUBSTITUTE(BI42,CHAR(160),""))),0))," OK : Montant instruit inférieur au montant raisonnable.",TRUE,""))</f>
        <v/>
      </c>
      <c r="BT42" s="394" t="str" cm="1">
        <f t="array" ref="BT42">IF(OR(BI42="",X42="",BG42="",V42="",BH42="",W42=""),"",_xlfn.IFS((IFERROR(VALUE(TRIM(SUBSTITUTE(BI42,CHAR(160),""))),0))=0,"Attention : montant présenté entièrement écarté",(IFERROR(VALUE(TRIM(SUBSTITUTE(BI42,CHAR(160),""))),0))&gt;(IFERROR(VALUE(TRIM(SUBSTITUTE(X42,CHAR(160),""))),0)),"KO : Le montant retenu TTC est supérieur au montant présenté TTC. Merci de revoir la ligne de dépense ou plafonner son montant.",(IFERROR(VALUE(TRIM(SUBSTITUTE(BG42,CHAR(160),""))),0))&gt;(IFERROR(VALUE(TRIM(SUBSTITUTE(V42,CHAR(160),""))),0)),"Attention : Le montant retenu HT est supérieur au montant HT présenté. Merci de revoir la ligne de dépense,plafonner son montant,ou justifier la reventillation HT/TVA.",(IFERROR(VALUE(TRIM(SUBSTITUTE(BH42,CHAR(160),""))),0))&gt;(IFERROR(VALUE(TRIM(SUBSTITUTE(W42,CHAR(160),""))),0)),"Attention : Le montant TVA retenu est supérieur au montant TVA présenté. Merci de revoir la ligne de dépense,plafonner son montant,ou justifier la reventillation HT/TVA.",(IFERROR(VALUE(TRIM(SUBSTITUTE(X42,CHAR(160),""))),0))=0,"Attention : montant présenté entièrement écarté",(IFERROR(VALUE(TRIM(SUBSTITUTE(BI42,CHAR(160),""))),0))=(IFERROR(VALUE(TRIM(SUBSTITUTE(X42,CHAR(160),""))),0)),"OK",
  AND((IFERROR(VALUE(TRIM(SUBSTITUTE(BI42,CHAR(160),""))),0))&lt;(IFERROR(VALUE(TRIM(SUBSTITUTE(X42,CHAR(160),""))),0)),((IFERROR(VALUE(TRIM(SUBSTITUTE(X42,CHAR(160),""))),0))-(IFERROR(VALUE(TRIM(SUBSTITUTE(BI42,CHAR(160),""))),0)))&lt;0.01),"OK",(IFERROR(VALUE(TRIM(SUBSTITUTE(BI42,CHAR(160),""))),0))&lt;(IFERROR(VALUE(TRIM(SUBSTITUTE(X42,CHAR(160),""))),0)),"Attention : Montant présenté partiellement écarté.",
  TRUE,""))</f>
        <v/>
      </c>
      <c r="BU42" s="373" t="str" cm="1">
        <f t="array" ref="BU42">IF(OR(AF42="",BP42=""),"",_xlfn.IFS((IFERROR(VALUE(TRIM(SUBSTITUTE(BP42,CHAR(160),""))),0))&gt;(IFERROR(VALUE(TRIM(SUBSTITUTE(AF42,CHAR(160),""))),0)),"KO : Le montant retenu est supérieur au montant présenté. Merci de revoir la ligne de contribution ou plafonner son montant.",(IFERROR(VALUE(TRIM(SUBSTITUTE(AF42,CHAR(160),""))),0))=0,"Attention : montant présenté entièrement écarté",(IFERROR(VALUE(TRIM(SUBSTITUTE(BP42,CHAR(160),""))),0))=(IFERROR(VALUE(TRIM(SUBSTITUTE(AF42,CHAR(160),""))),0)),"OK",(IFERROR(VALUE(TRIM(SUBSTITUTE(BP42,CHAR(160),""))),0))&lt;(IFERROR(VALUE(TRIM(SUBSTITUTE(AF42,CHAR(160),""))),0)),"Attention : montant présenté partiellement écarté.",TRUE,""))</f>
        <v>Attention : montant présenté entièrement écarté</v>
      </c>
      <c r="BV42" s="395" t="str">
        <f t="shared" si="21"/>
        <v/>
      </c>
      <c r="BW42" s="396" t="str">
        <f t="shared" si="22"/>
        <v/>
      </c>
      <c r="BX42" s="397" t="str">
        <f t="shared" si="23"/>
        <v/>
      </c>
    </row>
    <row r="43" spans="1:76" ht="14.25" customHeight="1">
      <c r="A43" s="375">
        <v>34</v>
      </c>
      <c r="B43" s="333"/>
      <c r="C43" s="333"/>
      <c r="D43" s="333"/>
      <c r="E43" s="377"/>
      <c r="F43" s="376"/>
      <c r="G43" s="376"/>
      <c r="H43" s="400"/>
      <c r="I43" s="400"/>
      <c r="J43" s="400"/>
      <c r="K43" s="612"/>
      <c r="L43" s="613"/>
      <c r="M43" s="613"/>
      <c r="N43" s="395" t="str">
        <f t="shared" si="35"/>
        <v/>
      </c>
      <c r="O43" s="613"/>
      <c r="P43" s="613"/>
      <c r="Q43" s="610" t="str">
        <f t="shared" si="0"/>
        <v/>
      </c>
      <c r="R43" s="613"/>
      <c r="S43" s="613"/>
      <c r="T43" s="610" t="str">
        <f t="shared" si="1"/>
        <v/>
      </c>
      <c r="U43" s="611"/>
      <c r="V43" s="395" t="str" cm="1">
        <f t="array" ref="V43">IF((_xlfn.IFS(TRIM(SUBSTITUTE(U43,CHAR(160),""))="Devis 1",IFERROR(VALUE(TRIM(SUBSTITUTE(L43,CHAR(160),""))),0),TRIM(SUBSTITUTE(U43,CHAR(160),""))="Devis 2",IFERROR(VALUE(TRIM(SUBSTITUTE(O43,CHAR(160),""))),0),TRIM(SUBSTITUTE(U43,CHAR(160),""))="Devis 3",IFERROR(VALUE(TRIM(SUBSTITUTE(R43,CHAR(160),""))),0),TRUE,0))=0,"",_xlfn.IFS(TRIM(SUBSTITUTE(U43,CHAR(160),""))="Devis 1",IFERROR(VALUE(TRIM(SUBSTITUTE(L43,CHAR(160),""))),0),TRIM(SUBSTITUTE(U43,CHAR(160),""))="Devis 2",IFERROR(VALUE(TRIM(SUBSTITUTE(O43,CHAR(160),""))),0),TRIM(SUBSTITUTE(U43,CHAR(160),""))="Devis 3",IFERROR(VALUE(TRIM(SUBSTITUTE(R43,CHAR(160),""))),0),TRUE,0))</f>
        <v/>
      </c>
      <c r="W43" s="396" t="str" cm="1">
        <f t="array" ref="W43">IF((_xlfn.IFS(TRIM(SUBSTITUTE(U43,CHAR(160),""))="Devis 1",IFERROR(VALUE(TRIM(SUBSTITUTE(M43,CHAR(160),""))),0),TRIM(SUBSTITUTE(U43,CHAR(160),""))="Devis 2",IFERROR(VALUE(TRIM(SUBSTITUTE(P43,CHAR(160),""))),0),TRIM(SUBSTITUTE(U43,CHAR(160),""))="Devis 3",IFERROR(VALUE(TRIM(SUBSTITUTE(S43,CHAR(160),""))),0),TRUE,0))=0,"",_xlfn.IFS(TRIM(SUBSTITUTE(U43,CHAR(160),""))="Devis 1",IFERROR(VALUE(TRIM(SUBSTITUTE(M43,CHAR(160),""))),0),TRIM(SUBSTITUTE(U43,CHAR(160),""))="Devis 2",IFERROR(VALUE(TRIM(SUBSTITUTE(P43,CHAR(160),""))),0),TRIM(SUBSTITUTE(U43,CHAR(160),""))="Devis 3",IFERROR(VALUE(TRIM(SUBSTITUTE(S43,CHAR(160),""))),0),TRUE,0))</f>
        <v/>
      </c>
      <c r="X43" s="926" t="str" cm="1">
        <f t="array" ref="X43">IF((_xlfn.IFS(TRIM(SUBSTITUTE(U43,CHAR(160),""))="Devis 1",IFERROR(VALUE(TRIM(SUBSTITUTE(N43,CHAR(160),""))),0),TRIM(SUBSTITUTE(U43,CHAR(160),""))="Devis 2",IFERROR(VALUE(TRIM(SUBSTITUTE(Q43,CHAR(160),""))),0),TRIM(SUBSTITUTE(U43,CHAR(160),""))="Devis 3",IFERROR(VALUE(TRIM(SUBSTITUTE(T43,CHAR(160),""))),0),TRUE,0))=0,"",_xlfn.IFS(TRIM(SUBSTITUTE(U43,CHAR(160),""))="Devis 1",IFERROR(VALUE(TRIM(SUBSTITUTE(N43,CHAR(160),""))),0),TRIM(SUBSTITUTE(U43,CHAR(160),""))="Devis 2",IFERROR(VALUE(TRIM(SUBSTITUTE(Q43,CHAR(160),""))),0),TRIM(SUBSTITUTE(U43,CHAR(160),""))="Devis 3",IFERROR(VALUE(TRIM(SUBSTITUTE(T43,CHAR(160),""))),0),TRUE,0))</f>
        <v/>
      </c>
      <c r="Y43" s="933"/>
      <c r="Z43" s="929"/>
      <c r="AA43" s="935" t="str">
        <f t="shared" si="24"/>
        <v/>
      </c>
      <c r="AB43" s="934" t="str" cm="1">
        <f t="array" ref="AB43">IF(Y43="","",_xlfn.IFS(Y43=$CB$6,70,Y43=$CB$7,90,Y43=$CB$8,70,Y43=$CB$9,90,Y43=$CB$10,110))</f>
        <v/>
      </c>
      <c r="AC43" s="379"/>
      <c r="AD43" s="934" t="str" cm="1">
        <f t="array" ref="AD43">IF(Y43="","",_xlfn.IFS(Y43=$CB$6,15.75,Y43=$CB$7,21,Y43=$CB$8,15.25,Y43=$CB$9,15.25,Y43=$CB$10,15.25))</f>
        <v/>
      </c>
      <c r="AE43" s="380"/>
      <c r="AF43" s="936">
        <f t="shared" si="25"/>
        <v>0</v>
      </c>
      <c r="AG43" s="381" t="str">
        <f t="shared" si="26"/>
        <v/>
      </c>
      <c r="AH43" s="398"/>
      <c r="AI43" s="383" t="str">
        <f t="shared" si="2"/>
        <v/>
      </c>
      <c r="AJ43" s="384" t="str">
        <f t="shared" si="3"/>
        <v/>
      </c>
      <c r="AK43" s="384" t="str">
        <f t="shared" si="4"/>
        <v/>
      </c>
      <c r="AL43" s="377"/>
      <c r="AM43" s="385" t="str">
        <f t="shared" si="5"/>
        <v/>
      </c>
      <c r="AN43" s="384" t="str">
        <f t="shared" si="6"/>
        <v/>
      </c>
      <c r="AO43" s="384" t="str">
        <f t="shared" si="7"/>
        <v/>
      </c>
      <c r="AP43" s="384" t="str">
        <f t="shared" si="8"/>
        <v/>
      </c>
      <c r="AQ43" s="384" t="str">
        <f t="shared" si="9"/>
        <v/>
      </c>
      <c r="AR43" s="384" t="str">
        <f t="shared" si="10"/>
        <v/>
      </c>
      <c r="AS43" s="386" t="str">
        <f t="shared" si="11"/>
        <v/>
      </c>
      <c r="AT43" s="387" t="str">
        <f t="shared" si="12"/>
        <v/>
      </c>
      <c r="AU43" s="388" t="str">
        <f t="shared" si="36"/>
        <v/>
      </c>
      <c r="AV43" s="387" t="str">
        <f t="shared" si="13"/>
        <v/>
      </c>
      <c r="AW43" s="387" t="str">
        <f t="shared" si="14"/>
        <v/>
      </c>
      <c r="AX43" s="389" t="str">
        <f t="shared" si="27"/>
        <v/>
      </c>
      <c r="AY43" s="387" t="str">
        <f t="shared" si="15"/>
        <v/>
      </c>
      <c r="AZ43" s="387" t="str">
        <f t="shared" si="16"/>
        <v/>
      </c>
      <c r="BA43" s="389" t="str">
        <f t="shared" si="28"/>
        <v/>
      </c>
      <c r="BB43" s="390" t="str">
        <f t="shared" si="17"/>
        <v/>
      </c>
      <c r="BC43" s="391"/>
      <c r="BD43" s="390" t="str">
        <f t="shared" si="29"/>
        <v/>
      </c>
      <c r="BE43" s="390" t="str">
        <f t="shared" si="29"/>
        <v/>
      </c>
      <c r="BF43" s="390" t="str">
        <f t="shared" si="37"/>
        <v/>
      </c>
      <c r="BG43" s="392" t="str" cm="1">
        <f t="array" ref="BG43">IF(AS43="","",IF((IFERROR(_xlfn.IFS($BB43="Devis 1",(IFERROR(VALUE(TRIM(SUBSTITUTE(AS43,CHAR(160),""))),0)),$BB43="Devis 2",(IFERROR(VALUE(TRIM(SUBSTITUTE(AV43,CHAR(160),""))),0)),$BB43="Devis 3",(IFERROR(VALUE(TRIM(SUBSTITUTE(AY43,CHAR(160),""))),0))),0))=0,"",(IFERROR(_xlfn.IFS($BB43="Devis 1",(IFERROR(VALUE(TRIM(SUBSTITUTE(AS43,CHAR(160),""))),0)),$BB43="Devis 2",(IFERROR(VALUE(TRIM(SUBSTITUTE(AV43,CHAR(160),""))),0)),$BB43="Devis 3",(IFERROR(VALUE(TRIM(SUBSTITUTE(AY43,CHAR(160),""))),0))),0))))</f>
        <v/>
      </c>
      <c r="BH43" s="392" t="str" cm="1">
        <f t="array" ref="BH43">IF(AT43="","",IF((IFERROR(_xlfn.IFS($BB43="Devis 1",(IFERROR(VALUE(TRIM(SUBSTITUTE(AT43,CHAR(160),""))),0)),$BB43="Devis 2",(IFERROR(VALUE(TRIM(SUBSTITUTE(AW43,CHAR(160),""))),0)),$BB43="Devis 3",(IFERROR(VALUE(TRIM(SUBSTITUTE(AZ43,CHAR(160),""))),0))),0))=0,"",(IFERROR(_xlfn.IFS($BB43="Devis 1",(IFERROR(VALUE(TRIM(SUBSTITUTE(AT43,CHAR(160),""))),0)),$BB43="Devis 2",(IFERROR(VALUE(TRIM(SUBSTITUTE(AW43,CHAR(160),""))),0)),$BB43="Devis 3",(IFERROR(VALUE(TRIM(SUBSTITUTE(AZ43,CHAR(160),""))),0))),0))))</f>
        <v/>
      </c>
      <c r="BI43" s="700" t="str" cm="1">
        <f t="array" ref="BI43">IF(AU43="","",IF(IFERROR(_xlfn.IFS($BB43="Devis 1",IFERROR(VALUE(TRIM(SUBSTITUTE(AU43,CHAR(160),""))),0),$BB43="Devis 2",IFERROR(VALUE(TRIM(SUBSTITUTE(AX43,CHAR(160),""))),0),$BB43="Devis 3",IFERROR(VALUE(TRIM(SUBSTITUTE(BA43,CHAR(160),""))),0)),0)=0,"",IFERROR(_xlfn.IFS($BB43="Devis 1",IFERROR(VALUE(TRIM(SUBSTITUTE(AU43,CHAR(160),""))),0),$BB43="Devis 2",IFERROR(VALUE(TRIM(SUBSTITUTE(AX43,CHAR(160),""))),0),$BB43="Devis 3",IFERROR(VALUE(TRIM(SUBSTITUTE(BA43,CHAR(160),""))),0)),0)))</f>
        <v/>
      </c>
      <c r="BJ43" s="739" t="str">
        <f t="shared" si="18"/>
        <v/>
      </c>
      <c r="BK43" s="740" t="str">
        <f t="shared" si="19"/>
        <v/>
      </c>
      <c r="BL43" s="741" t="str">
        <f t="shared" si="30"/>
        <v/>
      </c>
      <c r="BM43" s="741" t="str">
        <f t="shared" si="31"/>
        <v/>
      </c>
      <c r="BN43" s="741" t="str">
        <f t="shared" si="32"/>
        <v/>
      </c>
      <c r="BO43" s="741" t="str">
        <f t="shared" si="33"/>
        <v/>
      </c>
      <c r="BP43" s="711">
        <f t="shared" si="20"/>
        <v>0</v>
      </c>
      <c r="BQ43" s="372" t="str">
        <f t="shared" si="34"/>
        <v/>
      </c>
      <c r="BR43" s="718"/>
      <c r="BS43" s="393" t="str" cm="1">
        <f t="array" ref="BS43">IF(OR(BI43="",BF43="",BG43="",BD43="",BH43="",BE43=""),"",_xlfn.IFS((IFERROR(VALUE(TRIM(SUBSTITUTE(BI43,CHAR(160),""))),0))&gt;(IFERROR(VALUE(TRIM(SUBSTITUTE(BF43,CHAR(160),""))),0)),"KO : Le montant retenu TTC est supérieur au montant raisonnable TTC. Merci de revoir la ligne de dépense ou plafonner son montant.",(IFERROR(VALUE(TRIM(SUBSTITUTE(BG43,CHAR(160),""))),0))&gt;(IFERROR(VALUE(TRIM(SUBSTITUTE(BD43,CHAR(160),""))),0)),"Attention : Le montant retenu HT est supérieur au montant HT raisonnable. Merci de revoir la ligne de dépense, plafonner son montant, ou justifier la reventillation HT / TVA.",(IFERROR(VALUE(TRIM(SUBSTITUTE(BH43,CHAR(160),""))),0))&gt;(IFERROR(VALUE(TRIM(SUBSTITUTE(BE43,CHAR(160),""))),0)),"Attention : Le montant TVA retenu est supérieur au montant TVA raisonnable. Merci de revoir la ligne de dépense, plafonner son montant, ou justifier la reventillation HT / TVA.",(IFERROR(VALUE(TRIM(SUBSTITUTE(BI43,CHAR(160),""))),0))=0,"",(IFERROR(VALUE(TRIM(SUBSTITUTE(BF43,CHAR(160),""))),0))=(IFERROR(VALUE(TRIM(SUBSTITUTE(BI43,CHAR(160),""))),0)),"OK",(IFERROR(VALUE(TRIM(SUBSTITUTE(BF43,CHAR(160),""))),0))&gt;(IFERROR(VALUE(TRIM(SUBSTITUTE(BI43,CHAR(160),""))),0))," OK : Montant instruit inférieur au montant raisonnable.",TRUE,""))</f>
        <v/>
      </c>
      <c r="BT43" s="394" t="str" cm="1">
        <f t="array" ref="BT43">IF(OR(BI43="",X43="",BG43="",V43="",BH43="",W43=""),"",_xlfn.IFS((IFERROR(VALUE(TRIM(SUBSTITUTE(BI43,CHAR(160),""))),0))=0,"Attention : montant présenté entièrement écarté",(IFERROR(VALUE(TRIM(SUBSTITUTE(BI43,CHAR(160),""))),0))&gt;(IFERROR(VALUE(TRIM(SUBSTITUTE(X43,CHAR(160),""))),0)),"KO : Le montant retenu TTC est supérieur au montant présenté TTC. Merci de revoir la ligne de dépense ou plafonner son montant.",(IFERROR(VALUE(TRIM(SUBSTITUTE(BG43,CHAR(160),""))),0))&gt;(IFERROR(VALUE(TRIM(SUBSTITUTE(V43,CHAR(160),""))),0)),"Attention : Le montant retenu HT est supérieur au montant HT présenté. Merci de revoir la ligne de dépense,plafonner son montant,ou justifier la reventillation HT/TVA.",(IFERROR(VALUE(TRIM(SUBSTITUTE(BH43,CHAR(160),""))),0))&gt;(IFERROR(VALUE(TRIM(SUBSTITUTE(W43,CHAR(160),""))),0)),"Attention : Le montant TVA retenu est supérieur au montant TVA présenté. Merci de revoir la ligne de dépense,plafonner son montant,ou justifier la reventillation HT/TVA.",(IFERROR(VALUE(TRIM(SUBSTITUTE(X43,CHAR(160),""))),0))=0,"Attention : montant présenté entièrement écarté",(IFERROR(VALUE(TRIM(SUBSTITUTE(BI43,CHAR(160),""))),0))=(IFERROR(VALUE(TRIM(SUBSTITUTE(X43,CHAR(160),""))),0)),"OK",
  AND((IFERROR(VALUE(TRIM(SUBSTITUTE(BI43,CHAR(160),""))),0))&lt;(IFERROR(VALUE(TRIM(SUBSTITUTE(X43,CHAR(160),""))),0)),((IFERROR(VALUE(TRIM(SUBSTITUTE(X43,CHAR(160),""))),0))-(IFERROR(VALUE(TRIM(SUBSTITUTE(BI43,CHAR(160),""))),0)))&lt;0.01),"OK",(IFERROR(VALUE(TRIM(SUBSTITUTE(BI43,CHAR(160),""))),0))&lt;(IFERROR(VALUE(TRIM(SUBSTITUTE(X43,CHAR(160),""))),0)),"Attention : Montant présenté partiellement écarté.",
  TRUE,""))</f>
        <v/>
      </c>
      <c r="BU43" s="373" t="str" cm="1">
        <f t="array" ref="BU43">IF(OR(AF43="",BP43=""),"",_xlfn.IFS((IFERROR(VALUE(TRIM(SUBSTITUTE(BP43,CHAR(160),""))),0))&gt;(IFERROR(VALUE(TRIM(SUBSTITUTE(AF43,CHAR(160),""))),0)),"KO : Le montant retenu est supérieur au montant présenté. Merci de revoir la ligne de contribution ou plafonner son montant.",(IFERROR(VALUE(TRIM(SUBSTITUTE(AF43,CHAR(160),""))),0))=0,"Attention : montant présenté entièrement écarté",(IFERROR(VALUE(TRIM(SUBSTITUTE(BP43,CHAR(160),""))),0))=(IFERROR(VALUE(TRIM(SUBSTITUTE(AF43,CHAR(160),""))),0)),"OK",(IFERROR(VALUE(TRIM(SUBSTITUTE(BP43,CHAR(160),""))),0))&lt;(IFERROR(VALUE(TRIM(SUBSTITUTE(AF43,CHAR(160),""))),0)),"Attention : montant présenté partiellement écarté.",TRUE,""))</f>
        <v>Attention : montant présenté entièrement écarté</v>
      </c>
      <c r="BV43" s="395" t="str">
        <f t="shared" si="21"/>
        <v/>
      </c>
      <c r="BW43" s="396" t="str">
        <f t="shared" si="22"/>
        <v/>
      </c>
      <c r="BX43" s="397" t="str">
        <f t="shared" si="23"/>
        <v/>
      </c>
    </row>
    <row r="44" spans="1:76" ht="14.25" customHeight="1">
      <c r="A44" s="375">
        <v>35</v>
      </c>
      <c r="B44" s="333"/>
      <c r="C44" s="333"/>
      <c r="D44" s="333"/>
      <c r="E44" s="377"/>
      <c r="F44" s="376"/>
      <c r="G44" s="376"/>
      <c r="H44" s="400"/>
      <c r="I44" s="400"/>
      <c r="J44" s="400"/>
      <c r="K44" s="612"/>
      <c r="L44" s="613"/>
      <c r="M44" s="613"/>
      <c r="N44" s="395" t="str">
        <f t="shared" si="35"/>
        <v/>
      </c>
      <c r="O44" s="613"/>
      <c r="P44" s="613"/>
      <c r="Q44" s="610" t="str">
        <f t="shared" si="0"/>
        <v/>
      </c>
      <c r="R44" s="613"/>
      <c r="S44" s="613"/>
      <c r="T44" s="610" t="str">
        <f t="shared" si="1"/>
        <v/>
      </c>
      <c r="U44" s="611"/>
      <c r="V44" s="395" t="str" cm="1">
        <f t="array" ref="V44">IF((_xlfn.IFS(TRIM(SUBSTITUTE(U44,CHAR(160),""))="Devis 1",IFERROR(VALUE(TRIM(SUBSTITUTE(L44,CHAR(160),""))),0),TRIM(SUBSTITUTE(U44,CHAR(160),""))="Devis 2",IFERROR(VALUE(TRIM(SUBSTITUTE(O44,CHAR(160),""))),0),TRIM(SUBSTITUTE(U44,CHAR(160),""))="Devis 3",IFERROR(VALUE(TRIM(SUBSTITUTE(R44,CHAR(160),""))),0),TRUE,0))=0,"",_xlfn.IFS(TRIM(SUBSTITUTE(U44,CHAR(160),""))="Devis 1",IFERROR(VALUE(TRIM(SUBSTITUTE(L44,CHAR(160),""))),0),TRIM(SUBSTITUTE(U44,CHAR(160),""))="Devis 2",IFERROR(VALUE(TRIM(SUBSTITUTE(O44,CHAR(160),""))),0),TRIM(SUBSTITUTE(U44,CHAR(160),""))="Devis 3",IFERROR(VALUE(TRIM(SUBSTITUTE(R44,CHAR(160),""))),0),TRUE,0))</f>
        <v/>
      </c>
      <c r="W44" s="396" t="str" cm="1">
        <f t="array" ref="W44">IF((_xlfn.IFS(TRIM(SUBSTITUTE(U44,CHAR(160),""))="Devis 1",IFERROR(VALUE(TRIM(SUBSTITUTE(M44,CHAR(160),""))),0),TRIM(SUBSTITUTE(U44,CHAR(160),""))="Devis 2",IFERROR(VALUE(TRIM(SUBSTITUTE(P44,CHAR(160),""))),0),TRIM(SUBSTITUTE(U44,CHAR(160),""))="Devis 3",IFERROR(VALUE(TRIM(SUBSTITUTE(S44,CHAR(160),""))),0),TRUE,0))=0,"",_xlfn.IFS(TRIM(SUBSTITUTE(U44,CHAR(160),""))="Devis 1",IFERROR(VALUE(TRIM(SUBSTITUTE(M44,CHAR(160),""))),0),TRIM(SUBSTITUTE(U44,CHAR(160),""))="Devis 2",IFERROR(VALUE(TRIM(SUBSTITUTE(P44,CHAR(160),""))),0),TRIM(SUBSTITUTE(U44,CHAR(160),""))="Devis 3",IFERROR(VALUE(TRIM(SUBSTITUTE(S44,CHAR(160),""))),0),TRUE,0))</f>
        <v/>
      </c>
      <c r="X44" s="926" t="str" cm="1">
        <f t="array" ref="X44">IF((_xlfn.IFS(TRIM(SUBSTITUTE(U44,CHAR(160),""))="Devis 1",IFERROR(VALUE(TRIM(SUBSTITUTE(N44,CHAR(160),""))),0),TRIM(SUBSTITUTE(U44,CHAR(160),""))="Devis 2",IFERROR(VALUE(TRIM(SUBSTITUTE(Q44,CHAR(160),""))),0),TRIM(SUBSTITUTE(U44,CHAR(160),""))="Devis 3",IFERROR(VALUE(TRIM(SUBSTITUTE(T44,CHAR(160),""))),0),TRUE,0))=0,"",_xlfn.IFS(TRIM(SUBSTITUTE(U44,CHAR(160),""))="Devis 1",IFERROR(VALUE(TRIM(SUBSTITUTE(N44,CHAR(160),""))),0),TRIM(SUBSTITUTE(U44,CHAR(160),""))="Devis 2",IFERROR(VALUE(TRIM(SUBSTITUTE(Q44,CHAR(160),""))),0),TRIM(SUBSTITUTE(U44,CHAR(160),""))="Devis 3",IFERROR(VALUE(TRIM(SUBSTITUTE(T44,CHAR(160),""))),0),TRUE,0))</f>
        <v/>
      </c>
      <c r="Y44" s="933"/>
      <c r="Z44" s="929"/>
      <c r="AA44" s="935" t="str">
        <f t="shared" si="24"/>
        <v/>
      </c>
      <c r="AB44" s="934" t="str" cm="1">
        <f t="array" ref="AB44">IF(Y44="","",_xlfn.IFS(Y44=$CB$6,70,Y44=$CB$7,90,Y44=$CB$8,70,Y44=$CB$9,90,Y44=$CB$10,110))</f>
        <v/>
      </c>
      <c r="AC44" s="379"/>
      <c r="AD44" s="934" t="str" cm="1">
        <f t="array" ref="AD44">IF(Y44="","",_xlfn.IFS(Y44=$CB$6,15.75,Y44=$CB$7,21,Y44=$CB$8,15.25,Y44=$CB$9,15.25,Y44=$CB$10,15.25))</f>
        <v/>
      </c>
      <c r="AE44" s="380"/>
      <c r="AF44" s="936">
        <f t="shared" si="25"/>
        <v>0</v>
      </c>
      <c r="AG44" s="381" t="str">
        <f t="shared" si="26"/>
        <v/>
      </c>
      <c r="AH44" s="398"/>
      <c r="AI44" s="383" t="str">
        <f t="shared" si="2"/>
        <v/>
      </c>
      <c r="AJ44" s="384" t="str">
        <f t="shared" si="3"/>
        <v/>
      </c>
      <c r="AK44" s="384" t="str">
        <f t="shared" si="4"/>
        <v/>
      </c>
      <c r="AL44" s="377"/>
      <c r="AM44" s="385" t="str">
        <f t="shared" si="5"/>
        <v/>
      </c>
      <c r="AN44" s="384" t="str">
        <f t="shared" si="6"/>
        <v/>
      </c>
      <c r="AO44" s="384" t="str">
        <f t="shared" si="7"/>
        <v/>
      </c>
      <c r="AP44" s="384" t="str">
        <f t="shared" si="8"/>
        <v/>
      </c>
      <c r="AQ44" s="384" t="str">
        <f t="shared" si="9"/>
        <v/>
      </c>
      <c r="AR44" s="384" t="str">
        <f t="shared" si="10"/>
        <v/>
      </c>
      <c r="AS44" s="386" t="str">
        <f t="shared" si="11"/>
        <v/>
      </c>
      <c r="AT44" s="387" t="str">
        <f t="shared" si="12"/>
        <v/>
      </c>
      <c r="AU44" s="388" t="str">
        <f t="shared" si="36"/>
        <v/>
      </c>
      <c r="AV44" s="387" t="str">
        <f t="shared" si="13"/>
        <v/>
      </c>
      <c r="AW44" s="387" t="str">
        <f t="shared" si="14"/>
        <v/>
      </c>
      <c r="AX44" s="389" t="str">
        <f t="shared" si="27"/>
        <v/>
      </c>
      <c r="AY44" s="387" t="str">
        <f t="shared" si="15"/>
        <v/>
      </c>
      <c r="AZ44" s="387" t="str">
        <f t="shared" si="16"/>
        <v/>
      </c>
      <c r="BA44" s="389" t="str">
        <f t="shared" si="28"/>
        <v/>
      </c>
      <c r="BB44" s="390" t="str">
        <f t="shared" si="17"/>
        <v/>
      </c>
      <c r="BC44" s="391"/>
      <c r="BD44" s="390" t="str">
        <f t="shared" si="29"/>
        <v/>
      </c>
      <c r="BE44" s="390" t="str">
        <f t="shared" si="29"/>
        <v/>
      </c>
      <c r="BF44" s="390" t="str">
        <f t="shared" si="37"/>
        <v/>
      </c>
      <c r="BG44" s="392" t="str" cm="1">
        <f t="array" ref="BG44">IF(AS44="","",IF((IFERROR(_xlfn.IFS($BB44="Devis 1",(IFERROR(VALUE(TRIM(SUBSTITUTE(AS44,CHAR(160),""))),0)),$BB44="Devis 2",(IFERROR(VALUE(TRIM(SUBSTITUTE(AV44,CHAR(160),""))),0)),$BB44="Devis 3",(IFERROR(VALUE(TRIM(SUBSTITUTE(AY44,CHAR(160),""))),0))),0))=0,"",(IFERROR(_xlfn.IFS($BB44="Devis 1",(IFERROR(VALUE(TRIM(SUBSTITUTE(AS44,CHAR(160),""))),0)),$BB44="Devis 2",(IFERROR(VALUE(TRIM(SUBSTITUTE(AV44,CHAR(160),""))),0)),$BB44="Devis 3",(IFERROR(VALUE(TRIM(SUBSTITUTE(AY44,CHAR(160),""))),0))),0))))</f>
        <v/>
      </c>
      <c r="BH44" s="392" t="str" cm="1">
        <f t="array" ref="BH44">IF(AT44="","",IF((IFERROR(_xlfn.IFS($BB44="Devis 1",(IFERROR(VALUE(TRIM(SUBSTITUTE(AT44,CHAR(160),""))),0)),$BB44="Devis 2",(IFERROR(VALUE(TRIM(SUBSTITUTE(AW44,CHAR(160),""))),0)),$BB44="Devis 3",(IFERROR(VALUE(TRIM(SUBSTITUTE(AZ44,CHAR(160),""))),0))),0))=0,"",(IFERROR(_xlfn.IFS($BB44="Devis 1",(IFERROR(VALUE(TRIM(SUBSTITUTE(AT44,CHAR(160),""))),0)),$BB44="Devis 2",(IFERROR(VALUE(TRIM(SUBSTITUTE(AW44,CHAR(160),""))),0)),$BB44="Devis 3",(IFERROR(VALUE(TRIM(SUBSTITUTE(AZ44,CHAR(160),""))),0))),0))))</f>
        <v/>
      </c>
      <c r="BI44" s="700" t="str" cm="1">
        <f t="array" ref="BI44">IF(AU44="","",IF(IFERROR(_xlfn.IFS($BB44="Devis 1",IFERROR(VALUE(TRIM(SUBSTITUTE(AU44,CHAR(160),""))),0),$BB44="Devis 2",IFERROR(VALUE(TRIM(SUBSTITUTE(AX44,CHAR(160),""))),0),$BB44="Devis 3",IFERROR(VALUE(TRIM(SUBSTITUTE(BA44,CHAR(160),""))),0)),0)=0,"",IFERROR(_xlfn.IFS($BB44="Devis 1",IFERROR(VALUE(TRIM(SUBSTITUTE(AU44,CHAR(160),""))),0),$BB44="Devis 2",IFERROR(VALUE(TRIM(SUBSTITUTE(AX44,CHAR(160),""))),0),$BB44="Devis 3",IFERROR(VALUE(TRIM(SUBSTITUTE(BA44,CHAR(160),""))),0)),0)))</f>
        <v/>
      </c>
      <c r="BJ44" s="739" t="str">
        <f t="shared" si="18"/>
        <v/>
      </c>
      <c r="BK44" s="740" t="str">
        <f t="shared" si="19"/>
        <v/>
      </c>
      <c r="BL44" s="741" t="str">
        <f t="shared" si="30"/>
        <v/>
      </c>
      <c r="BM44" s="741" t="str">
        <f t="shared" si="31"/>
        <v/>
      </c>
      <c r="BN44" s="741" t="str">
        <f t="shared" si="32"/>
        <v/>
      </c>
      <c r="BO44" s="741" t="str">
        <f t="shared" si="33"/>
        <v/>
      </c>
      <c r="BP44" s="711">
        <f t="shared" si="20"/>
        <v>0</v>
      </c>
      <c r="BQ44" s="372" t="str">
        <f t="shared" si="34"/>
        <v/>
      </c>
      <c r="BR44" s="718"/>
      <c r="BS44" s="393" t="str" cm="1">
        <f t="array" ref="BS44">IF(OR(BI44="",BF44="",BG44="",BD44="",BH44="",BE44=""),"",_xlfn.IFS((IFERROR(VALUE(TRIM(SUBSTITUTE(BI44,CHAR(160),""))),0))&gt;(IFERROR(VALUE(TRIM(SUBSTITUTE(BF44,CHAR(160),""))),0)),"KO : Le montant retenu TTC est supérieur au montant raisonnable TTC. Merci de revoir la ligne de dépense ou plafonner son montant.",(IFERROR(VALUE(TRIM(SUBSTITUTE(BG44,CHAR(160),""))),0))&gt;(IFERROR(VALUE(TRIM(SUBSTITUTE(BD44,CHAR(160),""))),0)),"Attention : Le montant retenu HT est supérieur au montant HT raisonnable. Merci de revoir la ligne de dépense, plafonner son montant, ou justifier la reventillation HT / TVA.",(IFERROR(VALUE(TRIM(SUBSTITUTE(BH44,CHAR(160),""))),0))&gt;(IFERROR(VALUE(TRIM(SUBSTITUTE(BE44,CHAR(160),""))),0)),"Attention : Le montant TVA retenu est supérieur au montant TVA raisonnable. Merci de revoir la ligne de dépense, plafonner son montant, ou justifier la reventillation HT / TVA.",(IFERROR(VALUE(TRIM(SUBSTITUTE(BI44,CHAR(160),""))),0))=0,"",(IFERROR(VALUE(TRIM(SUBSTITUTE(BF44,CHAR(160),""))),0))=(IFERROR(VALUE(TRIM(SUBSTITUTE(BI44,CHAR(160),""))),0)),"OK",(IFERROR(VALUE(TRIM(SUBSTITUTE(BF44,CHAR(160),""))),0))&gt;(IFERROR(VALUE(TRIM(SUBSTITUTE(BI44,CHAR(160),""))),0))," OK : Montant instruit inférieur au montant raisonnable.",TRUE,""))</f>
        <v/>
      </c>
      <c r="BT44" s="394" t="str" cm="1">
        <f t="array" ref="BT44">IF(OR(BI44="",X44="",BG44="",V44="",BH44="",W44=""),"",_xlfn.IFS((IFERROR(VALUE(TRIM(SUBSTITUTE(BI44,CHAR(160),""))),0))=0,"Attention : montant présenté entièrement écarté",(IFERROR(VALUE(TRIM(SUBSTITUTE(BI44,CHAR(160),""))),0))&gt;(IFERROR(VALUE(TRIM(SUBSTITUTE(X44,CHAR(160),""))),0)),"KO : Le montant retenu TTC est supérieur au montant présenté TTC. Merci de revoir la ligne de dépense ou plafonner son montant.",(IFERROR(VALUE(TRIM(SUBSTITUTE(BG44,CHAR(160),""))),0))&gt;(IFERROR(VALUE(TRIM(SUBSTITUTE(V44,CHAR(160),""))),0)),"Attention : Le montant retenu HT est supérieur au montant HT présenté. Merci de revoir la ligne de dépense,plafonner son montant,ou justifier la reventillation HT/TVA.",(IFERROR(VALUE(TRIM(SUBSTITUTE(BH44,CHAR(160),""))),0))&gt;(IFERROR(VALUE(TRIM(SUBSTITUTE(W44,CHAR(160),""))),0)),"Attention : Le montant TVA retenu est supérieur au montant TVA présenté. Merci de revoir la ligne de dépense,plafonner son montant,ou justifier la reventillation HT/TVA.",(IFERROR(VALUE(TRIM(SUBSTITUTE(X44,CHAR(160),""))),0))=0,"Attention : montant présenté entièrement écarté",(IFERROR(VALUE(TRIM(SUBSTITUTE(BI44,CHAR(160),""))),0))=(IFERROR(VALUE(TRIM(SUBSTITUTE(X44,CHAR(160),""))),0)),"OK",
  AND((IFERROR(VALUE(TRIM(SUBSTITUTE(BI44,CHAR(160),""))),0))&lt;(IFERROR(VALUE(TRIM(SUBSTITUTE(X44,CHAR(160),""))),0)),((IFERROR(VALUE(TRIM(SUBSTITUTE(X44,CHAR(160),""))),0))-(IFERROR(VALUE(TRIM(SUBSTITUTE(BI44,CHAR(160),""))),0)))&lt;0.01),"OK",(IFERROR(VALUE(TRIM(SUBSTITUTE(BI44,CHAR(160),""))),0))&lt;(IFERROR(VALUE(TRIM(SUBSTITUTE(X44,CHAR(160),""))),0)),"Attention : Montant présenté partiellement écarté.",
  TRUE,""))</f>
        <v/>
      </c>
      <c r="BU44" s="373" t="str" cm="1">
        <f t="array" ref="BU44">IF(OR(AF44="",BP44=""),"",_xlfn.IFS((IFERROR(VALUE(TRIM(SUBSTITUTE(BP44,CHAR(160),""))),0))&gt;(IFERROR(VALUE(TRIM(SUBSTITUTE(AF44,CHAR(160),""))),0)),"KO : Le montant retenu est supérieur au montant présenté. Merci de revoir la ligne de contribution ou plafonner son montant.",(IFERROR(VALUE(TRIM(SUBSTITUTE(AF44,CHAR(160),""))),0))=0,"Attention : montant présenté entièrement écarté",(IFERROR(VALUE(TRIM(SUBSTITUTE(BP44,CHAR(160),""))),0))=(IFERROR(VALUE(TRIM(SUBSTITUTE(AF44,CHAR(160),""))),0)),"OK",(IFERROR(VALUE(TRIM(SUBSTITUTE(BP44,CHAR(160),""))),0))&lt;(IFERROR(VALUE(TRIM(SUBSTITUTE(AF44,CHAR(160),""))),0)),"Attention : montant présenté partiellement écarté.",TRUE,""))</f>
        <v>Attention : montant présenté entièrement écarté</v>
      </c>
      <c r="BV44" s="395" t="str">
        <f t="shared" si="21"/>
        <v/>
      </c>
      <c r="BW44" s="396" t="str">
        <f t="shared" si="22"/>
        <v/>
      </c>
      <c r="BX44" s="397" t="str">
        <f t="shared" si="23"/>
        <v/>
      </c>
    </row>
    <row r="45" spans="1:76" ht="14.25" customHeight="1">
      <c r="A45" s="375">
        <v>36</v>
      </c>
      <c r="B45" s="333"/>
      <c r="C45" s="333"/>
      <c r="D45" s="333"/>
      <c r="E45" s="377"/>
      <c r="F45" s="376"/>
      <c r="G45" s="376"/>
      <c r="H45" s="400"/>
      <c r="I45" s="400"/>
      <c r="J45" s="400"/>
      <c r="K45" s="612"/>
      <c r="L45" s="613"/>
      <c r="M45" s="613"/>
      <c r="N45" s="395" t="str">
        <f t="shared" si="35"/>
        <v/>
      </c>
      <c r="O45" s="613"/>
      <c r="P45" s="613"/>
      <c r="Q45" s="610" t="str">
        <f t="shared" si="0"/>
        <v/>
      </c>
      <c r="R45" s="613"/>
      <c r="S45" s="613"/>
      <c r="T45" s="610" t="str">
        <f t="shared" si="1"/>
        <v/>
      </c>
      <c r="U45" s="611"/>
      <c r="V45" s="395" t="str" cm="1">
        <f t="array" ref="V45">IF((_xlfn.IFS(TRIM(SUBSTITUTE(U45,CHAR(160),""))="Devis 1",IFERROR(VALUE(TRIM(SUBSTITUTE(L45,CHAR(160),""))),0),TRIM(SUBSTITUTE(U45,CHAR(160),""))="Devis 2",IFERROR(VALUE(TRIM(SUBSTITUTE(O45,CHAR(160),""))),0),TRIM(SUBSTITUTE(U45,CHAR(160),""))="Devis 3",IFERROR(VALUE(TRIM(SUBSTITUTE(R45,CHAR(160),""))),0),TRUE,0))=0,"",_xlfn.IFS(TRIM(SUBSTITUTE(U45,CHAR(160),""))="Devis 1",IFERROR(VALUE(TRIM(SUBSTITUTE(L45,CHAR(160),""))),0),TRIM(SUBSTITUTE(U45,CHAR(160),""))="Devis 2",IFERROR(VALUE(TRIM(SUBSTITUTE(O45,CHAR(160),""))),0),TRIM(SUBSTITUTE(U45,CHAR(160),""))="Devis 3",IFERROR(VALUE(TRIM(SUBSTITUTE(R45,CHAR(160),""))),0),TRUE,0))</f>
        <v/>
      </c>
      <c r="W45" s="396" t="str" cm="1">
        <f t="array" ref="W45">IF((_xlfn.IFS(TRIM(SUBSTITUTE(U45,CHAR(160),""))="Devis 1",IFERROR(VALUE(TRIM(SUBSTITUTE(M45,CHAR(160),""))),0),TRIM(SUBSTITUTE(U45,CHAR(160),""))="Devis 2",IFERROR(VALUE(TRIM(SUBSTITUTE(P45,CHAR(160),""))),0),TRIM(SUBSTITUTE(U45,CHAR(160),""))="Devis 3",IFERROR(VALUE(TRIM(SUBSTITUTE(S45,CHAR(160),""))),0),TRUE,0))=0,"",_xlfn.IFS(TRIM(SUBSTITUTE(U45,CHAR(160),""))="Devis 1",IFERROR(VALUE(TRIM(SUBSTITUTE(M45,CHAR(160),""))),0),TRIM(SUBSTITUTE(U45,CHAR(160),""))="Devis 2",IFERROR(VALUE(TRIM(SUBSTITUTE(P45,CHAR(160),""))),0),TRIM(SUBSTITUTE(U45,CHAR(160),""))="Devis 3",IFERROR(VALUE(TRIM(SUBSTITUTE(S45,CHAR(160),""))),0),TRUE,0))</f>
        <v/>
      </c>
      <c r="X45" s="926" t="str" cm="1">
        <f t="array" ref="X45">IF((_xlfn.IFS(TRIM(SUBSTITUTE(U45,CHAR(160),""))="Devis 1",IFERROR(VALUE(TRIM(SUBSTITUTE(N45,CHAR(160),""))),0),TRIM(SUBSTITUTE(U45,CHAR(160),""))="Devis 2",IFERROR(VALUE(TRIM(SUBSTITUTE(Q45,CHAR(160),""))),0),TRIM(SUBSTITUTE(U45,CHAR(160),""))="Devis 3",IFERROR(VALUE(TRIM(SUBSTITUTE(T45,CHAR(160),""))),0),TRUE,0))=0,"",_xlfn.IFS(TRIM(SUBSTITUTE(U45,CHAR(160),""))="Devis 1",IFERROR(VALUE(TRIM(SUBSTITUTE(N45,CHAR(160),""))),0),TRIM(SUBSTITUTE(U45,CHAR(160),""))="Devis 2",IFERROR(VALUE(TRIM(SUBSTITUTE(Q45,CHAR(160),""))),0),TRIM(SUBSTITUTE(U45,CHAR(160),""))="Devis 3",IFERROR(VALUE(TRIM(SUBSTITUTE(T45,CHAR(160),""))),0),TRUE,0))</f>
        <v/>
      </c>
      <c r="Y45" s="933"/>
      <c r="Z45" s="929"/>
      <c r="AA45" s="935" t="str">
        <f t="shared" si="24"/>
        <v/>
      </c>
      <c r="AB45" s="934" t="str" cm="1">
        <f t="array" ref="AB45">IF(Y45="","",_xlfn.IFS(Y45=$CB$6,70,Y45=$CB$7,90,Y45=$CB$8,70,Y45=$CB$9,90,Y45=$CB$10,110))</f>
        <v/>
      </c>
      <c r="AC45" s="379"/>
      <c r="AD45" s="934" t="str" cm="1">
        <f t="array" ref="AD45">IF(Y45="","",_xlfn.IFS(Y45=$CB$6,15.75,Y45=$CB$7,21,Y45=$CB$8,15.25,Y45=$CB$9,15.25,Y45=$CB$10,15.25))</f>
        <v/>
      </c>
      <c r="AE45" s="380"/>
      <c r="AF45" s="936">
        <f t="shared" si="25"/>
        <v>0</v>
      </c>
      <c r="AG45" s="381" t="str">
        <f t="shared" si="26"/>
        <v/>
      </c>
      <c r="AH45" s="398"/>
      <c r="AI45" s="383" t="str">
        <f t="shared" si="2"/>
        <v/>
      </c>
      <c r="AJ45" s="384" t="str">
        <f t="shared" si="3"/>
        <v/>
      </c>
      <c r="AK45" s="384" t="str">
        <f t="shared" si="4"/>
        <v/>
      </c>
      <c r="AL45" s="377"/>
      <c r="AM45" s="385" t="str">
        <f t="shared" si="5"/>
        <v/>
      </c>
      <c r="AN45" s="384" t="str">
        <f t="shared" si="6"/>
        <v/>
      </c>
      <c r="AO45" s="384" t="str">
        <f t="shared" si="7"/>
        <v/>
      </c>
      <c r="AP45" s="384" t="str">
        <f t="shared" si="8"/>
        <v/>
      </c>
      <c r="AQ45" s="384" t="str">
        <f t="shared" si="9"/>
        <v/>
      </c>
      <c r="AR45" s="384" t="str">
        <f t="shared" si="10"/>
        <v/>
      </c>
      <c r="AS45" s="386" t="str">
        <f t="shared" si="11"/>
        <v/>
      </c>
      <c r="AT45" s="387" t="str">
        <f t="shared" si="12"/>
        <v/>
      </c>
      <c r="AU45" s="388" t="str">
        <f t="shared" si="36"/>
        <v/>
      </c>
      <c r="AV45" s="387" t="str">
        <f t="shared" si="13"/>
        <v/>
      </c>
      <c r="AW45" s="387" t="str">
        <f t="shared" si="14"/>
        <v/>
      </c>
      <c r="AX45" s="389" t="str">
        <f t="shared" si="27"/>
        <v/>
      </c>
      <c r="AY45" s="387" t="str">
        <f t="shared" si="15"/>
        <v/>
      </c>
      <c r="AZ45" s="387" t="str">
        <f t="shared" si="16"/>
        <v/>
      </c>
      <c r="BA45" s="389" t="str">
        <f t="shared" si="28"/>
        <v/>
      </c>
      <c r="BB45" s="390" t="str">
        <f t="shared" si="17"/>
        <v/>
      </c>
      <c r="BC45" s="391"/>
      <c r="BD45" s="390" t="str">
        <f t="shared" si="29"/>
        <v/>
      </c>
      <c r="BE45" s="390" t="str">
        <f t="shared" si="29"/>
        <v/>
      </c>
      <c r="BF45" s="390" t="str">
        <f t="shared" si="37"/>
        <v/>
      </c>
      <c r="BG45" s="392" t="str" cm="1">
        <f t="array" ref="BG45">IF(AS45="","",IF((IFERROR(_xlfn.IFS($BB45="Devis 1",(IFERROR(VALUE(TRIM(SUBSTITUTE(AS45,CHAR(160),""))),0)),$BB45="Devis 2",(IFERROR(VALUE(TRIM(SUBSTITUTE(AV45,CHAR(160),""))),0)),$BB45="Devis 3",(IFERROR(VALUE(TRIM(SUBSTITUTE(AY45,CHAR(160),""))),0))),0))=0,"",(IFERROR(_xlfn.IFS($BB45="Devis 1",(IFERROR(VALUE(TRIM(SUBSTITUTE(AS45,CHAR(160),""))),0)),$BB45="Devis 2",(IFERROR(VALUE(TRIM(SUBSTITUTE(AV45,CHAR(160),""))),0)),$BB45="Devis 3",(IFERROR(VALUE(TRIM(SUBSTITUTE(AY45,CHAR(160),""))),0))),0))))</f>
        <v/>
      </c>
      <c r="BH45" s="392" t="str" cm="1">
        <f t="array" ref="BH45">IF(AT45="","",IF((IFERROR(_xlfn.IFS($BB45="Devis 1",(IFERROR(VALUE(TRIM(SUBSTITUTE(AT45,CHAR(160),""))),0)),$BB45="Devis 2",(IFERROR(VALUE(TRIM(SUBSTITUTE(AW45,CHAR(160),""))),0)),$BB45="Devis 3",(IFERROR(VALUE(TRIM(SUBSTITUTE(AZ45,CHAR(160),""))),0))),0))=0,"",(IFERROR(_xlfn.IFS($BB45="Devis 1",(IFERROR(VALUE(TRIM(SUBSTITUTE(AT45,CHAR(160),""))),0)),$BB45="Devis 2",(IFERROR(VALUE(TRIM(SUBSTITUTE(AW45,CHAR(160),""))),0)),$BB45="Devis 3",(IFERROR(VALUE(TRIM(SUBSTITUTE(AZ45,CHAR(160),""))),0))),0))))</f>
        <v/>
      </c>
      <c r="BI45" s="700" t="str" cm="1">
        <f t="array" ref="BI45">IF(AU45="","",IF(IFERROR(_xlfn.IFS($BB45="Devis 1",IFERROR(VALUE(TRIM(SUBSTITUTE(AU45,CHAR(160),""))),0),$BB45="Devis 2",IFERROR(VALUE(TRIM(SUBSTITUTE(AX45,CHAR(160),""))),0),$BB45="Devis 3",IFERROR(VALUE(TRIM(SUBSTITUTE(BA45,CHAR(160),""))),0)),0)=0,"",IFERROR(_xlfn.IFS($BB45="Devis 1",IFERROR(VALUE(TRIM(SUBSTITUTE(AU45,CHAR(160),""))),0),$BB45="Devis 2",IFERROR(VALUE(TRIM(SUBSTITUTE(AX45,CHAR(160),""))),0),$BB45="Devis 3",IFERROR(VALUE(TRIM(SUBSTITUTE(BA45,CHAR(160),""))),0)),0)))</f>
        <v/>
      </c>
      <c r="BJ45" s="739" t="str">
        <f t="shared" si="18"/>
        <v/>
      </c>
      <c r="BK45" s="740" t="str">
        <f t="shared" si="19"/>
        <v/>
      </c>
      <c r="BL45" s="741" t="str">
        <f t="shared" si="30"/>
        <v/>
      </c>
      <c r="BM45" s="741" t="str">
        <f t="shared" si="31"/>
        <v/>
      </c>
      <c r="BN45" s="741" t="str">
        <f t="shared" si="32"/>
        <v/>
      </c>
      <c r="BO45" s="741" t="str">
        <f t="shared" si="33"/>
        <v/>
      </c>
      <c r="BP45" s="711">
        <f t="shared" si="20"/>
        <v>0</v>
      </c>
      <c r="BQ45" s="372" t="str">
        <f t="shared" si="34"/>
        <v/>
      </c>
      <c r="BR45" s="718"/>
      <c r="BS45" s="393" t="str" cm="1">
        <f t="array" ref="BS45">IF(OR(BI45="",BF45="",BG45="",BD45="",BH45="",BE45=""),"",_xlfn.IFS((IFERROR(VALUE(TRIM(SUBSTITUTE(BI45,CHAR(160),""))),0))&gt;(IFERROR(VALUE(TRIM(SUBSTITUTE(BF45,CHAR(160),""))),0)),"KO : Le montant retenu TTC est supérieur au montant raisonnable TTC. Merci de revoir la ligne de dépense ou plafonner son montant.",(IFERROR(VALUE(TRIM(SUBSTITUTE(BG45,CHAR(160),""))),0))&gt;(IFERROR(VALUE(TRIM(SUBSTITUTE(BD45,CHAR(160),""))),0)),"Attention : Le montant retenu HT est supérieur au montant HT raisonnable. Merci de revoir la ligne de dépense, plafonner son montant, ou justifier la reventillation HT / TVA.",(IFERROR(VALUE(TRIM(SUBSTITUTE(BH45,CHAR(160),""))),0))&gt;(IFERROR(VALUE(TRIM(SUBSTITUTE(BE45,CHAR(160),""))),0)),"Attention : Le montant TVA retenu est supérieur au montant TVA raisonnable. Merci de revoir la ligne de dépense, plafonner son montant, ou justifier la reventillation HT / TVA.",(IFERROR(VALUE(TRIM(SUBSTITUTE(BI45,CHAR(160),""))),0))=0,"",(IFERROR(VALUE(TRIM(SUBSTITUTE(BF45,CHAR(160),""))),0))=(IFERROR(VALUE(TRIM(SUBSTITUTE(BI45,CHAR(160),""))),0)),"OK",(IFERROR(VALUE(TRIM(SUBSTITUTE(BF45,CHAR(160),""))),0))&gt;(IFERROR(VALUE(TRIM(SUBSTITUTE(BI45,CHAR(160),""))),0))," OK : Montant instruit inférieur au montant raisonnable.",TRUE,""))</f>
        <v/>
      </c>
      <c r="BT45" s="394" t="str" cm="1">
        <f t="array" ref="BT45">IF(OR(BI45="",X45="",BG45="",V45="",BH45="",W45=""),"",_xlfn.IFS((IFERROR(VALUE(TRIM(SUBSTITUTE(BI45,CHAR(160),""))),0))=0,"Attention : montant présenté entièrement écarté",(IFERROR(VALUE(TRIM(SUBSTITUTE(BI45,CHAR(160),""))),0))&gt;(IFERROR(VALUE(TRIM(SUBSTITUTE(X45,CHAR(160),""))),0)),"KO : Le montant retenu TTC est supérieur au montant présenté TTC. Merci de revoir la ligne de dépense ou plafonner son montant.",(IFERROR(VALUE(TRIM(SUBSTITUTE(BG45,CHAR(160),""))),0))&gt;(IFERROR(VALUE(TRIM(SUBSTITUTE(V45,CHAR(160),""))),0)),"Attention : Le montant retenu HT est supérieur au montant HT présenté. Merci de revoir la ligne de dépense,plafonner son montant,ou justifier la reventillation HT/TVA.",(IFERROR(VALUE(TRIM(SUBSTITUTE(BH45,CHAR(160),""))),0))&gt;(IFERROR(VALUE(TRIM(SUBSTITUTE(W45,CHAR(160),""))),0)),"Attention : Le montant TVA retenu est supérieur au montant TVA présenté. Merci de revoir la ligne de dépense,plafonner son montant,ou justifier la reventillation HT/TVA.",(IFERROR(VALUE(TRIM(SUBSTITUTE(X45,CHAR(160),""))),0))=0,"Attention : montant présenté entièrement écarté",(IFERROR(VALUE(TRIM(SUBSTITUTE(BI45,CHAR(160),""))),0))=(IFERROR(VALUE(TRIM(SUBSTITUTE(X45,CHAR(160),""))),0)),"OK",
  AND((IFERROR(VALUE(TRIM(SUBSTITUTE(BI45,CHAR(160),""))),0))&lt;(IFERROR(VALUE(TRIM(SUBSTITUTE(X45,CHAR(160),""))),0)),((IFERROR(VALUE(TRIM(SUBSTITUTE(X45,CHAR(160),""))),0))-(IFERROR(VALUE(TRIM(SUBSTITUTE(BI45,CHAR(160),""))),0)))&lt;0.01),"OK",(IFERROR(VALUE(TRIM(SUBSTITUTE(BI45,CHAR(160),""))),0))&lt;(IFERROR(VALUE(TRIM(SUBSTITUTE(X45,CHAR(160),""))),0)),"Attention : Montant présenté partiellement écarté.",
  TRUE,""))</f>
        <v/>
      </c>
      <c r="BU45" s="373" t="str" cm="1">
        <f t="array" ref="BU45">IF(OR(AF45="",BP45=""),"",_xlfn.IFS((IFERROR(VALUE(TRIM(SUBSTITUTE(BP45,CHAR(160),""))),0))&gt;(IFERROR(VALUE(TRIM(SUBSTITUTE(AF45,CHAR(160),""))),0)),"KO : Le montant retenu est supérieur au montant présenté. Merci de revoir la ligne de contribution ou plafonner son montant.",(IFERROR(VALUE(TRIM(SUBSTITUTE(AF45,CHAR(160),""))),0))=0,"Attention : montant présenté entièrement écarté",(IFERROR(VALUE(TRIM(SUBSTITUTE(BP45,CHAR(160),""))),0))=(IFERROR(VALUE(TRIM(SUBSTITUTE(AF45,CHAR(160),""))),0)),"OK",(IFERROR(VALUE(TRIM(SUBSTITUTE(BP45,CHAR(160),""))),0))&lt;(IFERROR(VALUE(TRIM(SUBSTITUTE(AF45,CHAR(160),""))),0)),"Attention : montant présenté partiellement écarté.",TRUE,""))</f>
        <v>Attention : montant présenté entièrement écarté</v>
      </c>
      <c r="BV45" s="395" t="str">
        <f t="shared" si="21"/>
        <v/>
      </c>
      <c r="BW45" s="396" t="str">
        <f t="shared" si="22"/>
        <v/>
      </c>
      <c r="BX45" s="397" t="str">
        <f t="shared" si="23"/>
        <v/>
      </c>
    </row>
    <row r="46" spans="1:76" ht="14.25" customHeight="1">
      <c r="A46" s="375">
        <v>37</v>
      </c>
      <c r="B46" s="333"/>
      <c r="C46" s="333"/>
      <c r="D46" s="333"/>
      <c r="E46" s="377"/>
      <c r="F46" s="376"/>
      <c r="G46" s="376"/>
      <c r="H46" s="400"/>
      <c r="I46" s="400"/>
      <c r="J46" s="400"/>
      <c r="K46" s="612"/>
      <c r="L46" s="613"/>
      <c r="M46" s="613"/>
      <c r="N46" s="395" t="str">
        <f t="shared" si="35"/>
        <v/>
      </c>
      <c r="O46" s="613"/>
      <c r="P46" s="613"/>
      <c r="Q46" s="610" t="str">
        <f t="shared" si="0"/>
        <v/>
      </c>
      <c r="R46" s="613"/>
      <c r="S46" s="613"/>
      <c r="T46" s="610" t="str">
        <f t="shared" si="1"/>
        <v/>
      </c>
      <c r="U46" s="611"/>
      <c r="V46" s="395" t="str" cm="1">
        <f t="array" ref="V46">IF((_xlfn.IFS(TRIM(SUBSTITUTE(U46,CHAR(160),""))="Devis 1",IFERROR(VALUE(TRIM(SUBSTITUTE(L46,CHAR(160),""))),0),TRIM(SUBSTITUTE(U46,CHAR(160),""))="Devis 2",IFERROR(VALUE(TRIM(SUBSTITUTE(O46,CHAR(160),""))),0),TRIM(SUBSTITUTE(U46,CHAR(160),""))="Devis 3",IFERROR(VALUE(TRIM(SUBSTITUTE(R46,CHAR(160),""))),0),TRUE,0))=0,"",_xlfn.IFS(TRIM(SUBSTITUTE(U46,CHAR(160),""))="Devis 1",IFERROR(VALUE(TRIM(SUBSTITUTE(L46,CHAR(160),""))),0),TRIM(SUBSTITUTE(U46,CHAR(160),""))="Devis 2",IFERROR(VALUE(TRIM(SUBSTITUTE(O46,CHAR(160),""))),0),TRIM(SUBSTITUTE(U46,CHAR(160),""))="Devis 3",IFERROR(VALUE(TRIM(SUBSTITUTE(R46,CHAR(160),""))),0),TRUE,0))</f>
        <v/>
      </c>
      <c r="W46" s="396" t="str" cm="1">
        <f t="array" ref="W46">IF((_xlfn.IFS(TRIM(SUBSTITUTE(U46,CHAR(160),""))="Devis 1",IFERROR(VALUE(TRIM(SUBSTITUTE(M46,CHAR(160),""))),0),TRIM(SUBSTITUTE(U46,CHAR(160),""))="Devis 2",IFERROR(VALUE(TRIM(SUBSTITUTE(P46,CHAR(160),""))),0),TRIM(SUBSTITUTE(U46,CHAR(160),""))="Devis 3",IFERROR(VALUE(TRIM(SUBSTITUTE(S46,CHAR(160),""))),0),TRUE,0))=0,"",_xlfn.IFS(TRIM(SUBSTITUTE(U46,CHAR(160),""))="Devis 1",IFERROR(VALUE(TRIM(SUBSTITUTE(M46,CHAR(160),""))),0),TRIM(SUBSTITUTE(U46,CHAR(160),""))="Devis 2",IFERROR(VALUE(TRIM(SUBSTITUTE(P46,CHAR(160),""))),0),TRIM(SUBSTITUTE(U46,CHAR(160),""))="Devis 3",IFERROR(VALUE(TRIM(SUBSTITUTE(S46,CHAR(160),""))),0),TRUE,0))</f>
        <v/>
      </c>
      <c r="X46" s="926" t="str" cm="1">
        <f t="array" ref="X46">IF((_xlfn.IFS(TRIM(SUBSTITUTE(U46,CHAR(160),""))="Devis 1",IFERROR(VALUE(TRIM(SUBSTITUTE(N46,CHAR(160),""))),0),TRIM(SUBSTITUTE(U46,CHAR(160),""))="Devis 2",IFERROR(VALUE(TRIM(SUBSTITUTE(Q46,CHAR(160),""))),0),TRIM(SUBSTITUTE(U46,CHAR(160),""))="Devis 3",IFERROR(VALUE(TRIM(SUBSTITUTE(T46,CHAR(160),""))),0),TRUE,0))=0,"",_xlfn.IFS(TRIM(SUBSTITUTE(U46,CHAR(160),""))="Devis 1",IFERROR(VALUE(TRIM(SUBSTITUTE(N46,CHAR(160),""))),0),TRIM(SUBSTITUTE(U46,CHAR(160),""))="Devis 2",IFERROR(VALUE(TRIM(SUBSTITUTE(Q46,CHAR(160),""))),0),TRIM(SUBSTITUTE(U46,CHAR(160),""))="Devis 3",IFERROR(VALUE(TRIM(SUBSTITUTE(T46,CHAR(160),""))),0),TRUE,0))</f>
        <v/>
      </c>
      <c r="Y46" s="933"/>
      <c r="Z46" s="929"/>
      <c r="AA46" s="935" t="str">
        <f t="shared" si="24"/>
        <v/>
      </c>
      <c r="AB46" s="934" t="str" cm="1">
        <f t="array" ref="AB46">IF(Y46="","",_xlfn.IFS(Y46=$CB$6,70,Y46=$CB$7,90,Y46=$CB$8,70,Y46=$CB$9,90,Y46=$CB$10,110))</f>
        <v/>
      </c>
      <c r="AC46" s="379"/>
      <c r="AD46" s="934" t="str" cm="1">
        <f t="array" ref="AD46">IF(Y46="","",_xlfn.IFS(Y46=$CB$6,15.75,Y46=$CB$7,21,Y46=$CB$8,15.25,Y46=$CB$9,15.25,Y46=$CB$10,15.25))</f>
        <v/>
      </c>
      <c r="AE46" s="380"/>
      <c r="AF46" s="936">
        <f t="shared" si="25"/>
        <v>0</v>
      </c>
      <c r="AG46" s="381" t="str">
        <f t="shared" si="26"/>
        <v/>
      </c>
      <c r="AH46" s="398"/>
      <c r="AI46" s="383" t="str">
        <f t="shared" si="2"/>
        <v/>
      </c>
      <c r="AJ46" s="384" t="str">
        <f t="shared" si="3"/>
        <v/>
      </c>
      <c r="AK46" s="384" t="str">
        <f t="shared" si="4"/>
        <v/>
      </c>
      <c r="AL46" s="377"/>
      <c r="AM46" s="385" t="str">
        <f t="shared" si="5"/>
        <v/>
      </c>
      <c r="AN46" s="384" t="str">
        <f t="shared" si="6"/>
        <v/>
      </c>
      <c r="AO46" s="384" t="str">
        <f t="shared" si="7"/>
        <v/>
      </c>
      <c r="AP46" s="384" t="str">
        <f t="shared" si="8"/>
        <v/>
      </c>
      <c r="AQ46" s="384" t="str">
        <f t="shared" si="9"/>
        <v/>
      </c>
      <c r="AR46" s="384" t="str">
        <f t="shared" si="10"/>
        <v/>
      </c>
      <c r="AS46" s="386" t="str">
        <f t="shared" si="11"/>
        <v/>
      </c>
      <c r="AT46" s="387" t="str">
        <f t="shared" si="12"/>
        <v/>
      </c>
      <c r="AU46" s="388" t="str">
        <f t="shared" si="36"/>
        <v/>
      </c>
      <c r="AV46" s="387" t="str">
        <f t="shared" si="13"/>
        <v/>
      </c>
      <c r="AW46" s="387" t="str">
        <f t="shared" si="14"/>
        <v/>
      </c>
      <c r="AX46" s="389" t="str">
        <f t="shared" si="27"/>
        <v/>
      </c>
      <c r="AY46" s="387" t="str">
        <f t="shared" si="15"/>
        <v/>
      </c>
      <c r="AZ46" s="387" t="str">
        <f t="shared" si="16"/>
        <v/>
      </c>
      <c r="BA46" s="389" t="str">
        <f t="shared" si="28"/>
        <v/>
      </c>
      <c r="BB46" s="390" t="str">
        <f t="shared" si="17"/>
        <v/>
      </c>
      <c r="BC46" s="391"/>
      <c r="BD46" s="390" t="str">
        <f t="shared" si="29"/>
        <v/>
      </c>
      <c r="BE46" s="390" t="str">
        <f t="shared" si="29"/>
        <v/>
      </c>
      <c r="BF46" s="390" t="str">
        <f t="shared" si="37"/>
        <v/>
      </c>
      <c r="BG46" s="392" t="str" cm="1">
        <f t="array" ref="BG46">IF(AS46="","",IF((IFERROR(_xlfn.IFS($BB46="Devis 1",(IFERROR(VALUE(TRIM(SUBSTITUTE(AS46,CHAR(160),""))),0)),$BB46="Devis 2",(IFERROR(VALUE(TRIM(SUBSTITUTE(AV46,CHAR(160),""))),0)),$BB46="Devis 3",(IFERROR(VALUE(TRIM(SUBSTITUTE(AY46,CHAR(160),""))),0))),0))=0,"",(IFERROR(_xlfn.IFS($BB46="Devis 1",(IFERROR(VALUE(TRIM(SUBSTITUTE(AS46,CHAR(160),""))),0)),$BB46="Devis 2",(IFERROR(VALUE(TRIM(SUBSTITUTE(AV46,CHAR(160),""))),0)),$BB46="Devis 3",(IFERROR(VALUE(TRIM(SUBSTITUTE(AY46,CHAR(160),""))),0))),0))))</f>
        <v/>
      </c>
      <c r="BH46" s="392" t="str" cm="1">
        <f t="array" ref="BH46">IF(AT46="","",IF((IFERROR(_xlfn.IFS($BB46="Devis 1",(IFERROR(VALUE(TRIM(SUBSTITUTE(AT46,CHAR(160),""))),0)),$BB46="Devis 2",(IFERROR(VALUE(TRIM(SUBSTITUTE(AW46,CHAR(160),""))),0)),$BB46="Devis 3",(IFERROR(VALUE(TRIM(SUBSTITUTE(AZ46,CHAR(160),""))),0))),0))=0,"",(IFERROR(_xlfn.IFS($BB46="Devis 1",(IFERROR(VALUE(TRIM(SUBSTITUTE(AT46,CHAR(160),""))),0)),$BB46="Devis 2",(IFERROR(VALUE(TRIM(SUBSTITUTE(AW46,CHAR(160),""))),0)),$BB46="Devis 3",(IFERROR(VALUE(TRIM(SUBSTITUTE(AZ46,CHAR(160),""))),0))),0))))</f>
        <v/>
      </c>
      <c r="BI46" s="700" t="str" cm="1">
        <f t="array" ref="BI46">IF(AU46="","",IF(IFERROR(_xlfn.IFS($BB46="Devis 1",IFERROR(VALUE(TRIM(SUBSTITUTE(AU46,CHAR(160),""))),0),$BB46="Devis 2",IFERROR(VALUE(TRIM(SUBSTITUTE(AX46,CHAR(160),""))),0),$BB46="Devis 3",IFERROR(VALUE(TRIM(SUBSTITUTE(BA46,CHAR(160),""))),0)),0)=0,"",IFERROR(_xlfn.IFS($BB46="Devis 1",IFERROR(VALUE(TRIM(SUBSTITUTE(AU46,CHAR(160),""))),0),$BB46="Devis 2",IFERROR(VALUE(TRIM(SUBSTITUTE(AX46,CHAR(160),""))),0),$BB46="Devis 3",IFERROR(VALUE(TRIM(SUBSTITUTE(BA46,CHAR(160),""))),0)),0)))</f>
        <v/>
      </c>
      <c r="BJ46" s="739" t="str">
        <f t="shared" si="18"/>
        <v/>
      </c>
      <c r="BK46" s="740" t="str">
        <f t="shared" si="19"/>
        <v/>
      </c>
      <c r="BL46" s="741" t="str">
        <f t="shared" si="30"/>
        <v/>
      </c>
      <c r="BM46" s="741" t="str">
        <f t="shared" si="31"/>
        <v/>
      </c>
      <c r="BN46" s="741" t="str">
        <f t="shared" si="32"/>
        <v/>
      </c>
      <c r="BO46" s="741" t="str">
        <f t="shared" si="33"/>
        <v/>
      </c>
      <c r="BP46" s="711">
        <f t="shared" si="20"/>
        <v>0</v>
      </c>
      <c r="BQ46" s="372" t="str">
        <f t="shared" si="34"/>
        <v/>
      </c>
      <c r="BR46" s="718"/>
      <c r="BS46" s="393" t="str" cm="1">
        <f t="array" ref="BS46">IF(OR(BI46="",BF46="",BG46="",BD46="",BH46="",BE46=""),"",_xlfn.IFS((IFERROR(VALUE(TRIM(SUBSTITUTE(BI46,CHAR(160),""))),0))&gt;(IFERROR(VALUE(TRIM(SUBSTITUTE(BF46,CHAR(160),""))),0)),"KO : Le montant retenu TTC est supérieur au montant raisonnable TTC. Merci de revoir la ligne de dépense ou plafonner son montant.",(IFERROR(VALUE(TRIM(SUBSTITUTE(BG46,CHAR(160),""))),0))&gt;(IFERROR(VALUE(TRIM(SUBSTITUTE(BD46,CHAR(160),""))),0)),"Attention : Le montant retenu HT est supérieur au montant HT raisonnable. Merci de revoir la ligne de dépense, plafonner son montant, ou justifier la reventillation HT / TVA.",(IFERROR(VALUE(TRIM(SUBSTITUTE(BH46,CHAR(160),""))),0))&gt;(IFERROR(VALUE(TRIM(SUBSTITUTE(BE46,CHAR(160),""))),0)),"Attention : Le montant TVA retenu est supérieur au montant TVA raisonnable. Merci de revoir la ligne de dépense, plafonner son montant, ou justifier la reventillation HT / TVA.",(IFERROR(VALUE(TRIM(SUBSTITUTE(BI46,CHAR(160),""))),0))=0,"",(IFERROR(VALUE(TRIM(SUBSTITUTE(BF46,CHAR(160),""))),0))=(IFERROR(VALUE(TRIM(SUBSTITUTE(BI46,CHAR(160),""))),0)),"OK",(IFERROR(VALUE(TRIM(SUBSTITUTE(BF46,CHAR(160),""))),0))&gt;(IFERROR(VALUE(TRIM(SUBSTITUTE(BI46,CHAR(160),""))),0))," OK : Montant instruit inférieur au montant raisonnable.",TRUE,""))</f>
        <v/>
      </c>
      <c r="BT46" s="394" t="str" cm="1">
        <f t="array" ref="BT46">IF(OR(BI46="",X46="",BG46="",V46="",BH46="",W46=""),"",_xlfn.IFS((IFERROR(VALUE(TRIM(SUBSTITUTE(BI46,CHAR(160),""))),0))=0,"Attention : montant présenté entièrement écarté",(IFERROR(VALUE(TRIM(SUBSTITUTE(BI46,CHAR(160),""))),0))&gt;(IFERROR(VALUE(TRIM(SUBSTITUTE(X46,CHAR(160),""))),0)),"KO : Le montant retenu TTC est supérieur au montant présenté TTC. Merci de revoir la ligne de dépense ou plafonner son montant.",(IFERROR(VALUE(TRIM(SUBSTITUTE(BG46,CHAR(160),""))),0))&gt;(IFERROR(VALUE(TRIM(SUBSTITUTE(V46,CHAR(160),""))),0)),"Attention : Le montant retenu HT est supérieur au montant HT présenté. Merci de revoir la ligne de dépense,plafonner son montant,ou justifier la reventillation HT/TVA.",(IFERROR(VALUE(TRIM(SUBSTITUTE(BH46,CHAR(160),""))),0))&gt;(IFERROR(VALUE(TRIM(SUBSTITUTE(W46,CHAR(160),""))),0)),"Attention : Le montant TVA retenu est supérieur au montant TVA présenté. Merci de revoir la ligne de dépense,plafonner son montant,ou justifier la reventillation HT/TVA.",(IFERROR(VALUE(TRIM(SUBSTITUTE(X46,CHAR(160),""))),0))=0,"Attention : montant présenté entièrement écarté",(IFERROR(VALUE(TRIM(SUBSTITUTE(BI46,CHAR(160),""))),0))=(IFERROR(VALUE(TRIM(SUBSTITUTE(X46,CHAR(160),""))),0)),"OK",
  AND((IFERROR(VALUE(TRIM(SUBSTITUTE(BI46,CHAR(160),""))),0))&lt;(IFERROR(VALUE(TRIM(SUBSTITUTE(X46,CHAR(160),""))),0)),((IFERROR(VALUE(TRIM(SUBSTITUTE(X46,CHAR(160),""))),0))-(IFERROR(VALUE(TRIM(SUBSTITUTE(BI46,CHAR(160),""))),0)))&lt;0.01),"OK",(IFERROR(VALUE(TRIM(SUBSTITUTE(BI46,CHAR(160),""))),0))&lt;(IFERROR(VALUE(TRIM(SUBSTITUTE(X46,CHAR(160),""))),0)),"Attention : Montant présenté partiellement écarté.",
  TRUE,""))</f>
        <v/>
      </c>
      <c r="BU46" s="373" t="str" cm="1">
        <f t="array" ref="BU46">IF(OR(AF46="",BP46=""),"",_xlfn.IFS((IFERROR(VALUE(TRIM(SUBSTITUTE(BP46,CHAR(160),""))),0))&gt;(IFERROR(VALUE(TRIM(SUBSTITUTE(AF46,CHAR(160),""))),0)),"KO : Le montant retenu est supérieur au montant présenté. Merci de revoir la ligne de contribution ou plafonner son montant.",(IFERROR(VALUE(TRIM(SUBSTITUTE(AF46,CHAR(160),""))),0))=0,"Attention : montant présenté entièrement écarté",(IFERROR(VALUE(TRIM(SUBSTITUTE(BP46,CHAR(160),""))),0))=(IFERROR(VALUE(TRIM(SUBSTITUTE(AF46,CHAR(160),""))),0)),"OK",(IFERROR(VALUE(TRIM(SUBSTITUTE(BP46,CHAR(160),""))),0))&lt;(IFERROR(VALUE(TRIM(SUBSTITUTE(AF46,CHAR(160),""))),0)),"Attention : montant présenté partiellement écarté.",TRUE,""))</f>
        <v>Attention : montant présenté entièrement écarté</v>
      </c>
      <c r="BV46" s="395" t="str">
        <f t="shared" si="21"/>
        <v/>
      </c>
      <c r="BW46" s="396" t="str">
        <f t="shared" si="22"/>
        <v/>
      </c>
      <c r="BX46" s="397" t="str">
        <f t="shared" si="23"/>
        <v/>
      </c>
    </row>
    <row r="47" spans="1:76" ht="14.25" customHeight="1">
      <c r="A47" s="375">
        <v>38</v>
      </c>
      <c r="B47" s="333"/>
      <c r="C47" s="333"/>
      <c r="D47" s="333"/>
      <c r="E47" s="377"/>
      <c r="F47" s="376"/>
      <c r="G47" s="376"/>
      <c r="H47" s="400"/>
      <c r="I47" s="400"/>
      <c r="J47" s="400"/>
      <c r="K47" s="612"/>
      <c r="L47" s="613"/>
      <c r="M47" s="613"/>
      <c r="N47" s="395" t="str">
        <f t="shared" si="35"/>
        <v/>
      </c>
      <c r="O47" s="613"/>
      <c r="P47" s="613"/>
      <c r="Q47" s="610" t="str">
        <f t="shared" si="0"/>
        <v/>
      </c>
      <c r="R47" s="613"/>
      <c r="S47" s="613"/>
      <c r="T47" s="610" t="str">
        <f t="shared" si="1"/>
        <v/>
      </c>
      <c r="U47" s="611"/>
      <c r="V47" s="395" t="str" cm="1">
        <f t="array" ref="V47">IF((_xlfn.IFS(TRIM(SUBSTITUTE(U47,CHAR(160),""))="Devis 1",IFERROR(VALUE(TRIM(SUBSTITUTE(L47,CHAR(160),""))),0),TRIM(SUBSTITUTE(U47,CHAR(160),""))="Devis 2",IFERROR(VALUE(TRIM(SUBSTITUTE(O47,CHAR(160),""))),0),TRIM(SUBSTITUTE(U47,CHAR(160),""))="Devis 3",IFERROR(VALUE(TRIM(SUBSTITUTE(R47,CHAR(160),""))),0),TRUE,0))=0,"",_xlfn.IFS(TRIM(SUBSTITUTE(U47,CHAR(160),""))="Devis 1",IFERROR(VALUE(TRIM(SUBSTITUTE(L47,CHAR(160),""))),0),TRIM(SUBSTITUTE(U47,CHAR(160),""))="Devis 2",IFERROR(VALUE(TRIM(SUBSTITUTE(O47,CHAR(160),""))),0),TRIM(SUBSTITUTE(U47,CHAR(160),""))="Devis 3",IFERROR(VALUE(TRIM(SUBSTITUTE(R47,CHAR(160),""))),0),TRUE,0))</f>
        <v/>
      </c>
      <c r="W47" s="396" t="str" cm="1">
        <f t="array" ref="W47">IF((_xlfn.IFS(TRIM(SUBSTITUTE(U47,CHAR(160),""))="Devis 1",IFERROR(VALUE(TRIM(SUBSTITUTE(M47,CHAR(160),""))),0),TRIM(SUBSTITUTE(U47,CHAR(160),""))="Devis 2",IFERROR(VALUE(TRIM(SUBSTITUTE(P47,CHAR(160),""))),0),TRIM(SUBSTITUTE(U47,CHAR(160),""))="Devis 3",IFERROR(VALUE(TRIM(SUBSTITUTE(S47,CHAR(160),""))),0),TRUE,0))=0,"",_xlfn.IFS(TRIM(SUBSTITUTE(U47,CHAR(160),""))="Devis 1",IFERROR(VALUE(TRIM(SUBSTITUTE(M47,CHAR(160),""))),0),TRIM(SUBSTITUTE(U47,CHAR(160),""))="Devis 2",IFERROR(VALUE(TRIM(SUBSTITUTE(P47,CHAR(160),""))),0),TRIM(SUBSTITUTE(U47,CHAR(160),""))="Devis 3",IFERROR(VALUE(TRIM(SUBSTITUTE(S47,CHAR(160),""))),0),TRUE,0))</f>
        <v/>
      </c>
      <c r="X47" s="926" t="str" cm="1">
        <f t="array" ref="X47">IF((_xlfn.IFS(TRIM(SUBSTITUTE(U47,CHAR(160),""))="Devis 1",IFERROR(VALUE(TRIM(SUBSTITUTE(N47,CHAR(160),""))),0),TRIM(SUBSTITUTE(U47,CHAR(160),""))="Devis 2",IFERROR(VALUE(TRIM(SUBSTITUTE(Q47,CHAR(160),""))),0),TRIM(SUBSTITUTE(U47,CHAR(160),""))="Devis 3",IFERROR(VALUE(TRIM(SUBSTITUTE(T47,CHAR(160),""))),0),TRUE,0))=0,"",_xlfn.IFS(TRIM(SUBSTITUTE(U47,CHAR(160),""))="Devis 1",IFERROR(VALUE(TRIM(SUBSTITUTE(N47,CHAR(160),""))),0),TRIM(SUBSTITUTE(U47,CHAR(160),""))="Devis 2",IFERROR(VALUE(TRIM(SUBSTITUTE(Q47,CHAR(160),""))),0),TRIM(SUBSTITUTE(U47,CHAR(160),""))="Devis 3",IFERROR(VALUE(TRIM(SUBSTITUTE(T47,CHAR(160),""))),0),TRUE,0))</f>
        <v/>
      </c>
      <c r="Y47" s="933"/>
      <c r="Z47" s="929"/>
      <c r="AA47" s="935" t="str">
        <f t="shared" si="24"/>
        <v/>
      </c>
      <c r="AB47" s="934" t="str" cm="1">
        <f t="array" ref="AB47">IF(Y47="","",_xlfn.IFS(Y47=$CB$6,70,Y47=$CB$7,90,Y47=$CB$8,70,Y47=$CB$9,90,Y47=$CB$10,110))</f>
        <v/>
      </c>
      <c r="AC47" s="379"/>
      <c r="AD47" s="934" t="str" cm="1">
        <f t="array" ref="AD47">IF(Y47="","",_xlfn.IFS(Y47=$CB$6,15.75,Y47=$CB$7,21,Y47=$CB$8,15.25,Y47=$CB$9,15.25,Y47=$CB$10,15.25))</f>
        <v/>
      </c>
      <c r="AE47" s="380"/>
      <c r="AF47" s="936">
        <f t="shared" si="25"/>
        <v>0</v>
      </c>
      <c r="AG47" s="381" t="str">
        <f t="shared" si="26"/>
        <v/>
      </c>
      <c r="AH47" s="398"/>
      <c r="AI47" s="383" t="str">
        <f t="shared" si="2"/>
        <v/>
      </c>
      <c r="AJ47" s="384" t="str">
        <f t="shared" si="3"/>
        <v/>
      </c>
      <c r="AK47" s="384" t="str">
        <f t="shared" si="4"/>
        <v/>
      </c>
      <c r="AL47" s="377"/>
      <c r="AM47" s="385" t="str">
        <f t="shared" si="5"/>
        <v/>
      </c>
      <c r="AN47" s="384" t="str">
        <f t="shared" si="6"/>
        <v/>
      </c>
      <c r="AO47" s="384" t="str">
        <f t="shared" si="7"/>
        <v/>
      </c>
      <c r="AP47" s="384" t="str">
        <f t="shared" si="8"/>
        <v/>
      </c>
      <c r="AQ47" s="384" t="str">
        <f t="shared" si="9"/>
        <v/>
      </c>
      <c r="AR47" s="384" t="str">
        <f t="shared" si="10"/>
        <v/>
      </c>
      <c r="AS47" s="386" t="str">
        <f t="shared" si="11"/>
        <v/>
      </c>
      <c r="AT47" s="387" t="str">
        <f t="shared" si="12"/>
        <v/>
      </c>
      <c r="AU47" s="388" t="str">
        <f t="shared" si="36"/>
        <v/>
      </c>
      <c r="AV47" s="387" t="str">
        <f t="shared" si="13"/>
        <v/>
      </c>
      <c r="AW47" s="387" t="str">
        <f t="shared" si="14"/>
        <v/>
      </c>
      <c r="AX47" s="389" t="str">
        <f t="shared" si="27"/>
        <v/>
      </c>
      <c r="AY47" s="387" t="str">
        <f t="shared" si="15"/>
        <v/>
      </c>
      <c r="AZ47" s="387" t="str">
        <f t="shared" si="16"/>
        <v/>
      </c>
      <c r="BA47" s="389" t="str">
        <f t="shared" si="28"/>
        <v/>
      </c>
      <c r="BB47" s="390" t="str">
        <f t="shared" si="17"/>
        <v/>
      </c>
      <c r="BC47" s="391"/>
      <c r="BD47" s="390" t="str">
        <f t="shared" si="29"/>
        <v/>
      </c>
      <c r="BE47" s="390" t="str">
        <f t="shared" si="29"/>
        <v/>
      </c>
      <c r="BF47" s="390" t="str">
        <f t="shared" si="37"/>
        <v/>
      </c>
      <c r="BG47" s="392" t="str" cm="1">
        <f t="array" ref="BG47">IF(AS47="","",IF((IFERROR(_xlfn.IFS($BB47="Devis 1",(IFERROR(VALUE(TRIM(SUBSTITUTE(AS47,CHAR(160),""))),0)),$BB47="Devis 2",(IFERROR(VALUE(TRIM(SUBSTITUTE(AV47,CHAR(160),""))),0)),$BB47="Devis 3",(IFERROR(VALUE(TRIM(SUBSTITUTE(AY47,CHAR(160),""))),0))),0))=0,"",(IFERROR(_xlfn.IFS($BB47="Devis 1",(IFERROR(VALUE(TRIM(SUBSTITUTE(AS47,CHAR(160),""))),0)),$BB47="Devis 2",(IFERROR(VALUE(TRIM(SUBSTITUTE(AV47,CHAR(160),""))),0)),$BB47="Devis 3",(IFERROR(VALUE(TRIM(SUBSTITUTE(AY47,CHAR(160),""))),0))),0))))</f>
        <v/>
      </c>
      <c r="BH47" s="392" t="str" cm="1">
        <f t="array" ref="BH47">IF(AT47="","",IF((IFERROR(_xlfn.IFS($BB47="Devis 1",(IFERROR(VALUE(TRIM(SUBSTITUTE(AT47,CHAR(160),""))),0)),$BB47="Devis 2",(IFERROR(VALUE(TRIM(SUBSTITUTE(AW47,CHAR(160),""))),0)),$BB47="Devis 3",(IFERROR(VALUE(TRIM(SUBSTITUTE(AZ47,CHAR(160),""))),0))),0))=0,"",(IFERROR(_xlfn.IFS($BB47="Devis 1",(IFERROR(VALUE(TRIM(SUBSTITUTE(AT47,CHAR(160),""))),0)),$BB47="Devis 2",(IFERROR(VALUE(TRIM(SUBSTITUTE(AW47,CHAR(160),""))),0)),$BB47="Devis 3",(IFERROR(VALUE(TRIM(SUBSTITUTE(AZ47,CHAR(160),""))),0))),0))))</f>
        <v/>
      </c>
      <c r="BI47" s="700" t="str" cm="1">
        <f t="array" ref="BI47">IF(AU47="","",IF(IFERROR(_xlfn.IFS($BB47="Devis 1",IFERROR(VALUE(TRIM(SUBSTITUTE(AU47,CHAR(160),""))),0),$BB47="Devis 2",IFERROR(VALUE(TRIM(SUBSTITUTE(AX47,CHAR(160),""))),0),$BB47="Devis 3",IFERROR(VALUE(TRIM(SUBSTITUTE(BA47,CHAR(160),""))),0)),0)=0,"",IFERROR(_xlfn.IFS($BB47="Devis 1",IFERROR(VALUE(TRIM(SUBSTITUTE(AU47,CHAR(160),""))),0),$BB47="Devis 2",IFERROR(VALUE(TRIM(SUBSTITUTE(AX47,CHAR(160),""))),0),$BB47="Devis 3",IFERROR(VALUE(TRIM(SUBSTITUTE(BA47,CHAR(160),""))),0)),0)))</f>
        <v/>
      </c>
      <c r="BJ47" s="739" t="str">
        <f t="shared" si="18"/>
        <v/>
      </c>
      <c r="BK47" s="740" t="str">
        <f t="shared" si="19"/>
        <v/>
      </c>
      <c r="BL47" s="741" t="str">
        <f t="shared" si="30"/>
        <v/>
      </c>
      <c r="BM47" s="741" t="str">
        <f t="shared" si="31"/>
        <v/>
      </c>
      <c r="BN47" s="741" t="str">
        <f t="shared" si="32"/>
        <v/>
      </c>
      <c r="BO47" s="705"/>
      <c r="BP47" s="711">
        <f t="shared" si="20"/>
        <v>0</v>
      </c>
      <c r="BQ47" s="372" t="str">
        <f t="shared" si="34"/>
        <v/>
      </c>
      <c r="BR47" s="718"/>
      <c r="BS47" s="393" t="str" cm="1">
        <f t="array" ref="BS47">IF(OR(BI47="",BF47="",BG47="",BD47="",BH47="",BE47=""),"",_xlfn.IFS((IFERROR(VALUE(TRIM(SUBSTITUTE(BI47,CHAR(160),""))),0))&gt;(IFERROR(VALUE(TRIM(SUBSTITUTE(BF47,CHAR(160),""))),0)),"KO : Le montant retenu TTC est supérieur au montant raisonnable TTC. Merci de revoir la ligne de dépense ou plafonner son montant.",(IFERROR(VALUE(TRIM(SUBSTITUTE(BG47,CHAR(160),""))),0))&gt;(IFERROR(VALUE(TRIM(SUBSTITUTE(BD47,CHAR(160),""))),0)),"Attention : Le montant retenu HT est supérieur au montant HT raisonnable. Merci de revoir la ligne de dépense, plafonner son montant, ou justifier la reventillation HT / TVA.",(IFERROR(VALUE(TRIM(SUBSTITUTE(BH47,CHAR(160),""))),0))&gt;(IFERROR(VALUE(TRIM(SUBSTITUTE(BE47,CHAR(160),""))),0)),"Attention : Le montant TVA retenu est supérieur au montant TVA raisonnable. Merci de revoir la ligne de dépense, plafonner son montant, ou justifier la reventillation HT / TVA.",(IFERROR(VALUE(TRIM(SUBSTITUTE(BI47,CHAR(160),""))),0))=0,"",(IFERROR(VALUE(TRIM(SUBSTITUTE(BF47,CHAR(160),""))),0))=(IFERROR(VALUE(TRIM(SUBSTITUTE(BI47,CHAR(160),""))),0)),"OK",(IFERROR(VALUE(TRIM(SUBSTITUTE(BF47,CHAR(160),""))),0))&gt;(IFERROR(VALUE(TRIM(SUBSTITUTE(BI47,CHAR(160),""))),0))," OK : Montant instruit inférieur au montant raisonnable.",TRUE,""))</f>
        <v/>
      </c>
      <c r="BT47" s="394" t="str" cm="1">
        <f t="array" ref="BT47">IF(OR(BI47="",X47="",BG47="",V47="",BH47="",W47=""),"",_xlfn.IFS((IFERROR(VALUE(TRIM(SUBSTITUTE(BI47,CHAR(160),""))),0))=0,"Attention : montant présenté entièrement écarté",(IFERROR(VALUE(TRIM(SUBSTITUTE(BI47,CHAR(160),""))),0))&gt;(IFERROR(VALUE(TRIM(SUBSTITUTE(X47,CHAR(160),""))),0)),"KO : Le montant retenu TTC est supérieur au montant présenté TTC. Merci de revoir la ligne de dépense ou plafonner son montant.",(IFERROR(VALUE(TRIM(SUBSTITUTE(BG47,CHAR(160),""))),0))&gt;(IFERROR(VALUE(TRIM(SUBSTITUTE(V47,CHAR(160),""))),0)),"Attention : Le montant retenu HT est supérieur au montant HT présenté. Merci de revoir la ligne de dépense,plafonner son montant,ou justifier la reventillation HT/TVA.",(IFERROR(VALUE(TRIM(SUBSTITUTE(BH47,CHAR(160),""))),0))&gt;(IFERROR(VALUE(TRIM(SUBSTITUTE(W47,CHAR(160),""))),0)),"Attention : Le montant TVA retenu est supérieur au montant TVA présenté. Merci de revoir la ligne de dépense,plafonner son montant,ou justifier la reventillation HT/TVA.",(IFERROR(VALUE(TRIM(SUBSTITUTE(X47,CHAR(160),""))),0))=0,"Attention : montant présenté entièrement écarté",(IFERROR(VALUE(TRIM(SUBSTITUTE(BI47,CHAR(160),""))),0))=(IFERROR(VALUE(TRIM(SUBSTITUTE(X47,CHAR(160),""))),0)),"OK",
  AND((IFERROR(VALUE(TRIM(SUBSTITUTE(BI47,CHAR(160),""))),0))&lt;(IFERROR(VALUE(TRIM(SUBSTITUTE(X47,CHAR(160),""))),0)),((IFERROR(VALUE(TRIM(SUBSTITUTE(X47,CHAR(160),""))),0))-(IFERROR(VALUE(TRIM(SUBSTITUTE(BI47,CHAR(160),""))),0)))&lt;0.01),"OK",(IFERROR(VALUE(TRIM(SUBSTITUTE(BI47,CHAR(160),""))),0))&lt;(IFERROR(VALUE(TRIM(SUBSTITUTE(X47,CHAR(160),""))),0)),"Attention : Montant présenté partiellement écarté.",
  TRUE,""))</f>
        <v/>
      </c>
      <c r="BU47" s="373" t="str" cm="1">
        <f t="array" ref="BU47">IF(OR(AF47="",BP47=""),"",_xlfn.IFS((IFERROR(VALUE(TRIM(SUBSTITUTE(BP47,CHAR(160),""))),0))&gt;(IFERROR(VALUE(TRIM(SUBSTITUTE(AF47,CHAR(160),""))),0)),"KO : Le montant retenu est supérieur au montant présenté. Merci de revoir la ligne de contribution ou plafonner son montant.",(IFERROR(VALUE(TRIM(SUBSTITUTE(AF47,CHAR(160),""))),0))=0,"Attention : montant présenté entièrement écarté",(IFERROR(VALUE(TRIM(SUBSTITUTE(BP47,CHAR(160),""))),0))=(IFERROR(VALUE(TRIM(SUBSTITUTE(AF47,CHAR(160),""))),0)),"OK",(IFERROR(VALUE(TRIM(SUBSTITUTE(BP47,CHAR(160),""))),0))&lt;(IFERROR(VALUE(TRIM(SUBSTITUTE(AF47,CHAR(160),""))),0)),"Attention : montant présenté partiellement écarté.",TRUE,""))</f>
        <v>Attention : montant présenté entièrement écarté</v>
      </c>
      <c r="BV47" s="395" t="str">
        <f t="shared" si="21"/>
        <v/>
      </c>
      <c r="BW47" s="396" t="str">
        <f t="shared" si="22"/>
        <v/>
      </c>
      <c r="BX47" s="397" t="str">
        <f t="shared" si="23"/>
        <v/>
      </c>
    </row>
    <row r="48" spans="1:76" ht="14.25" customHeight="1">
      <c r="A48" s="375">
        <v>39</v>
      </c>
      <c r="B48" s="333"/>
      <c r="C48" s="333"/>
      <c r="D48" s="333"/>
      <c r="E48" s="377"/>
      <c r="F48" s="376"/>
      <c r="G48" s="376"/>
      <c r="H48" s="400"/>
      <c r="I48" s="400"/>
      <c r="J48" s="400"/>
      <c r="K48" s="612"/>
      <c r="L48" s="613"/>
      <c r="M48" s="613"/>
      <c r="N48" s="395" t="str">
        <f t="shared" si="35"/>
        <v/>
      </c>
      <c r="O48" s="613"/>
      <c r="P48" s="613"/>
      <c r="Q48" s="610" t="str">
        <f t="shared" si="0"/>
        <v/>
      </c>
      <c r="R48" s="613"/>
      <c r="S48" s="613"/>
      <c r="T48" s="610" t="str">
        <f t="shared" si="1"/>
        <v/>
      </c>
      <c r="U48" s="611"/>
      <c r="V48" s="395" t="str" cm="1">
        <f t="array" ref="V48">IF((_xlfn.IFS(TRIM(SUBSTITUTE(U48,CHAR(160),""))="Devis 1",IFERROR(VALUE(TRIM(SUBSTITUTE(L48,CHAR(160),""))),0),TRIM(SUBSTITUTE(U48,CHAR(160),""))="Devis 2",IFERROR(VALUE(TRIM(SUBSTITUTE(O48,CHAR(160),""))),0),TRIM(SUBSTITUTE(U48,CHAR(160),""))="Devis 3",IFERROR(VALUE(TRIM(SUBSTITUTE(R48,CHAR(160),""))),0),TRUE,0))=0,"",_xlfn.IFS(TRIM(SUBSTITUTE(U48,CHAR(160),""))="Devis 1",IFERROR(VALUE(TRIM(SUBSTITUTE(L48,CHAR(160),""))),0),TRIM(SUBSTITUTE(U48,CHAR(160),""))="Devis 2",IFERROR(VALUE(TRIM(SUBSTITUTE(O48,CHAR(160),""))),0),TRIM(SUBSTITUTE(U48,CHAR(160),""))="Devis 3",IFERROR(VALUE(TRIM(SUBSTITUTE(R48,CHAR(160),""))),0),TRUE,0))</f>
        <v/>
      </c>
      <c r="W48" s="396" t="str" cm="1">
        <f t="array" ref="W48">IF((_xlfn.IFS(TRIM(SUBSTITUTE(U48,CHAR(160),""))="Devis 1",IFERROR(VALUE(TRIM(SUBSTITUTE(M48,CHAR(160),""))),0),TRIM(SUBSTITUTE(U48,CHAR(160),""))="Devis 2",IFERROR(VALUE(TRIM(SUBSTITUTE(P48,CHAR(160),""))),0),TRIM(SUBSTITUTE(U48,CHAR(160),""))="Devis 3",IFERROR(VALUE(TRIM(SUBSTITUTE(S48,CHAR(160),""))),0),TRUE,0))=0,"",_xlfn.IFS(TRIM(SUBSTITUTE(U48,CHAR(160),""))="Devis 1",IFERROR(VALUE(TRIM(SUBSTITUTE(M48,CHAR(160),""))),0),TRIM(SUBSTITUTE(U48,CHAR(160),""))="Devis 2",IFERROR(VALUE(TRIM(SUBSTITUTE(P48,CHAR(160),""))),0),TRIM(SUBSTITUTE(U48,CHAR(160),""))="Devis 3",IFERROR(VALUE(TRIM(SUBSTITUTE(S48,CHAR(160),""))),0),TRUE,0))</f>
        <v/>
      </c>
      <c r="X48" s="926" t="str" cm="1">
        <f t="array" ref="X48">IF((_xlfn.IFS(TRIM(SUBSTITUTE(U48,CHAR(160),""))="Devis 1",IFERROR(VALUE(TRIM(SUBSTITUTE(N48,CHAR(160),""))),0),TRIM(SUBSTITUTE(U48,CHAR(160),""))="Devis 2",IFERROR(VALUE(TRIM(SUBSTITUTE(Q48,CHAR(160),""))),0),TRIM(SUBSTITUTE(U48,CHAR(160),""))="Devis 3",IFERROR(VALUE(TRIM(SUBSTITUTE(T48,CHAR(160),""))),0),TRUE,0))=0,"",_xlfn.IFS(TRIM(SUBSTITUTE(U48,CHAR(160),""))="Devis 1",IFERROR(VALUE(TRIM(SUBSTITUTE(N48,CHAR(160),""))),0),TRIM(SUBSTITUTE(U48,CHAR(160),""))="Devis 2",IFERROR(VALUE(TRIM(SUBSTITUTE(Q48,CHAR(160),""))),0),TRIM(SUBSTITUTE(U48,CHAR(160),""))="Devis 3",IFERROR(VALUE(TRIM(SUBSTITUTE(T48,CHAR(160),""))),0),TRUE,0))</f>
        <v/>
      </c>
      <c r="Y48" s="933"/>
      <c r="Z48" s="929"/>
      <c r="AA48" s="935" t="str">
        <f t="shared" si="24"/>
        <v/>
      </c>
      <c r="AB48" s="934" t="str" cm="1">
        <f t="array" ref="AB48">IF(Y48="","",_xlfn.IFS(Y48=$CB$6,70,Y48=$CB$7,90,Y48=$CB$8,70,Y48=$CB$9,90,Y48=$CB$10,110))</f>
        <v/>
      </c>
      <c r="AC48" s="379"/>
      <c r="AD48" s="934" t="str" cm="1">
        <f t="array" ref="AD48">IF(Y48="","",_xlfn.IFS(Y48=$CB$6,15.75,Y48=$CB$7,21,Y48=$CB$8,15.25,Y48=$CB$9,15.25,Y48=$CB$10,15.25))</f>
        <v/>
      </c>
      <c r="AE48" s="380"/>
      <c r="AF48" s="936">
        <f t="shared" si="25"/>
        <v>0</v>
      </c>
      <c r="AG48" s="401" t="str">
        <f t="shared" si="26"/>
        <v/>
      </c>
      <c r="AH48" s="398"/>
      <c r="AI48" s="383" t="str">
        <f t="shared" si="2"/>
        <v/>
      </c>
      <c r="AJ48" s="384" t="str">
        <f t="shared" si="3"/>
        <v/>
      </c>
      <c r="AK48" s="384" t="str">
        <f t="shared" si="4"/>
        <v/>
      </c>
      <c r="AL48" s="377"/>
      <c r="AM48" s="385" t="str">
        <f t="shared" si="5"/>
        <v/>
      </c>
      <c r="AN48" s="384" t="str">
        <f t="shared" si="6"/>
        <v/>
      </c>
      <c r="AO48" s="384" t="str">
        <f t="shared" si="7"/>
        <v/>
      </c>
      <c r="AP48" s="384" t="str">
        <f t="shared" si="8"/>
        <v/>
      </c>
      <c r="AQ48" s="384" t="str">
        <f t="shared" si="9"/>
        <v/>
      </c>
      <c r="AR48" s="384" t="str">
        <f t="shared" si="10"/>
        <v/>
      </c>
      <c r="AS48" s="386" t="str">
        <f t="shared" si="11"/>
        <v/>
      </c>
      <c r="AT48" s="387" t="str">
        <f t="shared" si="12"/>
        <v/>
      </c>
      <c r="AU48" s="388" t="str">
        <f t="shared" si="36"/>
        <v/>
      </c>
      <c r="AV48" s="387" t="str">
        <f t="shared" si="13"/>
        <v/>
      </c>
      <c r="AW48" s="387" t="str">
        <f t="shared" si="14"/>
        <v/>
      </c>
      <c r="AX48" s="389" t="str">
        <f t="shared" si="27"/>
        <v/>
      </c>
      <c r="AY48" s="387" t="str">
        <f t="shared" si="15"/>
        <v/>
      </c>
      <c r="AZ48" s="387" t="str">
        <f t="shared" si="16"/>
        <v/>
      </c>
      <c r="BA48" s="389" t="str">
        <f t="shared" si="28"/>
        <v/>
      </c>
      <c r="BB48" s="390" t="str">
        <f t="shared" si="17"/>
        <v/>
      </c>
      <c r="BC48" s="391"/>
      <c r="BD48" s="390" t="str">
        <f t="shared" si="29"/>
        <v/>
      </c>
      <c r="BE48" s="390" t="str">
        <f t="shared" si="29"/>
        <v/>
      </c>
      <c r="BF48" s="390" t="str">
        <f t="shared" si="37"/>
        <v/>
      </c>
      <c r="BG48" s="392" t="str" cm="1">
        <f t="array" ref="BG48">IF(AS48="","",IF((IFERROR(_xlfn.IFS($BB48="Devis 1",(IFERROR(VALUE(TRIM(SUBSTITUTE(AS48,CHAR(160),""))),0)),$BB48="Devis 2",(IFERROR(VALUE(TRIM(SUBSTITUTE(AV48,CHAR(160),""))),0)),$BB48="Devis 3",(IFERROR(VALUE(TRIM(SUBSTITUTE(AY48,CHAR(160),""))),0))),0))=0,"",(IFERROR(_xlfn.IFS($BB48="Devis 1",(IFERROR(VALUE(TRIM(SUBSTITUTE(AS48,CHAR(160),""))),0)),$BB48="Devis 2",(IFERROR(VALUE(TRIM(SUBSTITUTE(AV48,CHAR(160),""))),0)),$BB48="Devis 3",(IFERROR(VALUE(TRIM(SUBSTITUTE(AY48,CHAR(160),""))),0))),0))))</f>
        <v/>
      </c>
      <c r="BH48" s="392" t="str" cm="1">
        <f t="array" ref="BH48">IF(AT48="","",IF((IFERROR(_xlfn.IFS($BB48="Devis 1",(IFERROR(VALUE(TRIM(SUBSTITUTE(AT48,CHAR(160),""))),0)),$BB48="Devis 2",(IFERROR(VALUE(TRIM(SUBSTITUTE(AW48,CHAR(160),""))),0)),$BB48="Devis 3",(IFERROR(VALUE(TRIM(SUBSTITUTE(AZ48,CHAR(160),""))),0))),0))=0,"",(IFERROR(_xlfn.IFS($BB48="Devis 1",(IFERROR(VALUE(TRIM(SUBSTITUTE(AT48,CHAR(160),""))),0)),$BB48="Devis 2",(IFERROR(VALUE(TRIM(SUBSTITUTE(AW48,CHAR(160),""))),0)),$BB48="Devis 3",(IFERROR(VALUE(TRIM(SUBSTITUTE(AZ48,CHAR(160),""))),0))),0))))</f>
        <v/>
      </c>
      <c r="BI48" s="700" t="str" cm="1">
        <f t="array" ref="BI48">IF(AU48="","",IF(IFERROR(_xlfn.IFS($BB48="Devis 1",IFERROR(VALUE(TRIM(SUBSTITUTE(AU48,CHAR(160),""))),0),$BB48="Devis 2",IFERROR(VALUE(TRIM(SUBSTITUTE(AX48,CHAR(160),""))),0),$BB48="Devis 3",IFERROR(VALUE(TRIM(SUBSTITUTE(BA48,CHAR(160),""))),0)),0)=0,"",IFERROR(_xlfn.IFS($BB48="Devis 1",IFERROR(VALUE(TRIM(SUBSTITUTE(AU48,CHAR(160),""))),0),$BB48="Devis 2",IFERROR(VALUE(TRIM(SUBSTITUTE(AX48,CHAR(160),""))),0),$BB48="Devis 3",IFERROR(VALUE(TRIM(SUBSTITUTE(BA48,CHAR(160),""))),0)),0)))</f>
        <v/>
      </c>
      <c r="BJ48" s="739" t="str">
        <f t="shared" si="18"/>
        <v/>
      </c>
      <c r="BK48" s="740" t="str">
        <f t="shared" si="19"/>
        <v/>
      </c>
      <c r="BL48" s="741" t="str">
        <f>IF(AB48="","",AB48)</f>
        <v/>
      </c>
      <c r="BM48" s="705"/>
      <c r="BN48" s="741" t="str">
        <f t="shared" si="32"/>
        <v/>
      </c>
      <c r="BO48" s="705"/>
      <c r="BP48" s="711">
        <f t="shared" si="20"/>
        <v>0</v>
      </c>
      <c r="BQ48" s="372" t="str">
        <f t="shared" si="34"/>
        <v/>
      </c>
      <c r="BR48" s="718"/>
      <c r="BS48" s="393" t="str" cm="1">
        <f t="array" ref="BS48">IF(OR(BI48="",BF48="",BG48="",BD48="",BH48="",BE48=""),"",_xlfn.IFS((IFERROR(VALUE(TRIM(SUBSTITUTE(BI48,CHAR(160),""))),0))&gt;(IFERROR(VALUE(TRIM(SUBSTITUTE(BF48,CHAR(160),""))),0)),"KO : Le montant retenu TTC est supérieur au montant raisonnable TTC. Merci de revoir la ligne de dépense ou plafonner son montant.",(IFERROR(VALUE(TRIM(SUBSTITUTE(BG48,CHAR(160),""))),0))&gt;(IFERROR(VALUE(TRIM(SUBSTITUTE(BD48,CHAR(160),""))),0)),"Attention : Le montant retenu HT est supérieur au montant HT raisonnable. Merci de revoir la ligne de dépense, plafonner son montant, ou justifier la reventillation HT / TVA.",(IFERROR(VALUE(TRIM(SUBSTITUTE(BH48,CHAR(160),""))),0))&gt;(IFERROR(VALUE(TRIM(SUBSTITUTE(BE48,CHAR(160),""))),0)),"Attention : Le montant TVA retenu est supérieur au montant TVA raisonnable. Merci de revoir la ligne de dépense, plafonner son montant, ou justifier la reventillation HT / TVA.",(IFERROR(VALUE(TRIM(SUBSTITUTE(BI48,CHAR(160),""))),0))=0,"",(IFERROR(VALUE(TRIM(SUBSTITUTE(BF48,CHAR(160),""))),0))=(IFERROR(VALUE(TRIM(SUBSTITUTE(BI48,CHAR(160),""))),0)),"OK",(IFERROR(VALUE(TRIM(SUBSTITUTE(BF48,CHAR(160),""))),0))&gt;(IFERROR(VALUE(TRIM(SUBSTITUTE(BI48,CHAR(160),""))),0))," OK : Montant instruit inférieur au montant raisonnable.",TRUE,""))</f>
        <v/>
      </c>
      <c r="BT48" s="394" t="str" cm="1">
        <f t="array" ref="BT48">IF(OR(BI48="",X48="",BG48="",V48="",BH48="",W48=""),"",_xlfn.IFS((IFERROR(VALUE(TRIM(SUBSTITUTE(BI48,CHAR(160),""))),0))=0,"Attention : montant présenté entièrement écarté",(IFERROR(VALUE(TRIM(SUBSTITUTE(BI48,CHAR(160),""))),0))&gt;(IFERROR(VALUE(TRIM(SUBSTITUTE(X48,CHAR(160),""))),0)),"KO : Le montant retenu TTC est supérieur au montant présenté TTC. Merci de revoir la ligne de dépense ou plafonner son montant.",(IFERROR(VALUE(TRIM(SUBSTITUTE(BG48,CHAR(160),""))),0))&gt;(IFERROR(VALUE(TRIM(SUBSTITUTE(V48,CHAR(160),""))),0)),"Attention : Le montant retenu HT est supérieur au montant HT présenté. Merci de revoir la ligne de dépense,plafonner son montant,ou justifier la reventillation HT/TVA.",(IFERROR(VALUE(TRIM(SUBSTITUTE(BH48,CHAR(160),""))),0))&gt;(IFERROR(VALUE(TRIM(SUBSTITUTE(W48,CHAR(160),""))),0)),"Attention : Le montant TVA retenu est supérieur au montant TVA présenté. Merci de revoir la ligne de dépense,plafonner son montant,ou justifier la reventillation HT/TVA.",(IFERROR(VALUE(TRIM(SUBSTITUTE(X48,CHAR(160),""))),0))=0,"Attention : montant présenté entièrement écarté",(IFERROR(VALUE(TRIM(SUBSTITUTE(BI48,CHAR(160),""))),0))=(IFERROR(VALUE(TRIM(SUBSTITUTE(X48,CHAR(160),""))),0)),"OK",
  AND((IFERROR(VALUE(TRIM(SUBSTITUTE(BI48,CHAR(160),""))),0))&lt;(IFERROR(VALUE(TRIM(SUBSTITUTE(X48,CHAR(160),""))),0)),((IFERROR(VALUE(TRIM(SUBSTITUTE(X48,CHAR(160),""))),0))-(IFERROR(VALUE(TRIM(SUBSTITUTE(BI48,CHAR(160),""))),0)))&lt;0.01),"OK",(IFERROR(VALUE(TRIM(SUBSTITUTE(BI48,CHAR(160),""))),0))&lt;(IFERROR(VALUE(TRIM(SUBSTITUTE(X48,CHAR(160),""))),0)),"Attention : Montant présenté partiellement écarté.",
  TRUE,""))</f>
        <v/>
      </c>
      <c r="BU48" s="373" t="str" cm="1">
        <f t="array" ref="BU48">IF(OR(AF48="",BP48=""),"",_xlfn.IFS((IFERROR(VALUE(TRIM(SUBSTITUTE(BP48,CHAR(160),""))),0))&gt;(IFERROR(VALUE(TRIM(SUBSTITUTE(AF48,CHAR(160),""))),0)),"KO : Le montant retenu est supérieur au montant présenté. Merci de revoir la ligne de contribution ou plafonner son montant.",(IFERROR(VALUE(TRIM(SUBSTITUTE(AF48,CHAR(160),""))),0))=0,"Attention : montant présenté entièrement écarté",(IFERROR(VALUE(TRIM(SUBSTITUTE(BP48,CHAR(160),""))),0))=(IFERROR(VALUE(TRIM(SUBSTITUTE(AF48,CHAR(160),""))),0)),"OK",(IFERROR(VALUE(TRIM(SUBSTITUTE(BP48,CHAR(160),""))),0))&lt;(IFERROR(VALUE(TRIM(SUBSTITUTE(AF48,CHAR(160),""))),0)),"Attention : montant présenté partiellement écarté.",TRUE,""))</f>
        <v>Attention : montant présenté entièrement écarté</v>
      </c>
      <c r="BV48" s="395" t="str">
        <f t="shared" si="21"/>
        <v/>
      </c>
      <c r="BW48" s="396" t="str">
        <f t="shared" si="22"/>
        <v/>
      </c>
      <c r="BX48" s="397" t="str">
        <f t="shared" si="23"/>
        <v/>
      </c>
    </row>
    <row r="49" spans="1:76" ht="33" thickBot="1">
      <c r="A49" s="402">
        <v>40</v>
      </c>
      <c r="B49" s="333"/>
      <c r="C49" s="333"/>
      <c r="D49" s="333"/>
      <c r="E49" s="404"/>
      <c r="F49" s="403"/>
      <c r="G49" s="403"/>
      <c r="H49" s="405"/>
      <c r="I49" s="405"/>
      <c r="J49" s="614"/>
      <c r="K49" s="615"/>
      <c r="L49" s="616"/>
      <c r="M49" s="616"/>
      <c r="N49" s="419" t="str">
        <f>IF(OR(L49="", M49=""), "", IFERROR(VALUE(TRIM(SUBSTITUTE(L49,CHAR(160),""))),0) + IFERROR(VALUE(TRIM(SUBSTITUTE(M49,CHAR(160),""))),0))</f>
        <v/>
      </c>
      <c r="O49" s="616"/>
      <c r="P49" s="616"/>
      <c r="Q49" s="617" t="str">
        <f t="shared" si="0"/>
        <v/>
      </c>
      <c r="R49" s="618"/>
      <c r="S49" s="618"/>
      <c r="T49" s="619" t="str">
        <f>IF(OR(R49="", S49=""), "", IFERROR(VALUE(TRIM(SUBSTITUTE(R49,CHAR(160),""))),0) + IFERROR(VALUE(TRIM(SUBSTITUTE(S49,CHAR(160),""))),0))</f>
        <v/>
      </c>
      <c r="U49" s="620"/>
      <c r="V49" s="419" t="str" cm="1">
        <f t="array" ref="V49">IF((_xlfn.IFS(TRIM(SUBSTITUTE(U49,CHAR(160),""))="Devis 1",IFERROR(VALUE(TRIM(SUBSTITUTE(L49,CHAR(160),""))),0),TRIM(SUBSTITUTE(U49,CHAR(160),""))="Devis 2",IFERROR(VALUE(TRIM(SUBSTITUTE(O49,CHAR(160),""))),0),TRIM(SUBSTITUTE(U49,CHAR(160),""))="Devis 3",IFERROR(VALUE(TRIM(SUBSTITUTE(R49,CHAR(160),""))),0),TRUE,0))=0,"",_xlfn.IFS(TRIM(SUBSTITUTE(U49,CHAR(160),""))="Devis 1",IFERROR(VALUE(TRIM(SUBSTITUTE(L49,CHAR(160),""))),0),TRIM(SUBSTITUTE(U49,CHAR(160),""))="Devis 2",IFERROR(VALUE(TRIM(SUBSTITUTE(O49,CHAR(160),""))),0),TRIM(SUBSTITUTE(U49,CHAR(160),""))="Devis 3",IFERROR(VALUE(TRIM(SUBSTITUTE(R49,CHAR(160),""))),0),TRUE,0))</f>
        <v/>
      </c>
      <c r="W49" s="608" t="str" cm="1">
        <f t="array" ref="W49">IF((_xlfn.IFS(TRIM(SUBSTITUTE(U49,CHAR(160),""))="Devis 1",IFERROR(VALUE(TRIM(SUBSTITUTE(M49,CHAR(160),""))),0),TRIM(SUBSTITUTE(U49,CHAR(160),""))="Devis 2",IFERROR(VALUE(TRIM(SUBSTITUTE(P49,CHAR(160),""))),0),TRIM(SUBSTITUTE(U49,CHAR(160),""))="Devis 3",IFERROR(VALUE(TRIM(SUBSTITUTE(S49,CHAR(160),""))),0),TRUE,0))=0,"",_xlfn.IFS(TRIM(SUBSTITUTE(U49,CHAR(160),""))="Devis 1",IFERROR(VALUE(TRIM(SUBSTITUTE(M49,CHAR(160),""))),0),TRIM(SUBSTITUTE(U49,CHAR(160),""))="Devis 2",IFERROR(VALUE(TRIM(SUBSTITUTE(P49,CHAR(160),""))),0),TRIM(SUBSTITUTE(U49,CHAR(160),""))="Devis 3",IFERROR(VALUE(TRIM(SUBSTITUTE(S49,CHAR(160),""))),0),TRUE,0))</f>
        <v/>
      </c>
      <c r="X49" s="927" t="str" cm="1">
        <f t="array" ref="X49">IF((_xlfn.IFS(TRIM(SUBSTITUTE(U49,CHAR(160),""))="Devis 1",IFERROR(VALUE(TRIM(SUBSTITUTE(N49,CHAR(160),""))),0),TRIM(SUBSTITUTE(U49,CHAR(160),""))="Devis 2",IFERROR(VALUE(TRIM(SUBSTITUTE(Q49,CHAR(160),""))),0),TRIM(SUBSTITUTE(U49,CHAR(160),""))="Devis 3",IFERROR(VALUE(TRIM(SUBSTITUTE(T49,CHAR(160),""))),0),TRUE,0))=0,"",_xlfn.IFS(TRIM(SUBSTITUTE(U49,CHAR(160),""))="Devis 1",IFERROR(VALUE(TRIM(SUBSTITUTE(N49,CHAR(160),""))),0),TRIM(SUBSTITUTE(U49,CHAR(160),""))="Devis 2",IFERROR(VALUE(TRIM(SUBSTITUTE(Q49,CHAR(160),""))),0),TRIM(SUBSTITUTE(U49,CHAR(160),""))="Devis 3",IFERROR(VALUE(TRIM(SUBSTITUTE(T49,CHAR(160),""))),0),TRUE,0))</f>
        <v/>
      </c>
      <c r="Y49" s="933"/>
      <c r="Z49" s="930"/>
      <c r="AA49" s="935" t="str">
        <f t="shared" si="24"/>
        <v/>
      </c>
      <c r="AB49" s="934" t="str" cm="1">
        <f t="array" ref="AB49">IF(Y49="","",_xlfn.IFS(Y49=$CB$6,70,Y49=$CB$7,90,Y49=$CB$8,70,Y49=$CB$9,90,Y49=$CB$10,110))</f>
        <v/>
      </c>
      <c r="AC49" s="621"/>
      <c r="AD49" s="934" t="str" cm="1">
        <f t="array" ref="AD49">IF(Y49="","",_xlfn.IFS(Y49=$CB$6,15.75,Y49=$CB$7,21,Y49=$CB$8,15.25,Y49=$CB$9,15.25,Y49=$CB$10,15.25))</f>
        <v/>
      </c>
      <c r="AE49" s="622"/>
      <c r="AF49" s="936">
        <f t="shared" si="25"/>
        <v>0</v>
      </c>
      <c r="AG49" s="623" t="str">
        <f t="shared" si="26"/>
        <v/>
      </c>
      <c r="AH49" s="624"/>
      <c r="AI49" s="625" t="str">
        <f t="shared" si="2"/>
        <v/>
      </c>
      <c r="AJ49" s="408" t="str">
        <f t="shared" si="3"/>
        <v/>
      </c>
      <c r="AK49" s="406" t="str">
        <f t="shared" si="4"/>
        <v/>
      </c>
      <c r="AL49" s="404"/>
      <c r="AM49" s="407" t="str">
        <f t="shared" si="5"/>
        <v/>
      </c>
      <c r="AN49" s="408" t="str">
        <f t="shared" si="6"/>
        <v/>
      </c>
      <c r="AO49" s="408" t="str">
        <f t="shared" si="7"/>
        <v/>
      </c>
      <c r="AP49" s="408" t="str">
        <f t="shared" si="8"/>
        <v/>
      </c>
      <c r="AQ49" s="408" t="str">
        <f t="shared" si="9"/>
        <v/>
      </c>
      <c r="AR49" s="408" t="str">
        <f t="shared" si="10"/>
        <v/>
      </c>
      <c r="AS49" s="409" t="str">
        <f t="shared" si="11"/>
        <v/>
      </c>
      <c r="AT49" s="410" t="str">
        <f t="shared" si="12"/>
        <v/>
      </c>
      <c r="AU49" s="411" t="str">
        <f t="shared" si="36"/>
        <v/>
      </c>
      <c r="AV49" s="410" t="str">
        <f t="shared" si="13"/>
        <v/>
      </c>
      <c r="AW49" s="410" t="str">
        <f t="shared" si="14"/>
        <v/>
      </c>
      <c r="AX49" s="412" t="str">
        <f t="shared" si="27"/>
        <v/>
      </c>
      <c r="AY49" s="410" t="str">
        <f t="shared" si="15"/>
        <v/>
      </c>
      <c r="AZ49" s="410" t="str">
        <f t="shared" si="16"/>
        <v/>
      </c>
      <c r="BA49" s="412" t="str">
        <f t="shared" si="28"/>
        <v/>
      </c>
      <c r="BB49" s="413" t="str">
        <f t="shared" si="17"/>
        <v/>
      </c>
      <c r="BC49" s="414"/>
      <c r="BD49" s="413" t="str">
        <f t="shared" si="29"/>
        <v/>
      </c>
      <c r="BE49" s="413" t="str">
        <f>IF(AT49="","",IF((1.15*MIN(IF((IFERROR(VALUE(TRIM(SUBSTITUTE(AT49,CHAR(160),""))),0))=0,1E+30,(IFERROR(VALUE(TRIM(SUBSTITUTE(AT49,CHAR(160),""))),0))),IF((IFERROR(VALUE(TRIM(SUBSTITUTE(AW49,CHAR(160),""))),0))=0,1E+30,(IFERROR(VALUE(TRIM(SUBSTITUTE(AW49,CHAR(160),""))),0))),IF((IFERROR(VALUE(TRIM(SUBSTITUTE(AZ49,CHAR(160),""))),0))=0,1E+30,(IFERROR(VALUE(TRIM(SUBSTITUTE(AZ49,CHAR(160),""))),0)))=0)),"",(1.15*MIN(IF((IFERROR(VALUE(TRIM(SUBSTITUTE(AT49,CHAR(160),""))),0))=0,1E+30,(IFERROR(VALUE(TRIM(SUBSTITUTE(AT49,CHAR(160),""))),0))),IF((IFERROR(VALUE(TRIM(SUBSTITUTE(AW49,CHAR(160),""))),0))=0,1E+30,(IFERROR(VALUE(TRIM(SUBSTITUTE(AW49,CHAR(160),""))),0))),IF((IFERROR(VALUE(TRIM(SUBSTITUTE(AZ49,CHAR(160),""))),0))=0,1E+30,(IFERROR(VALUE(TRIM(SUBSTITUTE(AZ49,CHAR(160),""))),0)))))))</f>
        <v/>
      </c>
      <c r="BF49" s="413" t="str">
        <f t="shared" si="37"/>
        <v/>
      </c>
      <c r="BG49" s="415" t="str" cm="1">
        <f t="array" ref="BG49">IF(AS49="","",IF((IFERROR(_xlfn.IFS($BB49="Devis 1",(IFERROR(VALUE(TRIM(SUBSTITUTE(AS49,CHAR(160),""))),0)),$BB49="Devis 2",(IFERROR(VALUE(TRIM(SUBSTITUTE(AV49,CHAR(160),""))),0)),$BB49="Devis 3",(IFERROR(VALUE(TRIM(SUBSTITUTE(AY49,CHAR(160),""))),0))),0))=0,"",(IFERROR(_xlfn.IFS($BB49="Devis 1",(IFERROR(VALUE(TRIM(SUBSTITUTE(AS49,CHAR(160),""))),0)),$BB49="Devis 2",(IFERROR(VALUE(TRIM(SUBSTITUTE(AV49,CHAR(160),""))),0)),$BB49="Devis 3",(IFERROR(VALUE(TRIM(SUBSTITUTE(AY49,CHAR(160),""))),0))),0))))</f>
        <v/>
      </c>
      <c r="BH49" s="415" t="str" cm="1">
        <f t="array" ref="BH49">IF(AT49="","",IF((IFERROR(_xlfn.IFS($BB49="Devis 1",(IFERROR(VALUE(TRIM(SUBSTITUTE(AT49,CHAR(160),""))),0)),$BB49="Devis 2",(IFERROR(VALUE(TRIM(SUBSTITUTE(AW49,CHAR(160),""))),0)),$BB49="Devis 3",(IFERROR(VALUE(TRIM(SUBSTITUTE(AZ49,CHAR(160),""))),0))),0))=0,"",(IFERROR(_xlfn.IFS($BB49="Devis 1",(IFERROR(VALUE(TRIM(SUBSTITUTE(AT49,CHAR(160),""))),0)),$BB49="Devis 2",(IFERROR(VALUE(TRIM(SUBSTITUTE(AW49,CHAR(160),""))),0)),$BB49="Devis 3",(IFERROR(VALUE(TRIM(SUBSTITUTE(AZ49,CHAR(160),""))),0))),0))))</f>
        <v/>
      </c>
      <c r="BI49" s="701" t="str" cm="1">
        <f t="array" ref="BI49">IF(AU49="","",IF(IFERROR(_xlfn.IFS($BB49="Devis 1",IFERROR(VALUE(TRIM(SUBSTITUTE(AU49,CHAR(160),""))),0),$BB49="Devis 2",IFERROR(VALUE(TRIM(SUBSTITUTE(AX49,CHAR(160),""))),0),$BB49="Devis 3",IFERROR(VALUE(TRIM(SUBSTITUTE(BA49,CHAR(160),""))),0)),0)=0,"",IFERROR(_xlfn.IFS($BB49="Devis 1",IFERROR(VALUE(TRIM(SUBSTITUTE(AU49,CHAR(160),""))),0),$BB49="Devis 2",IFERROR(VALUE(TRIM(SUBSTITUTE(AX49,CHAR(160),""))),0),$BB49="Devis 3",IFERROR(VALUE(TRIM(SUBSTITUTE(BA49,CHAR(160),""))),0)),0)))</f>
        <v/>
      </c>
      <c r="BJ49" s="739" t="str">
        <f t="shared" si="18"/>
        <v/>
      </c>
      <c r="BK49" s="740" t="str">
        <f t="shared" si="19"/>
        <v/>
      </c>
      <c r="BL49" s="741" t="str">
        <f>IF(AB49="","",AB49)</f>
        <v/>
      </c>
      <c r="BM49" s="710"/>
      <c r="BN49" s="741" t="str">
        <f t="shared" si="32"/>
        <v/>
      </c>
      <c r="BO49" s="723"/>
      <c r="BP49" s="711">
        <f t="shared" si="20"/>
        <v>0</v>
      </c>
      <c r="BQ49" s="372" t="str">
        <f t="shared" si="34"/>
        <v/>
      </c>
      <c r="BR49" s="719"/>
      <c r="BS49" s="416" t="str" cm="1">
        <f t="array" ref="BS49">IF(OR(BI49="",BF49="",BG49="",BD49="",BH49="",BE49=""),"",_xlfn.IFS((IFERROR(VALUE(TRIM(SUBSTITUTE(BI49,CHAR(160),""))),0))&gt;(IFERROR(VALUE(TRIM(SUBSTITUTE(BF49,CHAR(160),""))),0)),"KO : Le montant retenu TTC est supérieur au montant raisonnable TTC. Merci de revoir la ligne de dépense ou plafonner son montant.",(IFERROR(VALUE(TRIM(SUBSTITUTE(BG49,CHAR(160),""))),0))&gt;(IFERROR(VALUE(TRIM(SUBSTITUTE(BD49,CHAR(160),""))),0)),"Attention : Le montant retenu HT est supérieur au montant HT raisonnable. Merci de revoir la ligne de dépense, plafonner son montant, ou justifier la reventillation HT / TVA.",(IFERROR(VALUE(TRIM(SUBSTITUTE(BH49,CHAR(160),""))),0))&gt;(IFERROR(VALUE(TRIM(SUBSTITUTE(BE49,CHAR(160),""))),0)),"Attention : Le montant TVA retenu est supérieur au montant TVA raisonnable. Merci de revoir la ligne de dépense, plafonner son montant, ou justifier la reventillation HT / TVA.",(IFERROR(VALUE(TRIM(SUBSTITUTE(BI49,CHAR(160),""))),0))=0,"",(IFERROR(VALUE(TRIM(SUBSTITUTE(BF49,CHAR(160),""))),0))=(IFERROR(VALUE(TRIM(SUBSTITUTE(BI49,CHAR(160),""))),0)),"OK",(IFERROR(VALUE(TRIM(SUBSTITUTE(BF49,CHAR(160),""))),0))&gt;(IFERROR(VALUE(TRIM(SUBSTITUTE(BI49,CHAR(160),""))),0))," OK : Montant instruit inférieur au montant raisonnable.",TRUE,""))</f>
        <v/>
      </c>
      <c r="BT49" s="417" t="str" cm="1">
        <f t="array" ref="BT49">IF(OR(BI49="",X49="",BG49="",V49="",BH49="",W49=""),"",_xlfn.IFS((IFERROR(VALUE(TRIM(SUBSTITUTE(BI49,CHAR(160),""))),0))=0,"Attention : montant présenté entièrement écarté",(IFERROR(VALUE(TRIM(SUBSTITUTE(BI49,CHAR(160),""))),0))&gt;(IFERROR(VALUE(TRIM(SUBSTITUTE(X49,CHAR(160),""))),0)),"KO : Le montant retenu TTC est supérieur au montant présenté TTC. Merci de revoir la ligne de dépense ou plafonner son montant.",(IFERROR(VALUE(TRIM(SUBSTITUTE(BG49,CHAR(160),""))),0))&gt;(IFERROR(VALUE(TRIM(SUBSTITUTE(V49,CHAR(160),""))),0)),"Attention : Le montant retenu HT est supérieur au montant HT présenté. Merci de revoir la ligne de dépense,plafonner son montant,ou justifier la reventillation HT/TVA.",(IFERROR(VALUE(TRIM(SUBSTITUTE(BH49,CHAR(160),""))),0))&gt;(IFERROR(VALUE(TRIM(SUBSTITUTE(W49,CHAR(160),""))),0)),"Attention : Le montant TVA retenu est supérieur au montant TVA présenté. Merci de revoir la ligne de dépense,plafonner son montant,ou justifier la reventillation HT/TVA.",(IFERROR(VALUE(TRIM(SUBSTITUTE(X49,CHAR(160),""))),0))=0,"Attention : montant présenté entièrement écarté",(IFERROR(VALUE(TRIM(SUBSTITUTE(BI49,CHAR(160),""))),0))=(IFERROR(VALUE(TRIM(SUBSTITUTE(X49,CHAR(160),""))),0)),"OK",
  AND((IFERROR(VALUE(TRIM(SUBSTITUTE(BI49,CHAR(160),""))),0))&lt;(IFERROR(VALUE(TRIM(SUBSTITUTE(X49,CHAR(160),""))),0)),((IFERROR(VALUE(TRIM(SUBSTITUTE(X49,CHAR(160),""))),0))-(IFERROR(VALUE(TRIM(SUBSTITUTE(BI49,CHAR(160),""))),0)))&lt;0.01),"OK",(IFERROR(VALUE(TRIM(SUBSTITUTE(BI49,CHAR(160),""))),0))&lt;(IFERROR(VALUE(TRIM(SUBSTITUTE(X49,CHAR(160),""))),0)),"Attention : Montant présenté partiellement écarté.",
  TRUE,""))</f>
        <v/>
      </c>
      <c r="BU49" s="418" t="str" cm="1">
        <f t="array" ref="BU49">IF(OR(AF49="",BP49=""),"",_xlfn.IFS((IFERROR(VALUE(TRIM(SUBSTITUTE(BP49,CHAR(160),""))),0))&gt;(IFERROR(VALUE(TRIM(SUBSTITUTE(AF49,CHAR(160),""))),0)),"KO : Le montant retenu est supérieur au montant présenté. Merci de revoir la ligne de contribution ou plafonner son montant.",(IFERROR(VALUE(TRIM(SUBSTITUTE(AF49,CHAR(160),""))),0))=0,"Attention : montant présenté entièrement écarté",(IFERROR(VALUE(TRIM(SUBSTITUTE(BP49,CHAR(160),""))),0))=(IFERROR(VALUE(TRIM(SUBSTITUTE(AF49,CHAR(160),""))),0)),"OK",(IFERROR(VALUE(TRIM(SUBSTITUTE(BP49,CHAR(160),""))),0))&lt;(IFERROR(VALUE(TRIM(SUBSTITUTE(AF49,CHAR(160),""))),0)),"Attention : montant présenté partiellement écarté.",TRUE,""))</f>
        <v>Attention : montant présenté entièrement écarté</v>
      </c>
      <c r="BV49" s="419" t="str">
        <f t="shared" si="21"/>
        <v/>
      </c>
      <c r="BW49" s="420" t="str">
        <f t="shared" si="22"/>
        <v/>
      </c>
      <c r="BX49" s="421" t="str">
        <f t="shared" si="23"/>
        <v/>
      </c>
    </row>
    <row r="50" spans="1:76" ht="17.100000000000001" thickBot="1">
      <c r="B50" s="422"/>
      <c r="C50" s="280"/>
      <c r="D50" s="423"/>
      <c r="E50" s="423"/>
      <c r="F50" s="423"/>
      <c r="G50" s="423"/>
      <c r="H50" s="423"/>
      <c r="I50" s="423"/>
      <c r="J50" s="423"/>
      <c r="O50" s="423"/>
      <c r="P50" s="423"/>
      <c r="Q50" s="423"/>
      <c r="R50" s="423"/>
      <c r="S50" s="423"/>
      <c r="U50" s="720" t="s">
        <v>165</v>
      </c>
      <c r="V50" s="721">
        <f>SUM(V10:V49)</f>
        <v>3000</v>
      </c>
      <c r="W50" s="721">
        <f t="shared" ref="W50" si="38">SUM(W10:W49)</f>
        <v>100</v>
      </c>
      <c r="X50" s="721">
        <f>SUM(X10:X49)</f>
        <v>3100</v>
      </c>
      <c r="Y50" s="424"/>
      <c r="Z50" s="424"/>
      <c r="AA50" s="424"/>
      <c r="AB50" s="424"/>
      <c r="AC50" s="424"/>
      <c r="AD50" s="424"/>
      <c r="AF50" s="727">
        <f>SUM(AF10:AF49)</f>
        <v>105.25</v>
      </c>
      <c r="AG50" s="728">
        <f>SUM(AG10:AG49)</f>
        <v>3205.25</v>
      </c>
      <c r="AH50" s="423"/>
      <c r="AI50" s="422"/>
      <c r="AJ50" s="280"/>
      <c r="AK50" s="423"/>
      <c r="AL50" s="423"/>
      <c r="AM50" s="423"/>
      <c r="AN50" s="423"/>
      <c r="AR50" s="425"/>
      <c r="AS50" s="426"/>
      <c r="AT50" s="426"/>
      <c r="AU50" s="426"/>
      <c r="BF50" s="427" t="s">
        <v>166</v>
      </c>
      <c r="BG50" s="428">
        <f>SUM(BG10:BG49)</f>
        <v>3000</v>
      </c>
      <c r="BH50" s="428">
        <f>SUM(BH10:BH49)</f>
        <v>100</v>
      </c>
      <c r="BI50" s="429">
        <f>SUM(BI10:BI49)</f>
        <v>3100</v>
      </c>
      <c r="BJ50" s="717"/>
      <c r="BM50" s="426"/>
      <c r="BN50" s="426"/>
      <c r="BO50" s="724" t="s">
        <v>166</v>
      </c>
      <c r="BP50" s="725">
        <f>SUM(BP10:BP49)</f>
        <v>105.25</v>
      </c>
      <c r="BQ50" s="726">
        <f>SUM(BQ10:BQ49)</f>
        <v>3205.25</v>
      </c>
      <c r="BU50" s="720" t="s">
        <v>417</v>
      </c>
      <c r="BV50" s="721">
        <f>SUM(BV10:BV49)</f>
        <v>0</v>
      </c>
      <c r="BW50" s="721">
        <f>SUM(BW10:BW49)</f>
        <v>0</v>
      </c>
      <c r="BX50" s="722">
        <f>SUM(BX10:BX49)</f>
        <v>0</v>
      </c>
    </row>
    <row r="51" spans="1:76" ht="15.95" thickBot="1"/>
    <row r="52" spans="1:76">
      <c r="C52" s="430" t="s">
        <v>418</v>
      </c>
      <c r="D52" s="431"/>
      <c r="E52" s="431"/>
      <c r="F52" s="432"/>
      <c r="G52" s="433"/>
    </row>
    <row r="53" spans="1:76">
      <c r="C53" s="434"/>
      <c r="D53" s="435"/>
      <c r="E53" s="435"/>
      <c r="F53" s="436"/>
      <c r="G53" s="433"/>
    </row>
    <row r="54" spans="1:76">
      <c r="C54" s="434" t="s">
        <v>419</v>
      </c>
      <c r="D54" s="435"/>
      <c r="E54" s="435"/>
      <c r="F54" s="436"/>
      <c r="G54" s="433"/>
    </row>
    <row r="55" spans="1:76">
      <c r="C55" s="434"/>
      <c r="D55" s="435"/>
      <c r="E55" s="435"/>
      <c r="F55" s="436"/>
      <c r="G55" s="433"/>
    </row>
    <row r="56" spans="1:76">
      <c r="C56" s="434"/>
      <c r="D56" s="435"/>
      <c r="E56" s="435"/>
      <c r="F56" s="436"/>
      <c r="G56" s="433"/>
    </row>
    <row r="57" spans="1:76">
      <c r="C57" s="434" t="s">
        <v>420</v>
      </c>
      <c r="D57" s="435"/>
      <c r="E57" s="435"/>
      <c r="F57" s="436"/>
      <c r="G57" s="433"/>
    </row>
    <row r="58" spans="1:76">
      <c r="C58" s="437"/>
      <c r="D58" s="435"/>
      <c r="E58" s="435"/>
      <c r="F58" s="438"/>
      <c r="G58" s="439"/>
    </row>
    <row r="59" spans="1:76">
      <c r="C59" s="437"/>
      <c r="D59" s="435"/>
      <c r="E59" s="435"/>
      <c r="F59" s="438"/>
      <c r="G59" s="439"/>
    </row>
    <row r="60" spans="1:76">
      <c r="C60" s="437"/>
      <c r="D60" s="435"/>
      <c r="E60" s="435"/>
      <c r="F60" s="438"/>
      <c r="G60" s="439"/>
    </row>
    <row r="61" spans="1:76">
      <c r="C61" s="437"/>
      <c r="D61" s="435"/>
      <c r="E61" s="435"/>
      <c r="F61" s="438"/>
      <c r="G61" s="439"/>
    </row>
    <row r="62" spans="1:76" ht="15.95" thickBot="1">
      <c r="C62" s="440"/>
      <c r="D62" s="441"/>
      <c r="E62" s="441"/>
      <c r="F62" s="442"/>
      <c r="G62" s="439"/>
    </row>
  </sheetData>
  <sheetProtection formatCells="0" formatColumns="0" formatRows="0" insertColumns="0" insertRows="0" insertHyperlinks="0" deleteColumns="0" deleteRows="0" sort="0" autoFilter="0" pivotTables="0"/>
  <mergeCells count="27">
    <mergeCell ref="BV5:BX6"/>
    <mergeCell ref="BS5:BU6"/>
    <mergeCell ref="BQ5:BQ6"/>
    <mergeCell ref="V6:X6"/>
    <mergeCell ref="BJ5:BP6"/>
    <mergeCell ref="AI5:AL6"/>
    <mergeCell ref="AH5:AH6"/>
    <mergeCell ref="BR5:BR6"/>
    <mergeCell ref="AG5:AG6"/>
    <mergeCell ref="Y5:AF5"/>
    <mergeCell ref="Y6:AE6"/>
    <mergeCell ref="D7:D8"/>
    <mergeCell ref="C3:J3"/>
    <mergeCell ref="L3:R3"/>
    <mergeCell ref="A1:AH1"/>
    <mergeCell ref="AI1:BX1"/>
    <mergeCell ref="A7:A8"/>
    <mergeCell ref="AG7:AG8"/>
    <mergeCell ref="AH7:AH8"/>
    <mergeCell ref="BQ7:BQ8"/>
    <mergeCell ref="AM5:BI6"/>
    <mergeCell ref="A5:E6"/>
    <mergeCell ref="F5:X5"/>
    <mergeCell ref="F6:K6"/>
    <mergeCell ref="L6:N6"/>
    <mergeCell ref="O6:Q6"/>
    <mergeCell ref="R6:T6"/>
  </mergeCells>
  <conditionalFormatting sqref="AF10:AF49">
    <cfRule type="expression" dxfId="26" priority="1">
      <formula>AF10=0</formula>
    </cfRule>
  </conditionalFormatting>
  <conditionalFormatting sqref="AI10:AT49 AV10:AW49 AY10:AZ49">
    <cfRule type="expression" dxfId="25" priority="10">
      <formula>AI10&lt;&gt;B10</formula>
    </cfRule>
  </conditionalFormatting>
  <conditionalFormatting sqref="BB10:BB49">
    <cfRule type="expression" dxfId="24" priority="9" stopIfTrue="1">
      <formula>BB10&lt;&gt;U10</formula>
    </cfRule>
  </conditionalFormatting>
  <conditionalFormatting sqref="BC10:BC49">
    <cfRule type="containsText" dxfId="23" priority="8" operator="containsText" text="Non">
      <formula>NOT(ISERROR(SEARCH("Non",BC10)))</formula>
    </cfRule>
  </conditionalFormatting>
  <conditionalFormatting sqref="BJ10:BK49">
    <cfRule type="expression" dxfId="22" priority="348" stopIfTrue="1">
      <formula>AA10&lt;&gt;BJ10</formula>
    </cfRule>
  </conditionalFormatting>
  <conditionalFormatting sqref="BL10:BO49">
    <cfRule type="expression" dxfId="21" priority="349" stopIfTrue="1">
      <formula>BL10&lt;&gt;AB10</formula>
    </cfRule>
  </conditionalFormatting>
  <conditionalFormatting sqref="BP10:BP49">
    <cfRule type="expression" dxfId="20" priority="2" stopIfTrue="1">
      <formula>AF10&lt;&gt;BP10</formula>
    </cfRule>
  </conditionalFormatting>
  <conditionalFormatting sqref="BS10:BU49">
    <cfRule type="containsText" dxfId="19" priority="5" stopIfTrue="1" operator="containsText" text="Attention">
      <formula>NOT(ISERROR(SEARCH("Attention",BS10)))</formula>
    </cfRule>
    <cfRule type="containsText" dxfId="18" priority="6" operator="containsText" text="KO">
      <formula>NOT(ISERROR(SEARCH("KO",BS10)))</formula>
    </cfRule>
    <cfRule type="containsText" dxfId="17" priority="7" operator="containsText" text="OK">
      <formula>NOT(ISERROR(SEARCH("OK",BS10)))</formula>
    </cfRule>
  </conditionalFormatting>
  <dataValidations count="9">
    <dataValidation type="list" allowBlank="1" showInputMessage="1" showErrorMessage="1" sqref="E10:E49 AL10:AL49" xr:uid="{6D00E291-2174-4E92-99F7-35A83A8D7251}">
      <formula1>"Oui,Non"</formula1>
    </dataValidation>
    <dataValidation type="list" allowBlank="1" showInputMessage="1" showErrorMessage="1" sqref="U10" xr:uid="{5A6DBE0F-4EDC-4989-8A95-0506198A9DA9}">
      <formula1>"Devis 1,Devis 2,Devis 3"</formula1>
    </dataValidation>
    <dataValidation type="list" allowBlank="1" showInputMessage="1" showErrorMessage="1" sqref="AI9 B9" xr:uid="{1970386F-0377-4AA0-B9E3-E186A1DD5C16}">
      <formula1>"Chef de file,Partenaire 1,Partenaire 2, Partenaire 3,Partenaire 4, Partenaire 5,Partenaire 6,Partenaire 7"</formula1>
    </dataValidation>
    <dataValidation type="list" allowBlank="1" showInputMessage="1" showErrorMessage="1" sqref="F9:F49 AM9" xr:uid="{45CB9BB5-B6A9-4225-8BB6-C9ABA117ED2F}">
      <formula1>"Pas de marché public , Marché à procédure adaptée (MAPA) , Marché innovant , Marché à procédure formalisée"</formula1>
    </dataValidation>
    <dataValidation type="list" allowBlank="1" showInputMessage="1" showErrorMessage="1" sqref="G9:G49 AN9" xr:uid="{339AD787-9EEC-41AB-AF6B-128D9A626D37}">
      <formula1>"Oui,Non,Non Concerné"</formula1>
    </dataValidation>
    <dataValidation type="list" allowBlank="1" showInputMessage="1" showErrorMessage="1" sqref="BC9:BC49" xr:uid="{59219CEF-29DD-4169-9F27-86487B0E5A70}">
      <formula1>"Oui,Non,Sans objet"</formula1>
    </dataValidation>
    <dataValidation type="list" allowBlank="1" showInputMessage="1" showErrorMessage="1" sqref="AJ9" xr:uid="{E5888485-1FC2-415D-AD26-F79C55DACDA4}">
      <formula1>"Création groupes opérationnels, Projets groupes opérationnels, Diffusion résultats"</formula1>
    </dataValidation>
    <dataValidation type="list" allowBlank="1" showInputMessage="1" showErrorMessage="1" sqref="Y9" xr:uid="{76C66EAD-4B09-4241-8683-742F7102DF3B}">
      <formula1>$BZ$5:$BZ$9</formula1>
    </dataValidation>
    <dataValidation type="list" allowBlank="1" showInputMessage="1" showErrorMessage="1" sqref="Y10:Y49" xr:uid="{2CE5BA69-C0BC-4DF9-A53F-D421375F7C07}">
      <formula1>$CB$6:$CB$10</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5AB5F02-5BFF-491C-B211-2DD61D02285B}">
          <x14:formula1>
            <xm:f>'0-Présentation typeaction'!$H$7</xm:f>
          </x14:formula1>
          <xm:sqref>C9:C49</xm:sqref>
        </x14:dataValidation>
        <x14:dataValidation type="list" allowBlank="1" showInputMessage="1" showErrorMessage="1" xr:uid="{644ED1AF-C19E-4BE4-95B3-F575C8553431}">
          <x14:formula1>
            <xm:f>'0-Présentation typeaction'!$H$26:$H$36</xm:f>
          </x14:formula1>
          <xm:sqref>B10:B49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56A08-5009-4FAB-AB9B-E34F3F8CF6AB}">
  <sheetPr>
    <tabColor rgb="FF227A56"/>
    <pageSetUpPr autoPageBreaks="0"/>
  </sheetPr>
  <dimension ref="A1:BR68"/>
  <sheetViews>
    <sheetView showGridLines="0" zoomScale="40" zoomScaleNormal="40" workbookViewId="0">
      <selection activeCell="B13" sqref="B13"/>
    </sheetView>
  </sheetViews>
  <sheetFormatPr defaultColWidth="11.42578125" defaultRowHeight="15" outlineLevelCol="1"/>
  <cols>
    <col min="1" max="1" width="11.42578125" style="32"/>
    <col min="2" max="4" width="24.42578125" style="32" customWidth="1"/>
    <col min="5" max="5" width="13.140625" style="32" customWidth="1"/>
    <col min="6" max="6" width="17.42578125" style="32" customWidth="1"/>
    <col min="7" max="7" width="14" style="32" customWidth="1"/>
    <col min="8" max="8" width="17.85546875" style="32" customWidth="1"/>
    <col min="9" max="9" width="17.42578125" style="32" customWidth="1"/>
    <col min="10" max="10" width="19.140625" style="32" customWidth="1"/>
    <col min="11" max="11" width="16.42578125" style="32" customWidth="1"/>
    <col min="12" max="12" width="18.42578125" style="32" customWidth="1"/>
    <col min="13" max="13" width="37.85546875" style="32" customWidth="1"/>
    <col min="14" max="14" width="38.42578125" style="32" customWidth="1"/>
    <col min="15" max="15" width="45.42578125" style="32" customWidth="1"/>
    <col min="16" max="18" width="24.42578125" style="32" customWidth="1" outlineLevel="1"/>
    <col min="19" max="19" width="13.140625" style="32" customWidth="1" outlineLevel="1"/>
    <col min="20" max="20" width="17.42578125" style="32" customWidth="1" outlineLevel="1"/>
    <col min="21" max="21" width="14" style="32" customWidth="1" outlineLevel="1"/>
    <col min="22" max="22" width="17.85546875" style="32" customWidth="1" outlineLevel="1"/>
    <col min="23" max="23" width="17.42578125" style="32" customWidth="1" outlineLevel="1"/>
    <col min="24" max="24" width="19.140625" style="32" customWidth="1" outlineLevel="1"/>
    <col min="25" max="25" width="16.42578125" style="32" customWidth="1" outlineLevel="1"/>
    <col min="26" max="26" width="18.42578125" style="32" customWidth="1" outlineLevel="1"/>
    <col min="27" max="27" width="23.42578125" style="32" customWidth="1" outlineLevel="1"/>
    <col min="28" max="28" width="23.42578125" style="443" customWidth="1" outlineLevel="1"/>
    <col min="29" max="29" width="23.42578125" style="32" customWidth="1" outlineLevel="1"/>
    <col min="30" max="30" width="35.42578125" style="32" customWidth="1" outlineLevel="1"/>
    <col min="31" max="31" width="34.140625" style="32" customWidth="1" outlineLevel="1"/>
    <col min="32" max="32" width="30.42578125" style="32" customWidth="1" outlineLevel="1"/>
    <col min="33" max="16384" width="11.42578125" style="32"/>
  </cols>
  <sheetData>
    <row r="1" spans="1:70" customFormat="1" ht="69" customHeight="1" thickBot="1">
      <c r="A1" s="1501" t="s">
        <v>421</v>
      </c>
      <c r="B1" s="1502"/>
      <c r="C1" s="1502"/>
      <c r="D1" s="1502"/>
      <c r="E1" s="1502"/>
      <c r="F1" s="1502"/>
      <c r="G1" s="1502"/>
      <c r="H1" s="1502"/>
      <c r="I1" s="1502"/>
      <c r="J1" s="1502"/>
      <c r="K1" s="1502"/>
      <c r="L1" s="1502"/>
      <c r="M1" s="1502"/>
      <c r="N1" s="1502"/>
      <c r="O1" s="1502"/>
      <c r="P1" s="1502"/>
      <c r="Q1" s="1502"/>
      <c r="R1" s="1502"/>
      <c r="S1" s="1502"/>
      <c r="T1" s="1502"/>
      <c r="U1" s="1502"/>
      <c r="V1" s="1502"/>
      <c r="W1" s="1502"/>
      <c r="X1" s="1502"/>
      <c r="Y1" s="1502"/>
      <c r="Z1" s="1502"/>
      <c r="AA1" s="1502"/>
      <c r="AB1" s="1502"/>
      <c r="AC1" s="1502"/>
      <c r="AD1" s="1503"/>
      <c r="AE1" s="1504" t="s">
        <v>422</v>
      </c>
      <c r="AF1" s="1505"/>
      <c r="AG1" s="1505"/>
      <c r="AH1" s="1505"/>
      <c r="AI1" s="1505"/>
      <c r="AJ1" s="1505"/>
      <c r="AK1" s="1505"/>
      <c r="AL1" s="1505"/>
      <c r="AM1" s="1505"/>
      <c r="AN1" s="1505"/>
      <c r="AO1" s="1505"/>
      <c r="AP1" s="1505"/>
      <c r="AQ1" s="1505"/>
      <c r="AR1" s="1505"/>
      <c r="AS1" s="1505"/>
      <c r="AT1" s="1505"/>
      <c r="AU1" s="1505"/>
      <c r="AV1" s="1505"/>
      <c r="AW1" s="1505"/>
      <c r="AX1" s="1505"/>
      <c r="AY1" s="1505"/>
      <c r="AZ1" s="1505"/>
      <c r="BA1" s="1505"/>
      <c r="BB1" s="1505"/>
      <c r="BC1" s="1505"/>
      <c r="BD1" s="1505"/>
      <c r="BE1" s="1505"/>
      <c r="BF1" s="1505"/>
      <c r="BG1" s="1505"/>
      <c r="BH1" s="1505"/>
      <c r="BI1" s="1505"/>
      <c r="BJ1" s="1505"/>
      <c r="BK1" s="1505"/>
      <c r="BL1" s="1505"/>
      <c r="BM1" s="1505"/>
      <c r="BN1" s="1505"/>
      <c r="BO1" s="1505"/>
      <c r="BP1" s="1505"/>
      <c r="BQ1" s="1505"/>
      <c r="BR1" s="1506"/>
    </row>
    <row r="2" spans="1:70" ht="18.75" customHeight="1" thickBot="1">
      <c r="B2" s="444"/>
      <c r="C2" s="1559" t="s">
        <v>423</v>
      </c>
      <c r="D2" s="1560"/>
      <c r="E2" s="1560"/>
      <c r="F2" s="1560"/>
      <c r="G2" s="1560"/>
      <c r="H2" s="1561"/>
    </row>
    <row r="3" spans="1:70" ht="87.95" customHeight="1" thickBot="1">
      <c r="B3" s="439"/>
      <c r="C3" s="1536" t="s">
        <v>424</v>
      </c>
      <c r="D3" s="1537"/>
      <c r="E3" s="1537"/>
      <c r="F3" s="1537"/>
      <c r="G3" s="1537"/>
      <c r="H3" s="1538"/>
      <c r="J3" s="1539" t="s">
        <v>425</v>
      </c>
      <c r="K3" s="1540"/>
      <c r="L3" s="1540"/>
      <c r="M3" s="1541"/>
    </row>
    <row r="8" spans="1:70" s="158" customFormat="1" ht="101.45" customHeight="1" thickBot="1">
      <c r="A8" s="1384" t="s">
        <v>69</v>
      </c>
      <c r="B8" s="1384"/>
      <c r="C8" s="1384"/>
      <c r="D8" s="1384"/>
      <c r="E8" s="1384"/>
      <c r="F8" s="1490" t="s">
        <v>426</v>
      </c>
      <c r="G8" s="1490"/>
      <c r="H8" s="1490"/>
      <c r="I8" s="1490"/>
      <c r="J8" s="1490"/>
      <c r="K8" s="1490"/>
      <c r="L8" s="1490"/>
      <c r="M8" s="1544" t="s">
        <v>427</v>
      </c>
      <c r="N8" s="1563" t="s">
        <v>428</v>
      </c>
      <c r="O8" s="1387" t="s">
        <v>73</v>
      </c>
      <c r="P8" s="1390" t="s">
        <v>220</v>
      </c>
      <c r="Q8" s="1390"/>
      <c r="R8" s="1390"/>
      <c r="S8" s="1390"/>
      <c r="T8" s="1429" t="s">
        <v>429</v>
      </c>
      <c r="U8" s="1429"/>
      <c r="V8" s="1429"/>
      <c r="W8" s="1429"/>
      <c r="X8" s="1429"/>
      <c r="Y8" s="1429"/>
      <c r="Z8" s="1429"/>
      <c r="AA8" s="1392" t="s">
        <v>76</v>
      </c>
      <c r="AB8" s="1392"/>
      <c r="AC8" s="1392" t="s">
        <v>430</v>
      </c>
      <c r="AD8" s="1392" t="s">
        <v>333</v>
      </c>
      <c r="AE8" s="1389" t="s">
        <v>295</v>
      </c>
      <c r="AF8" s="1389" t="s">
        <v>222</v>
      </c>
      <c r="AG8" s="569"/>
      <c r="AH8" s="629"/>
      <c r="AI8" s="628"/>
      <c r="AJ8" s="515"/>
      <c r="AK8" s="515"/>
      <c r="AL8" s="515"/>
      <c r="AM8" s="515"/>
      <c r="AN8" s="515"/>
      <c r="AO8" s="515"/>
      <c r="AP8" s="515"/>
      <c r="AQ8" s="515"/>
      <c r="AR8" s="515"/>
      <c r="AS8" s="515"/>
      <c r="AT8" s="515"/>
      <c r="AU8" s="515"/>
      <c r="AV8" s="515"/>
      <c r="AW8" s="515"/>
      <c r="AX8" s="515"/>
      <c r="AY8" s="515"/>
      <c r="AZ8" s="515"/>
      <c r="BA8" s="515"/>
      <c r="BB8" s="515"/>
      <c r="BC8" s="515"/>
      <c r="BD8" s="515"/>
      <c r="BE8" s="515"/>
      <c r="BF8" s="555"/>
      <c r="BH8" s="555"/>
      <c r="BI8" s="555"/>
      <c r="BJ8" s="555"/>
      <c r="BK8" s="1557" t="s">
        <v>431</v>
      </c>
      <c r="BL8" s="1392" t="s">
        <v>333</v>
      </c>
      <c r="BM8" s="1549" t="s">
        <v>79</v>
      </c>
      <c r="BN8" s="1550"/>
      <c r="BO8" s="1551"/>
      <c r="BP8" s="1473" t="s">
        <v>222</v>
      </c>
      <c r="BQ8" s="1484"/>
      <c r="BR8" s="1484"/>
    </row>
    <row r="9" spans="1:70" s="158" customFormat="1" ht="73.5" customHeight="1" thickBot="1">
      <c r="A9" s="1384"/>
      <c r="B9" s="1384"/>
      <c r="C9" s="1384"/>
      <c r="D9" s="1384"/>
      <c r="E9" s="1543"/>
      <c r="F9" s="1546" t="s">
        <v>432</v>
      </c>
      <c r="G9" s="1547"/>
      <c r="H9" s="1548"/>
      <c r="I9" s="1546" t="s">
        <v>433</v>
      </c>
      <c r="J9" s="1548"/>
      <c r="K9" s="1546" t="s">
        <v>434</v>
      </c>
      <c r="L9" s="1548"/>
      <c r="M9" s="1545"/>
      <c r="N9" s="1563"/>
      <c r="O9" s="1387"/>
      <c r="P9" s="1390"/>
      <c r="Q9" s="1390"/>
      <c r="R9" s="1390"/>
      <c r="S9" s="1564"/>
      <c r="T9" s="1565" t="s">
        <v>432</v>
      </c>
      <c r="U9" s="1566"/>
      <c r="V9" s="1567"/>
      <c r="W9" s="1565" t="s">
        <v>433</v>
      </c>
      <c r="X9" s="1567"/>
      <c r="Y9" s="1565" t="s">
        <v>434</v>
      </c>
      <c r="Z9" s="1567"/>
      <c r="AA9" s="1562"/>
      <c r="AB9" s="1392"/>
      <c r="AC9" s="1392"/>
      <c r="AD9" s="1392"/>
      <c r="AE9" s="1389"/>
      <c r="AF9" s="1389"/>
      <c r="AG9" s="569"/>
      <c r="AH9" s="629"/>
      <c r="AI9" s="1552"/>
      <c r="AJ9" s="1553"/>
      <c r="AK9" s="1553"/>
      <c r="AL9" s="1553"/>
      <c r="AM9" s="1553"/>
      <c r="AN9" s="1553"/>
      <c r="AO9" s="1553"/>
      <c r="AP9" s="1553"/>
      <c r="AQ9" s="1553"/>
      <c r="AR9" s="1553"/>
      <c r="AS9" s="1553"/>
      <c r="AT9" s="1553"/>
      <c r="AU9" s="1553"/>
      <c r="AV9" s="1553"/>
      <c r="AW9" s="1553"/>
      <c r="AX9" s="1553"/>
      <c r="AY9" s="1553"/>
      <c r="AZ9" s="1553"/>
      <c r="BA9" s="1553"/>
      <c r="BB9" s="1553"/>
      <c r="BC9" s="1553"/>
      <c r="BD9" s="1553"/>
      <c r="BE9" s="1553"/>
      <c r="BF9" s="1554" t="s">
        <v>435</v>
      </c>
      <c r="BG9" s="1555"/>
      <c r="BH9" s="1555"/>
      <c r="BI9" s="1555"/>
      <c r="BJ9" s="1556"/>
      <c r="BK9" s="1558"/>
      <c r="BL9" s="1427"/>
      <c r="BM9" s="1549"/>
      <c r="BN9" s="1550"/>
      <c r="BO9" s="1551"/>
      <c r="BP9" s="1473"/>
      <c r="BQ9" s="1484"/>
      <c r="BR9" s="1484"/>
    </row>
    <row r="10" spans="1:70" ht="75" customHeight="1">
      <c r="A10" s="1542" t="s">
        <v>86</v>
      </c>
      <c r="B10" s="634" t="s">
        <v>66</v>
      </c>
      <c r="C10" s="634" t="s">
        <v>38</v>
      </c>
      <c r="D10" s="580" t="s">
        <v>436</v>
      </c>
      <c r="E10" s="840" t="s">
        <v>437</v>
      </c>
      <c r="F10" s="844" t="s">
        <v>438</v>
      </c>
      <c r="G10" s="663" t="s">
        <v>439</v>
      </c>
      <c r="H10" s="845" t="s">
        <v>440</v>
      </c>
      <c r="I10" s="857" t="s">
        <v>441</v>
      </c>
      <c r="J10" s="858" t="s">
        <v>442</v>
      </c>
      <c r="K10" s="844" t="s">
        <v>443</v>
      </c>
      <c r="L10" s="845" t="s">
        <v>444</v>
      </c>
      <c r="M10" s="843" t="s">
        <v>445</v>
      </c>
      <c r="N10" s="634" t="s">
        <v>446</v>
      </c>
      <c r="O10" s="580" t="s">
        <v>110</v>
      </c>
      <c r="P10" s="630" t="s">
        <v>66</v>
      </c>
      <c r="Q10" s="630" t="s">
        <v>38</v>
      </c>
      <c r="R10" s="631" t="s">
        <v>436</v>
      </c>
      <c r="S10" s="872" t="s">
        <v>437</v>
      </c>
      <c r="T10" s="876" t="s">
        <v>438</v>
      </c>
      <c r="U10" s="630" t="s">
        <v>439</v>
      </c>
      <c r="V10" s="877" t="s">
        <v>440</v>
      </c>
      <c r="W10" s="876" t="s">
        <v>441</v>
      </c>
      <c r="X10" s="877" t="s">
        <v>442</v>
      </c>
      <c r="Y10" s="876" t="s">
        <v>443</v>
      </c>
      <c r="Z10" s="877" t="s">
        <v>444</v>
      </c>
      <c r="AA10" s="875" t="s">
        <v>446</v>
      </c>
      <c r="AB10" s="631" t="s">
        <v>187</v>
      </c>
      <c r="AC10" s="239" t="s">
        <v>447</v>
      </c>
      <c r="AD10" s="631" t="s">
        <v>120</v>
      </c>
      <c r="AE10" s="631" t="s">
        <v>122</v>
      </c>
      <c r="AF10" s="239" t="s">
        <v>188</v>
      </c>
      <c r="AI10" s="347"/>
      <c r="AJ10" s="445"/>
      <c r="AK10" s="347"/>
    </row>
    <row r="11" spans="1:70" ht="145.5" customHeight="1">
      <c r="A11" s="1542"/>
      <c r="B11" s="521" t="s">
        <v>126</v>
      </c>
      <c r="C11" s="521" t="s">
        <v>189</v>
      </c>
      <c r="D11" s="605" t="s">
        <v>448</v>
      </c>
      <c r="E11" s="841"/>
      <c r="F11" s="846" t="s">
        <v>449</v>
      </c>
      <c r="G11" s="604" t="s">
        <v>450</v>
      </c>
      <c r="H11" s="847" t="s">
        <v>451</v>
      </c>
      <c r="I11" s="859" t="s">
        <v>452</v>
      </c>
      <c r="J11" s="860" t="s">
        <v>453</v>
      </c>
      <c r="K11" s="870" t="s">
        <v>454</v>
      </c>
      <c r="L11" s="847" t="s">
        <v>455</v>
      </c>
      <c r="M11" s="865" t="s">
        <v>456</v>
      </c>
      <c r="N11" s="605" t="s">
        <v>457</v>
      </c>
      <c r="O11" s="605" t="s">
        <v>144</v>
      </c>
      <c r="P11" s="635" t="s">
        <v>143</v>
      </c>
      <c r="Q11" s="542" t="s">
        <v>143</v>
      </c>
      <c r="R11" s="542" t="s">
        <v>146</v>
      </c>
      <c r="S11" s="699" t="s">
        <v>146</v>
      </c>
      <c r="T11" s="545" t="s">
        <v>146</v>
      </c>
      <c r="U11" s="542" t="s">
        <v>146</v>
      </c>
      <c r="V11" s="878" t="s">
        <v>146</v>
      </c>
      <c r="W11" s="545" t="s">
        <v>146</v>
      </c>
      <c r="X11" s="878" t="s">
        <v>146</v>
      </c>
      <c r="Y11" s="545" t="s">
        <v>146</v>
      </c>
      <c r="Z11" s="878" t="s">
        <v>146</v>
      </c>
      <c r="AA11" s="546" t="s">
        <v>146</v>
      </c>
      <c r="AB11" s="542" t="s">
        <v>201</v>
      </c>
      <c r="AC11" s="590" t="s">
        <v>146</v>
      </c>
      <c r="AD11" s="542" t="s">
        <v>202</v>
      </c>
      <c r="AE11" s="542" t="s">
        <v>150</v>
      </c>
      <c r="AF11" s="590" t="s">
        <v>143</v>
      </c>
      <c r="AI11" s="347"/>
      <c r="AJ11" s="446"/>
      <c r="AK11" s="347"/>
    </row>
    <row r="12" spans="1:70" s="443" customFormat="1" ht="65.099999999999994" thickBot="1">
      <c r="A12" s="657" t="s">
        <v>48</v>
      </c>
      <c r="B12" s="305" t="s">
        <v>11</v>
      </c>
      <c r="C12" s="190" t="s">
        <v>43</v>
      </c>
      <c r="D12" s="190" t="s">
        <v>319</v>
      </c>
      <c r="E12" s="842">
        <v>5</v>
      </c>
      <c r="F12" s="848">
        <v>11.88</v>
      </c>
      <c r="G12" s="658">
        <v>60</v>
      </c>
      <c r="H12" s="849">
        <v>3564</v>
      </c>
      <c r="I12" s="861">
        <v>10</v>
      </c>
      <c r="J12" s="849">
        <v>200</v>
      </c>
      <c r="K12" s="861">
        <v>20</v>
      </c>
      <c r="L12" s="871">
        <v>354</v>
      </c>
      <c r="M12" s="866">
        <v>4118</v>
      </c>
      <c r="N12" s="190"/>
      <c r="O12" s="659"/>
      <c r="P12" s="305" t="s">
        <v>11</v>
      </c>
      <c r="Q12" s="190" t="s">
        <v>458</v>
      </c>
      <c r="R12" s="190" t="s">
        <v>459</v>
      </c>
      <c r="S12" s="842">
        <v>5</v>
      </c>
      <c r="T12" s="848">
        <v>11.88</v>
      </c>
      <c r="U12" s="658">
        <v>60</v>
      </c>
      <c r="V12" s="849">
        <v>3564</v>
      </c>
      <c r="W12" s="861">
        <v>10</v>
      </c>
      <c r="X12" s="849">
        <v>200</v>
      </c>
      <c r="Y12" s="861">
        <v>20</v>
      </c>
      <c r="Z12" s="871">
        <v>354</v>
      </c>
      <c r="AA12" s="890"/>
      <c r="AB12" s="305" t="s">
        <v>152</v>
      </c>
      <c r="AC12" s="197">
        <v>4118</v>
      </c>
      <c r="AD12" s="660"/>
      <c r="AE12" s="661" t="s">
        <v>410</v>
      </c>
      <c r="AF12" s="662">
        <v>0</v>
      </c>
      <c r="AI12" s="447"/>
      <c r="AJ12" s="448"/>
      <c r="AK12" s="447"/>
    </row>
    <row r="13" spans="1:70" ht="63.95">
      <c r="A13" s="632">
        <v>1</v>
      </c>
      <c r="B13" s="314" t="s">
        <v>19</v>
      </c>
      <c r="C13" s="314" t="s">
        <v>43</v>
      </c>
      <c r="D13" s="314" t="s">
        <v>460</v>
      </c>
      <c r="E13" s="450">
        <v>5</v>
      </c>
      <c r="F13" s="850">
        <v>11.88</v>
      </c>
      <c r="G13" s="449">
        <v>10</v>
      </c>
      <c r="H13" s="851">
        <f>IF(OR(F13="",E13="",G13=""),"",IF((IFERROR(VALUE(TRIM(SUBSTITUTE(F13,CHAR(160),""))),0))*(IFERROR(VALUE(TRIM(SUBSTITUTE(E13,CHAR(160),""))),0))*(IFERROR(VALUE(TRIM(SUBSTITUTE(G13,CHAR(160),""))),0))=0,"",(IFERROR(VALUE(TRIM(SUBSTITUTE(F13,CHAR(160),""))),0))*(IFERROR(VALUE(TRIM(SUBSTITUTE(G13,CHAR(160),""))),0))*(IFERROR(VALUE(TRIM(SUBSTITUTE(E13,CHAR(160),""))),0))))</f>
        <v>594</v>
      </c>
      <c r="I13" s="862">
        <v>10</v>
      </c>
      <c r="J13" s="851">
        <f>IF(I13="","",(IFERROR(VALUE(TRIM(SUBSTITUTE(I13,CHAR(160),""))),0))*20)</f>
        <v>200</v>
      </c>
      <c r="K13" s="862">
        <v>20</v>
      </c>
      <c r="L13" s="851">
        <f>IF(K13="","",(IFERROR(VALUE(TRIM(SUBSTITUTE(K13,CHAR(160),""))),0))*17.7)</f>
        <v>354</v>
      </c>
      <c r="M13" s="867">
        <f>IF(OR(H13="",J13="",L13=""),"",(IFERROR(VALUE(TRIM(SUBSTITUTE(H13,CHAR(160),""))),0))+(IFERROR(VALUE(TRIM(SUBSTITUTE(J13,CHAR(160),""))),0))+(IFERROR(VALUE(TRIM(SUBSTITUTE(L13,CHAR(160),""))),0)))</f>
        <v>1148</v>
      </c>
      <c r="N13" s="160" t="s">
        <v>461</v>
      </c>
      <c r="O13" s="453" t="s">
        <v>209</v>
      </c>
      <c r="P13" s="636" t="str">
        <f>IF(B13="","",B13)</f>
        <v>Partenaire 8</v>
      </c>
      <c r="Q13" s="637" t="str">
        <f t="shared" ref="Q13:Z28" si="0">IF(C13="","",C13)</f>
        <v>Développement de nouveaux produits, pratiques, procédés et techniques</v>
      </c>
      <c r="R13" s="637" t="str">
        <f t="shared" si="0"/>
        <v>Test projet</v>
      </c>
      <c r="S13" s="373">
        <f t="shared" si="0"/>
        <v>5</v>
      </c>
      <c r="T13" s="879">
        <f t="shared" si="0"/>
        <v>11.88</v>
      </c>
      <c r="U13" s="637">
        <f t="shared" si="0"/>
        <v>10</v>
      </c>
      <c r="V13" s="880">
        <f t="shared" si="0"/>
        <v>594</v>
      </c>
      <c r="W13" s="886">
        <f t="shared" si="0"/>
        <v>10</v>
      </c>
      <c r="X13" s="887">
        <f t="shared" si="0"/>
        <v>200</v>
      </c>
      <c r="Y13" s="886">
        <f t="shared" si="0"/>
        <v>20</v>
      </c>
      <c r="Z13" s="887">
        <f t="shared" si="0"/>
        <v>354</v>
      </c>
      <c r="AA13" s="891" t="str">
        <f t="shared" ref="AA13:AA52" si="1">IF(N13="","",N13)</f>
        <v>Programme de la journée technique</v>
      </c>
      <c r="AB13" s="639" t="s">
        <v>152</v>
      </c>
      <c r="AC13" s="640">
        <f t="shared" ref="AC13:AC52" si="2">IF(OR(V13="",X13="",Z13=""),"",(IFERROR(VALUE(TRIM(SUBSTITUTE(V13,CHAR(160),""))),0))+(IFERROR(VALUE(TRIM(SUBSTITUTE(X13,CHAR(160),""))),0))+(IFERROR(VALUE(TRIM(SUBSTITUTE(Z13,CHAR(160),""))),0)))</f>
        <v>1148</v>
      </c>
      <c r="AD13" s="641" t="s">
        <v>162</v>
      </c>
      <c r="AE13" s="642" t="str" cm="1">
        <f t="array" ref="AE13">_xlfn.IFS(M13="","",AC13&gt;M13,"KO : Le montant retenu est supérieur au montant présenté. Merci de revoir la ligne de dépense ou plafonner son montant.",AC13=0,"Attention : montant présenté entièrement écarté",M13=0,"",AC13=M13,"OK",AC13&lt;M13,"Attention : Montant présenté partiellement écarté.")</f>
        <v>OK</v>
      </c>
      <c r="AF13" s="643">
        <f t="shared" ref="AF13:AF52" si="3">IF(OR(M13="",AC13=""),"",(IFERROR(VALUE(TRIM(SUBSTITUTE(M13,CHAR(160),""))),0))-(IFERROR(VALUE(TRIM(SUBSTITUTE(AC13,CHAR(160),""))),0)))</f>
        <v>0</v>
      </c>
      <c r="AI13" s="347"/>
      <c r="AJ13" s="347"/>
      <c r="AK13" s="347"/>
    </row>
    <row r="14" spans="1:70" ht="15.95">
      <c r="A14" s="632">
        <v>2</v>
      </c>
      <c r="B14" s="333"/>
      <c r="C14" s="333"/>
      <c r="D14" s="333"/>
      <c r="E14" s="450"/>
      <c r="F14" s="850"/>
      <c r="G14" s="450"/>
      <c r="H14" s="852" t="str">
        <f t="shared" ref="H14:H52" si="4">IF(OR(F14="",E14="",G14=""),"",IF((IFERROR(VALUE(TRIM(SUBSTITUTE(F14,CHAR(160),""))),0))*(IFERROR(VALUE(TRIM(SUBSTITUTE(E14,CHAR(160),""))),0))*(IFERROR(VALUE(TRIM(SUBSTITUTE(G14,CHAR(160),""))),0))=0,"",(IFERROR(VALUE(TRIM(SUBSTITUTE(F14,CHAR(160),""))),0))*(IFERROR(VALUE(TRIM(SUBSTITUTE(G14,CHAR(160),""))),0))*(IFERROR(VALUE(TRIM(SUBSTITUTE(E14,CHAR(160),""))),0))))</f>
        <v/>
      </c>
      <c r="I14" s="863"/>
      <c r="J14" s="852" t="str">
        <f>IF(I14="","",(IFERROR(VALUE(TRIM(SUBSTITUTE(I14,CHAR(160),""))),0))*20)</f>
        <v/>
      </c>
      <c r="K14" s="863"/>
      <c r="L14" s="852" t="str">
        <f t="shared" ref="L14:L52" si="5">IF(K14="","",(IFERROR(VALUE(TRIM(SUBSTITUTE(K14,CHAR(160),""))),0))*17.7)</f>
        <v/>
      </c>
      <c r="M14" s="868" t="str">
        <f t="shared" ref="M14:M52" si="6">IF(OR(H14="",J14="",L14=""),"",(IFERROR(VALUE(TRIM(SUBSTITUTE(H14,CHAR(160),""))),0))+(IFERROR(VALUE(TRIM(SUBSTITUTE(J14,CHAR(160),""))),0))+(IFERROR(VALUE(TRIM(SUBSTITUTE(L14,CHAR(160),""))),0)))</f>
        <v/>
      </c>
      <c r="N14" s="452"/>
      <c r="O14" s="453"/>
      <c r="P14" s="454" t="str">
        <f t="shared" ref="P14:Z48" si="7">IF(B14="","",B14)</f>
        <v/>
      </c>
      <c r="Q14" s="394" t="str">
        <f t="shared" si="0"/>
        <v/>
      </c>
      <c r="R14" s="394" t="str">
        <f t="shared" si="0"/>
        <v/>
      </c>
      <c r="S14" s="873" t="str">
        <f t="shared" si="0"/>
        <v/>
      </c>
      <c r="T14" s="881" t="str">
        <f t="shared" si="0"/>
        <v/>
      </c>
      <c r="U14" s="394" t="str">
        <f t="shared" si="0"/>
        <v/>
      </c>
      <c r="V14" s="882" t="str">
        <f t="shared" si="0"/>
        <v/>
      </c>
      <c r="W14" s="888" t="str">
        <f t="shared" si="0"/>
        <v/>
      </c>
      <c r="X14" s="852" t="str">
        <f t="shared" si="0"/>
        <v/>
      </c>
      <c r="Y14" s="888" t="str">
        <f t="shared" si="0"/>
        <v/>
      </c>
      <c r="Z14" s="852" t="str">
        <f t="shared" si="0"/>
        <v/>
      </c>
      <c r="AA14" s="868" t="str">
        <f t="shared" si="1"/>
        <v/>
      </c>
      <c r="AB14" s="391"/>
      <c r="AC14" s="712" t="str">
        <f t="shared" si="2"/>
        <v/>
      </c>
      <c r="AD14" s="455"/>
      <c r="AE14" s="456" t="str" cm="1">
        <f t="array" ref="AE14">_xlfn.IFS(M14="","",AC14&gt;M14,"KO : Le montant retenu est supérieur au montant présenté. Merci de revoir la ligne de dépense ou plafonner son montant.",AC14=0,"Attention : montant présenté entièrement écarté",M14=0,"",AC14=M14,"OK",AC14&lt;M14,"Attention : Montant présenté partiellement écarté.")</f>
        <v/>
      </c>
      <c r="AF14" s="457" t="str">
        <f t="shared" si="3"/>
        <v/>
      </c>
      <c r="AI14" s="347"/>
      <c r="AJ14" s="347"/>
      <c r="AK14" s="347"/>
    </row>
    <row r="15" spans="1:70" ht="15.95">
      <c r="A15" s="632">
        <v>3</v>
      </c>
      <c r="B15" s="333"/>
      <c r="C15" s="333"/>
      <c r="D15" s="333"/>
      <c r="E15" s="450"/>
      <c r="F15" s="850"/>
      <c r="G15" s="450"/>
      <c r="H15" s="852" t="str">
        <f t="shared" si="4"/>
        <v/>
      </c>
      <c r="I15" s="863"/>
      <c r="J15" s="852" t="str">
        <f>IF(I15="","",(IFERROR(VALUE(TRIM(SUBSTITUTE(I15,CHAR(160),""))),0))*20)</f>
        <v/>
      </c>
      <c r="K15" s="863"/>
      <c r="L15" s="852" t="str">
        <f>IF(K15="","",(IFERROR(VALUE(TRIM(SUBSTITUTE(K15,CHAR(160),""))),0))*17.7)</f>
        <v/>
      </c>
      <c r="M15" s="868" t="str">
        <f t="shared" si="6"/>
        <v/>
      </c>
      <c r="N15" s="452"/>
      <c r="O15" s="453"/>
      <c r="P15" s="454" t="str">
        <f t="shared" si="7"/>
        <v/>
      </c>
      <c r="Q15" s="394" t="str">
        <f t="shared" si="0"/>
        <v/>
      </c>
      <c r="R15" s="394" t="str">
        <f t="shared" si="0"/>
        <v/>
      </c>
      <c r="S15" s="873" t="str">
        <f t="shared" si="0"/>
        <v/>
      </c>
      <c r="T15" s="881" t="str">
        <f t="shared" si="0"/>
        <v/>
      </c>
      <c r="U15" s="394" t="str">
        <f t="shared" si="0"/>
        <v/>
      </c>
      <c r="V15" s="882" t="str">
        <f t="shared" si="0"/>
        <v/>
      </c>
      <c r="W15" s="888" t="str">
        <f t="shared" si="0"/>
        <v/>
      </c>
      <c r="X15" s="852" t="str">
        <f t="shared" si="0"/>
        <v/>
      </c>
      <c r="Y15" s="888" t="str">
        <f t="shared" si="0"/>
        <v/>
      </c>
      <c r="Z15" s="852" t="str">
        <f t="shared" si="0"/>
        <v/>
      </c>
      <c r="AA15" s="868" t="str">
        <f t="shared" si="1"/>
        <v/>
      </c>
      <c r="AB15" s="391"/>
      <c r="AC15" s="712" t="str">
        <f t="shared" si="2"/>
        <v/>
      </c>
      <c r="AD15" s="455"/>
      <c r="AE15" s="456" t="str" cm="1">
        <f t="array" ref="AE15">_xlfn.IFS(M15="","",AC15&gt;M15,"KO : Le montant retenu est supérieur au montant présenté. Merci de revoir la ligne de dépense ou plafonner son montant.",AC15=0,"Attention : montant présenté entièrement écarté",M15=0,"",AC15=M15,"OK",AC15&lt;M15,"Attention : Montant présenté partiellement écarté.")</f>
        <v/>
      </c>
      <c r="AF15" s="457" t="str">
        <f t="shared" si="3"/>
        <v/>
      </c>
      <c r="AI15" s="347"/>
      <c r="AJ15" s="347"/>
      <c r="AK15" s="347"/>
    </row>
    <row r="16" spans="1:70" ht="15.95">
      <c r="A16" s="632">
        <v>4</v>
      </c>
      <c r="B16" s="333"/>
      <c r="C16" s="333"/>
      <c r="D16" s="333"/>
      <c r="E16" s="450"/>
      <c r="F16" s="850"/>
      <c r="G16" s="450"/>
      <c r="H16" s="852" t="str">
        <f t="shared" si="4"/>
        <v/>
      </c>
      <c r="I16" s="863"/>
      <c r="J16" s="852" t="str">
        <f t="shared" ref="J16:J52" si="8">IF(I16="","",(IFERROR(VALUE(TRIM(SUBSTITUTE(I16,CHAR(160),""))),0))*20)</f>
        <v/>
      </c>
      <c r="K16" s="863"/>
      <c r="L16" s="852" t="str">
        <f t="shared" si="5"/>
        <v/>
      </c>
      <c r="M16" s="868" t="str">
        <f t="shared" si="6"/>
        <v/>
      </c>
      <c r="N16" s="452"/>
      <c r="O16" s="453"/>
      <c r="P16" s="454" t="str">
        <f t="shared" si="7"/>
        <v/>
      </c>
      <c r="Q16" s="394" t="str">
        <f t="shared" si="0"/>
        <v/>
      </c>
      <c r="R16" s="394" t="str">
        <f t="shared" si="0"/>
        <v/>
      </c>
      <c r="S16" s="873" t="str">
        <f t="shared" si="0"/>
        <v/>
      </c>
      <c r="T16" s="881" t="str">
        <f t="shared" si="0"/>
        <v/>
      </c>
      <c r="U16" s="394" t="str">
        <f t="shared" si="0"/>
        <v/>
      </c>
      <c r="V16" s="882" t="str">
        <f t="shared" si="0"/>
        <v/>
      </c>
      <c r="W16" s="888" t="str">
        <f t="shared" si="0"/>
        <v/>
      </c>
      <c r="X16" s="852" t="str">
        <f t="shared" si="0"/>
        <v/>
      </c>
      <c r="Y16" s="888" t="str">
        <f t="shared" si="0"/>
        <v/>
      </c>
      <c r="Z16" s="852" t="str">
        <f t="shared" si="0"/>
        <v/>
      </c>
      <c r="AA16" s="868" t="str">
        <f t="shared" si="1"/>
        <v/>
      </c>
      <c r="AB16" s="391"/>
      <c r="AC16" s="712" t="str">
        <f t="shared" si="2"/>
        <v/>
      </c>
      <c r="AD16" s="455"/>
      <c r="AE16" s="456" t="str" cm="1">
        <f t="array" ref="AE16">_xlfn.IFS(M16="","",AC16&gt;M16,"KO : Le montant retenu est supérieur au montant présenté. Merci de revoir la ligne de dépense ou plafonner son montant.",AC16=0,"Attention : montant présenté entièrement écarté",M16=0,"",AC16=M16,"OK",AC16&lt;M16,"Attention : Montant présenté partiellement écarté.")</f>
        <v/>
      </c>
      <c r="AF16" s="457" t="str">
        <f t="shared" si="3"/>
        <v/>
      </c>
      <c r="AI16" s="347"/>
      <c r="AJ16" s="347"/>
      <c r="AK16" s="347"/>
    </row>
    <row r="17" spans="1:37" ht="15.95">
      <c r="A17" s="632">
        <v>5</v>
      </c>
      <c r="B17" s="333"/>
      <c r="C17" s="333"/>
      <c r="D17" s="333"/>
      <c r="E17" s="450"/>
      <c r="F17" s="850"/>
      <c r="G17" s="450"/>
      <c r="H17" s="852" t="str">
        <f t="shared" si="4"/>
        <v/>
      </c>
      <c r="I17" s="863"/>
      <c r="J17" s="852" t="str">
        <f t="shared" si="8"/>
        <v/>
      </c>
      <c r="K17" s="863"/>
      <c r="L17" s="852" t="str">
        <f t="shared" si="5"/>
        <v/>
      </c>
      <c r="M17" s="868" t="str">
        <f t="shared" si="6"/>
        <v/>
      </c>
      <c r="N17" s="452"/>
      <c r="O17" s="453"/>
      <c r="P17" s="454" t="str">
        <f t="shared" si="7"/>
        <v/>
      </c>
      <c r="Q17" s="394" t="str">
        <f t="shared" si="0"/>
        <v/>
      </c>
      <c r="R17" s="394" t="str">
        <f t="shared" si="0"/>
        <v/>
      </c>
      <c r="S17" s="873" t="str">
        <f t="shared" si="0"/>
        <v/>
      </c>
      <c r="T17" s="881" t="str">
        <f t="shared" si="0"/>
        <v/>
      </c>
      <c r="U17" s="394" t="str">
        <f t="shared" si="0"/>
        <v/>
      </c>
      <c r="V17" s="882" t="str">
        <f t="shared" si="0"/>
        <v/>
      </c>
      <c r="W17" s="888" t="str">
        <f t="shared" si="0"/>
        <v/>
      </c>
      <c r="X17" s="852" t="str">
        <f t="shared" si="0"/>
        <v/>
      </c>
      <c r="Y17" s="888" t="str">
        <f t="shared" si="0"/>
        <v/>
      </c>
      <c r="Z17" s="852" t="str">
        <f t="shared" si="0"/>
        <v/>
      </c>
      <c r="AA17" s="868" t="str">
        <f t="shared" si="1"/>
        <v/>
      </c>
      <c r="AB17" s="391"/>
      <c r="AC17" s="712" t="str">
        <f t="shared" si="2"/>
        <v/>
      </c>
      <c r="AD17" s="455"/>
      <c r="AE17" s="456" t="str" cm="1">
        <f t="array" ref="AE17">_xlfn.IFS(M17="","",AC17&gt;M17,"KO : Le montant retenu est supérieur au montant présenté. Merci de revoir la ligne de dépense ou plafonner son montant.",AC17=0,"Attention : montant présenté entièrement écarté",M17=0,"",AC17=M17,"OK",AC17&lt;M17,"Attention : Montant présenté partiellement écarté.")</f>
        <v/>
      </c>
      <c r="AF17" s="457" t="str">
        <f t="shared" si="3"/>
        <v/>
      </c>
      <c r="AI17" s="347"/>
      <c r="AJ17" s="347"/>
      <c r="AK17" s="347"/>
    </row>
    <row r="18" spans="1:37" ht="15.95">
      <c r="A18" s="632">
        <v>6</v>
      </c>
      <c r="B18" s="333"/>
      <c r="C18" s="333"/>
      <c r="D18" s="333"/>
      <c r="E18" s="450"/>
      <c r="F18" s="850"/>
      <c r="G18" s="450"/>
      <c r="H18" s="852" t="str">
        <f t="shared" si="4"/>
        <v/>
      </c>
      <c r="I18" s="863"/>
      <c r="J18" s="852" t="str">
        <f t="shared" si="8"/>
        <v/>
      </c>
      <c r="K18" s="863"/>
      <c r="L18" s="852" t="str">
        <f t="shared" si="5"/>
        <v/>
      </c>
      <c r="M18" s="868" t="str">
        <f t="shared" si="6"/>
        <v/>
      </c>
      <c r="N18" s="452"/>
      <c r="O18" s="453"/>
      <c r="P18" s="454" t="str">
        <f t="shared" si="7"/>
        <v/>
      </c>
      <c r="Q18" s="394" t="str">
        <f t="shared" si="0"/>
        <v/>
      </c>
      <c r="R18" s="394" t="str">
        <f t="shared" si="0"/>
        <v/>
      </c>
      <c r="S18" s="873" t="str">
        <f t="shared" si="0"/>
        <v/>
      </c>
      <c r="T18" s="881" t="str">
        <f t="shared" si="0"/>
        <v/>
      </c>
      <c r="U18" s="394" t="str">
        <f t="shared" si="0"/>
        <v/>
      </c>
      <c r="V18" s="882" t="str">
        <f t="shared" si="0"/>
        <v/>
      </c>
      <c r="W18" s="888" t="str">
        <f t="shared" si="0"/>
        <v/>
      </c>
      <c r="X18" s="852" t="str">
        <f t="shared" si="0"/>
        <v/>
      </c>
      <c r="Y18" s="888" t="str">
        <f t="shared" si="0"/>
        <v/>
      </c>
      <c r="Z18" s="852" t="str">
        <f t="shared" si="0"/>
        <v/>
      </c>
      <c r="AA18" s="868" t="str">
        <f t="shared" si="1"/>
        <v/>
      </c>
      <c r="AB18" s="391"/>
      <c r="AC18" s="712" t="str">
        <f t="shared" si="2"/>
        <v/>
      </c>
      <c r="AD18" s="455"/>
      <c r="AE18" s="456" t="str" cm="1">
        <f t="array" ref="AE18">_xlfn.IFS(M18="","",AC18&gt;M18,"KO : Le montant retenu est supérieur au montant présenté. Merci de revoir la ligne de dépense ou plafonner son montant.",AC18=0,"Attention : montant présenté entièrement écarté",M18=0,"",AC18=M18,"OK",AC18&lt;M18,"Attention : Montant présenté partiellement écarté.")</f>
        <v/>
      </c>
      <c r="AF18" s="457" t="str">
        <f t="shared" si="3"/>
        <v/>
      </c>
      <c r="AI18" s="347"/>
      <c r="AJ18" s="347"/>
      <c r="AK18" s="347"/>
    </row>
    <row r="19" spans="1:37" ht="15.95">
      <c r="A19" s="632">
        <v>7</v>
      </c>
      <c r="B19" s="333"/>
      <c r="C19" s="333"/>
      <c r="D19" s="333"/>
      <c r="E19" s="450"/>
      <c r="F19" s="850"/>
      <c r="G19" s="450"/>
      <c r="H19" s="852" t="str">
        <f t="shared" si="4"/>
        <v/>
      </c>
      <c r="I19" s="863"/>
      <c r="J19" s="852" t="str">
        <f t="shared" si="8"/>
        <v/>
      </c>
      <c r="K19" s="863"/>
      <c r="L19" s="852" t="str">
        <f>IF(K19="","",(IFERROR(VALUE(TRIM(SUBSTITUTE(K19,CHAR(160),""))),0))*17.7)</f>
        <v/>
      </c>
      <c r="M19" s="868" t="str">
        <f t="shared" si="6"/>
        <v/>
      </c>
      <c r="N19" s="452"/>
      <c r="O19" s="453"/>
      <c r="P19" s="454" t="str">
        <f t="shared" si="7"/>
        <v/>
      </c>
      <c r="Q19" s="394" t="str">
        <f t="shared" si="0"/>
        <v/>
      </c>
      <c r="R19" s="394" t="str">
        <f t="shared" si="0"/>
        <v/>
      </c>
      <c r="S19" s="873" t="str">
        <f t="shared" si="0"/>
        <v/>
      </c>
      <c r="T19" s="881" t="str">
        <f t="shared" si="0"/>
        <v/>
      </c>
      <c r="U19" s="394" t="str">
        <f t="shared" si="0"/>
        <v/>
      </c>
      <c r="V19" s="882" t="str">
        <f t="shared" si="0"/>
        <v/>
      </c>
      <c r="W19" s="888" t="str">
        <f t="shared" si="0"/>
        <v/>
      </c>
      <c r="X19" s="852" t="str">
        <f t="shared" si="0"/>
        <v/>
      </c>
      <c r="Y19" s="888" t="str">
        <f t="shared" si="0"/>
        <v/>
      </c>
      <c r="Z19" s="852" t="str">
        <f t="shared" si="0"/>
        <v/>
      </c>
      <c r="AA19" s="868" t="str">
        <f t="shared" si="1"/>
        <v/>
      </c>
      <c r="AB19" s="391"/>
      <c r="AC19" s="712" t="str">
        <f t="shared" si="2"/>
        <v/>
      </c>
      <c r="AD19" s="455"/>
      <c r="AE19" s="456" t="str" cm="1">
        <f t="array" ref="AE19">_xlfn.IFS(M19="","",AC19&gt;M19,"KO : Le montant retenu est supérieur au montant présenté. Merci de revoir la ligne de dépense ou plafonner son montant.",AC19=0,"Attention : montant présenté entièrement écarté",M19=0,"",AC19=M19,"OK",AC19&lt;M19,"Attention : Montant présenté partiellement écarté.")</f>
        <v/>
      </c>
      <c r="AF19" s="457" t="str">
        <f t="shared" si="3"/>
        <v/>
      </c>
      <c r="AI19" s="347"/>
      <c r="AJ19" s="347"/>
      <c r="AK19" s="347"/>
    </row>
    <row r="20" spans="1:37" ht="15.95">
      <c r="A20" s="632">
        <v>8</v>
      </c>
      <c r="B20" s="333"/>
      <c r="C20" s="333"/>
      <c r="D20" s="333"/>
      <c r="E20" s="450"/>
      <c r="F20" s="850"/>
      <c r="G20" s="450"/>
      <c r="H20" s="852" t="str">
        <f t="shared" si="4"/>
        <v/>
      </c>
      <c r="I20" s="863"/>
      <c r="J20" s="852" t="str">
        <f t="shared" si="8"/>
        <v/>
      </c>
      <c r="K20" s="863"/>
      <c r="L20" s="852" t="str">
        <f t="shared" si="5"/>
        <v/>
      </c>
      <c r="M20" s="868" t="str">
        <f t="shared" si="6"/>
        <v/>
      </c>
      <c r="N20" s="452"/>
      <c r="O20" s="453"/>
      <c r="P20" s="454" t="str">
        <f t="shared" si="7"/>
        <v/>
      </c>
      <c r="Q20" s="394" t="str">
        <f t="shared" si="0"/>
        <v/>
      </c>
      <c r="R20" s="394" t="str">
        <f t="shared" si="0"/>
        <v/>
      </c>
      <c r="S20" s="873" t="str">
        <f t="shared" si="0"/>
        <v/>
      </c>
      <c r="T20" s="881" t="str">
        <f t="shared" si="0"/>
        <v/>
      </c>
      <c r="U20" s="394" t="str">
        <f t="shared" si="0"/>
        <v/>
      </c>
      <c r="V20" s="882" t="str">
        <f t="shared" si="0"/>
        <v/>
      </c>
      <c r="W20" s="888" t="str">
        <f t="shared" si="0"/>
        <v/>
      </c>
      <c r="X20" s="852" t="str">
        <f t="shared" si="0"/>
        <v/>
      </c>
      <c r="Y20" s="888" t="str">
        <f t="shared" si="0"/>
        <v/>
      </c>
      <c r="Z20" s="852" t="str">
        <f t="shared" si="0"/>
        <v/>
      </c>
      <c r="AA20" s="868" t="str">
        <f t="shared" si="1"/>
        <v/>
      </c>
      <c r="AB20" s="391"/>
      <c r="AC20" s="712" t="str">
        <f t="shared" si="2"/>
        <v/>
      </c>
      <c r="AD20" s="455"/>
      <c r="AE20" s="456" t="str" cm="1">
        <f t="array" ref="AE20">_xlfn.IFS(M20="","",AC20&gt;M20,"KO : Le montant retenu est supérieur au montant présenté. Merci de revoir la ligne de dépense ou plafonner son montant.",AC20=0,"Attention : montant présenté entièrement écarté",M20=0,"",AC20=M20,"OK",AC20&lt;M20,"Attention : Montant présenté partiellement écarté.")</f>
        <v/>
      </c>
      <c r="AF20" s="457" t="str">
        <f t="shared" si="3"/>
        <v/>
      </c>
      <c r="AI20" s="347"/>
      <c r="AJ20" s="347"/>
      <c r="AK20" s="347"/>
    </row>
    <row r="21" spans="1:37" ht="15.95">
      <c r="A21" s="632">
        <v>9</v>
      </c>
      <c r="B21" s="333"/>
      <c r="C21" s="333"/>
      <c r="D21" s="333"/>
      <c r="E21" s="450"/>
      <c r="F21" s="850"/>
      <c r="G21" s="450"/>
      <c r="H21" s="852" t="str">
        <f t="shared" si="4"/>
        <v/>
      </c>
      <c r="I21" s="863"/>
      <c r="J21" s="852" t="str">
        <f t="shared" si="8"/>
        <v/>
      </c>
      <c r="K21" s="863"/>
      <c r="L21" s="852" t="str">
        <f t="shared" si="5"/>
        <v/>
      </c>
      <c r="M21" s="868" t="str">
        <f t="shared" si="6"/>
        <v/>
      </c>
      <c r="N21" s="452"/>
      <c r="O21" s="453"/>
      <c r="P21" s="454" t="str">
        <f t="shared" si="7"/>
        <v/>
      </c>
      <c r="Q21" s="394" t="str">
        <f t="shared" si="0"/>
        <v/>
      </c>
      <c r="R21" s="394" t="str">
        <f t="shared" si="0"/>
        <v/>
      </c>
      <c r="S21" s="873" t="str">
        <f t="shared" si="0"/>
        <v/>
      </c>
      <c r="T21" s="881" t="str">
        <f t="shared" si="0"/>
        <v/>
      </c>
      <c r="U21" s="394" t="str">
        <f t="shared" si="0"/>
        <v/>
      </c>
      <c r="V21" s="882" t="str">
        <f t="shared" si="0"/>
        <v/>
      </c>
      <c r="W21" s="888" t="str">
        <f t="shared" si="0"/>
        <v/>
      </c>
      <c r="X21" s="852" t="str">
        <f t="shared" si="0"/>
        <v/>
      </c>
      <c r="Y21" s="888" t="str">
        <f t="shared" si="0"/>
        <v/>
      </c>
      <c r="Z21" s="852" t="str">
        <f t="shared" si="0"/>
        <v/>
      </c>
      <c r="AA21" s="868" t="str">
        <f t="shared" si="1"/>
        <v/>
      </c>
      <c r="AB21" s="391"/>
      <c r="AC21" s="712" t="str">
        <f t="shared" si="2"/>
        <v/>
      </c>
      <c r="AD21" s="455"/>
      <c r="AE21" s="456" t="str" cm="1">
        <f t="array" ref="AE21">_xlfn.IFS(M21="","",AC21&gt;M21,"KO : Le montant retenu est supérieur au montant présenté. Merci de revoir la ligne de dépense ou plafonner son montant.",AC21=0,"Attention : montant présenté entièrement écarté",M21=0,"",AC21=M21,"OK",AC21&lt;M21,"Attention : Montant présenté partiellement écarté.")</f>
        <v/>
      </c>
      <c r="AF21" s="457" t="str">
        <f t="shared" si="3"/>
        <v/>
      </c>
      <c r="AI21" s="347"/>
      <c r="AJ21" s="347"/>
      <c r="AK21" s="347"/>
    </row>
    <row r="22" spans="1:37" ht="15.95">
      <c r="A22" s="632">
        <v>10</v>
      </c>
      <c r="B22" s="333"/>
      <c r="C22" s="333"/>
      <c r="D22" s="333"/>
      <c r="E22" s="450"/>
      <c r="F22" s="850"/>
      <c r="G22" s="450"/>
      <c r="H22" s="852" t="str">
        <f t="shared" si="4"/>
        <v/>
      </c>
      <c r="I22" s="863"/>
      <c r="J22" s="852" t="str">
        <f t="shared" si="8"/>
        <v/>
      </c>
      <c r="K22" s="863"/>
      <c r="L22" s="852" t="str">
        <f t="shared" si="5"/>
        <v/>
      </c>
      <c r="M22" s="868" t="str">
        <f t="shared" si="6"/>
        <v/>
      </c>
      <c r="N22" s="452"/>
      <c r="O22" s="453"/>
      <c r="P22" s="454" t="str">
        <f t="shared" si="7"/>
        <v/>
      </c>
      <c r="Q22" s="394" t="str">
        <f t="shared" si="0"/>
        <v/>
      </c>
      <c r="R22" s="394" t="str">
        <f t="shared" si="0"/>
        <v/>
      </c>
      <c r="S22" s="873" t="str">
        <f t="shared" si="0"/>
        <v/>
      </c>
      <c r="T22" s="881" t="str">
        <f t="shared" si="0"/>
        <v/>
      </c>
      <c r="U22" s="394" t="str">
        <f t="shared" si="0"/>
        <v/>
      </c>
      <c r="V22" s="882" t="str">
        <f t="shared" si="0"/>
        <v/>
      </c>
      <c r="W22" s="888" t="str">
        <f t="shared" si="0"/>
        <v/>
      </c>
      <c r="X22" s="852" t="str">
        <f t="shared" si="0"/>
        <v/>
      </c>
      <c r="Y22" s="888" t="str">
        <f t="shared" si="0"/>
        <v/>
      </c>
      <c r="Z22" s="852" t="str">
        <f t="shared" si="0"/>
        <v/>
      </c>
      <c r="AA22" s="868" t="str">
        <f t="shared" si="1"/>
        <v/>
      </c>
      <c r="AB22" s="391"/>
      <c r="AC22" s="712" t="str">
        <f t="shared" si="2"/>
        <v/>
      </c>
      <c r="AD22" s="455"/>
      <c r="AE22" s="456" t="str" cm="1">
        <f t="array" ref="AE22">_xlfn.IFS(M22="","",AC22&gt;M22,"KO : Le montant retenu est supérieur au montant présenté. Merci de revoir la ligne de dépense ou plafonner son montant.",AC22=0,"Attention : montant présenté entièrement écarté",M22=0,"",AC22=M22,"OK",AC22&lt;M22,"Attention : Montant présenté partiellement écarté.")</f>
        <v/>
      </c>
      <c r="AF22" s="457" t="str">
        <f t="shared" si="3"/>
        <v/>
      </c>
      <c r="AI22" s="347"/>
      <c r="AJ22" s="347"/>
      <c r="AK22" s="347"/>
    </row>
    <row r="23" spans="1:37" ht="15.95">
      <c r="A23" s="632">
        <v>11</v>
      </c>
      <c r="B23" s="333"/>
      <c r="C23" s="333"/>
      <c r="D23" s="333"/>
      <c r="E23" s="450"/>
      <c r="F23" s="850"/>
      <c r="G23" s="450"/>
      <c r="H23" s="852" t="str">
        <f t="shared" si="4"/>
        <v/>
      </c>
      <c r="I23" s="863"/>
      <c r="J23" s="852" t="str">
        <f t="shared" si="8"/>
        <v/>
      </c>
      <c r="K23" s="863"/>
      <c r="L23" s="852" t="str">
        <f t="shared" si="5"/>
        <v/>
      </c>
      <c r="M23" s="868" t="str">
        <f t="shared" si="6"/>
        <v/>
      </c>
      <c r="N23" s="452"/>
      <c r="O23" s="453"/>
      <c r="P23" s="454" t="str">
        <f t="shared" si="7"/>
        <v/>
      </c>
      <c r="Q23" s="394" t="str">
        <f t="shared" si="0"/>
        <v/>
      </c>
      <c r="R23" s="394" t="str">
        <f t="shared" si="0"/>
        <v/>
      </c>
      <c r="S23" s="873" t="str">
        <f t="shared" si="0"/>
        <v/>
      </c>
      <c r="T23" s="881" t="str">
        <f t="shared" si="0"/>
        <v/>
      </c>
      <c r="U23" s="394" t="str">
        <f t="shared" si="0"/>
        <v/>
      </c>
      <c r="V23" s="882" t="str">
        <f t="shared" si="0"/>
        <v/>
      </c>
      <c r="W23" s="888" t="str">
        <f t="shared" si="0"/>
        <v/>
      </c>
      <c r="X23" s="852" t="str">
        <f t="shared" si="0"/>
        <v/>
      </c>
      <c r="Y23" s="888" t="str">
        <f t="shared" si="0"/>
        <v/>
      </c>
      <c r="Z23" s="852" t="str">
        <f t="shared" si="0"/>
        <v/>
      </c>
      <c r="AA23" s="868" t="str">
        <f t="shared" si="1"/>
        <v/>
      </c>
      <c r="AB23" s="391"/>
      <c r="AC23" s="712" t="str">
        <f t="shared" si="2"/>
        <v/>
      </c>
      <c r="AD23" s="455"/>
      <c r="AE23" s="456" t="str" cm="1">
        <f t="array" ref="AE23">_xlfn.IFS(M23="","",AC23&gt;M23,"KO : Le montant retenu est supérieur au montant présenté. Merci de revoir la ligne de dépense ou plafonner son montant.",AC23=0,"Attention : montant présenté entièrement écarté",M23=0,"",AC23=M23,"OK",AC23&lt;M23,"Attention : Montant présenté partiellement écarté.")</f>
        <v/>
      </c>
      <c r="AF23" s="457" t="str">
        <f t="shared" si="3"/>
        <v/>
      </c>
      <c r="AI23" s="347"/>
      <c r="AJ23" s="347"/>
      <c r="AK23" s="347"/>
    </row>
    <row r="24" spans="1:37" ht="15.95">
      <c r="A24" s="632">
        <v>12</v>
      </c>
      <c r="B24" s="333"/>
      <c r="C24" s="333"/>
      <c r="D24" s="333"/>
      <c r="E24" s="450"/>
      <c r="F24" s="850"/>
      <c r="G24" s="450"/>
      <c r="H24" s="852" t="str">
        <f t="shared" si="4"/>
        <v/>
      </c>
      <c r="I24" s="863"/>
      <c r="J24" s="852" t="str">
        <f t="shared" si="8"/>
        <v/>
      </c>
      <c r="K24" s="863"/>
      <c r="L24" s="852" t="str">
        <f t="shared" si="5"/>
        <v/>
      </c>
      <c r="M24" s="868" t="str">
        <f t="shared" si="6"/>
        <v/>
      </c>
      <c r="N24" s="452"/>
      <c r="O24" s="453"/>
      <c r="P24" s="454" t="str">
        <f t="shared" si="7"/>
        <v/>
      </c>
      <c r="Q24" s="394" t="str">
        <f t="shared" si="0"/>
        <v/>
      </c>
      <c r="R24" s="394" t="str">
        <f t="shared" si="0"/>
        <v/>
      </c>
      <c r="S24" s="873" t="str">
        <f t="shared" si="0"/>
        <v/>
      </c>
      <c r="T24" s="881" t="str">
        <f t="shared" si="0"/>
        <v/>
      </c>
      <c r="U24" s="394" t="str">
        <f t="shared" si="0"/>
        <v/>
      </c>
      <c r="V24" s="882" t="str">
        <f t="shared" si="0"/>
        <v/>
      </c>
      <c r="W24" s="888" t="str">
        <f t="shared" si="0"/>
        <v/>
      </c>
      <c r="X24" s="852" t="str">
        <f t="shared" si="0"/>
        <v/>
      </c>
      <c r="Y24" s="888" t="str">
        <f t="shared" si="0"/>
        <v/>
      </c>
      <c r="Z24" s="852" t="str">
        <f t="shared" si="0"/>
        <v/>
      </c>
      <c r="AA24" s="868" t="str">
        <f t="shared" si="1"/>
        <v/>
      </c>
      <c r="AB24" s="391"/>
      <c r="AC24" s="712" t="str">
        <f t="shared" si="2"/>
        <v/>
      </c>
      <c r="AD24" s="455"/>
      <c r="AE24" s="456" t="str" cm="1">
        <f t="array" ref="AE24">_xlfn.IFS(M24="","",AC24&gt;M24,"KO : Le montant retenu est supérieur au montant présenté. Merci de revoir la ligne de dépense ou plafonner son montant.",AC24=0,"Attention : montant présenté entièrement écarté",M24=0,"",AC24=M24,"OK",AC24&lt;M24,"Attention : Montant présenté partiellement écarté.")</f>
        <v/>
      </c>
      <c r="AF24" s="457" t="str">
        <f t="shared" si="3"/>
        <v/>
      </c>
      <c r="AI24" s="347"/>
      <c r="AJ24" s="347"/>
      <c r="AK24" s="347"/>
    </row>
    <row r="25" spans="1:37" ht="15.95">
      <c r="A25" s="632">
        <v>13</v>
      </c>
      <c r="B25" s="333"/>
      <c r="C25" s="333"/>
      <c r="D25" s="333"/>
      <c r="E25" s="450"/>
      <c r="F25" s="850"/>
      <c r="G25" s="450"/>
      <c r="H25" s="852" t="str">
        <f t="shared" si="4"/>
        <v/>
      </c>
      <c r="I25" s="863"/>
      <c r="J25" s="852" t="str">
        <f t="shared" si="8"/>
        <v/>
      </c>
      <c r="K25" s="863"/>
      <c r="L25" s="852" t="str">
        <f t="shared" si="5"/>
        <v/>
      </c>
      <c r="M25" s="868" t="str">
        <f t="shared" si="6"/>
        <v/>
      </c>
      <c r="N25" s="452"/>
      <c r="O25" s="453"/>
      <c r="P25" s="454" t="str">
        <f t="shared" si="7"/>
        <v/>
      </c>
      <c r="Q25" s="394" t="str">
        <f t="shared" si="0"/>
        <v/>
      </c>
      <c r="R25" s="394" t="str">
        <f t="shared" si="0"/>
        <v/>
      </c>
      <c r="S25" s="873" t="str">
        <f t="shared" si="0"/>
        <v/>
      </c>
      <c r="T25" s="881" t="str">
        <f t="shared" si="0"/>
        <v/>
      </c>
      <c r="U25" s="394" t="str">
        <f t="shared" si="0"/>
        <v/>
      </c>
      <c r="V25" s="882" t="str">
        <f t="shared" si="0"/>
        <v/>
      </c>
      <c r="W25" s="888" t="str">
        <f t="shared" si="0"/>
        <v/>
      </c>
      <c r="X25" s="852" t="str">
        <f t="shared" si="0"/>
        <v/>
      </c>
      <c r="Y25" s="888" t="str">
        <f t="shared" si="0"/>
        <v/>
      </c>
      <c r="Z25" s="852" t="str">
        <f t="shared" si="0"/>
        <v/>
      </c>
      <c r="AA25" s="868" t="str">
        <f t="shared" si="1"/>
        <v/>
      </c>
      <c r="AB25" s="391"/>
      <c r="AC25" s="712" t="str">
        <f t="shared" si="2"/>
        <v/>
      </c>
      <c r="AD25" s="455"/>
      <c r="AE25" s="456" t="str" cm="1">
        <f t="array" ref="AE25">_xlfn.IFS(M25="","",AC25&gt;M25,"KO : Le montant retenu est supérieur au montant présenté. Merci de revoir la ligne de dépense ou plafonner son montant.",AC25=0,"Attention : montant présenté entièrement écarté",M25=0,"",AC25=M25,"OK",AC25&lt;M25,"Attention : Montant présenté partiellement écarté.")</f>
        <v/>
      </c>
      <c r="AF25" s="457" t="str">
        <f t="shared" si="3"/>
        <v/>
      </c>
      <c r="AI25" s="347"/>
      <c r="AJ25" s="347"/>
      <c r="AK25" s="347"/>
    </row>
    <row r="26" spans="1:37" ht="15.95">
      <c r="A26" s="632">
        <v>14</v>
      </c>
      <c r="B26" s="333"/>
      <c r="C26" s="333"/>
      <c r="D26" s="333"/>
      <c r="E26" s="450"/>
      <c r="F26" s="850"/>
      <c r="G26" s="450"/>
      <c r="H26" s="852" t="str">
        <f t="shared" si="4"/>
        <v/>
      </c>
      <c r="I26" s="863"/>
      <c r="J26" s="852" t="str">
        <f t="shared" si="8"/>
        <v/>
      </c>
      <c r="K26" s="863"/>
      <c r="L26" s="852" t="str">
        <f t="shared" si="5"/>
        <v/>
      </c>
      <c r="M26" s="868" t="str">
        <f t="shared" si="6"/>
        <v/>
      </c>
      <c r="N26" s="452"/>
      <c r="O26" s="453"/>
      <c r="P26" s="454" t="str">
        <f t="shared" si="7"/>
        <v/>
      </c>
      <c r="Q26" s="394" t="str">
        <f t="shared" si="0"/>
        <v/>
      </c>
      <c r="R26" s="394" t="str">
        <f t="shared" si="0"/>
        <v/>
      </c>
      <c r="S26" s="873" t="str">
        <f t="shared" si="0"/>
        <v/>
      </c>
      <c r="T26" s="881" t="str">
        <f t="shared" si="0"/>
        <v/>
      </c>
      <c r="U26" s="394" t="str">
        <f t="shared" si="0"/>
        <v/>
      </c>
      <c r="V26" s="882" t="str">
        <f t="shared" si="0"/>
        <v/>
      </c>
      <c r="W26" s="888" t="str">
        <f t="shared" si="0"/>
        <v/>
      </c>
      <c r="X26" s="852" t="str">
        <f t="shared" si="0"/>
        <v/>
      </c>
      <c r="Y26" s="888" t="str">
        <f t="shared" si="0"/>
        <v/>
      </c>
      <c r="Z26" s="852" t="str">
        <f t="shared" si="0"/>
        <v/>
      </c>
      <c r="AA26" s="868" t="str">
        <f t="shared" si="1"/>
        <v/>
      </c>
      <c r="AB26" s="391"/>
      <c r="AC26" s="712" t="str">
        <f t="shared" si="2"/>
        <v/>
      </c>
      <c r="AD26" s="455"/>
      <c r="AE26" s="456" t="str" cm="1">
        <f t="array" ref="AE26">_xlfn.IFS(M26="","",AC26&gt;M26,"KO : Le montant retenu est supérieur au montant présenté. Merci de revoir la ligne de dépense ou plafonner son montant.",AC26=0,"Attention : montant présenté entièrement écarté",M26=0,"",AC26=M26,"OK",AC26&lt;M26,"Attention : Montant présenté partiellement écarté.")</f>
        <v/>
      </c>
      <c r="AF26" s="457" t="str">
        <f t="shared" si="3"/>
        <v/>
      </c>
      <c r="AI26" s="347"/>
      <c r="AJ26" s="347"/>
      <c r="AK26" s="347"/>
    </row>
    <row r="27" spans="1:37" ht="15.95">
      <c r="A27" s="632">
        <v>15</v>
      </c>
      <c r="B27" s="333"/>
      <c r="C27" s="333"/>
      <c r="D27" s="333"/>
      <c r="E27" s="450"/>
      <c r="F27" s="850"/>
      <c r="G27" s="450"/>
      <c r="H27" s="852" t="str">
        <f t="shared" si="4"/>
        <v/>
      </c>
      <c r="I27" s="863"/>
      <c r="J27" s="852" t="str">
        <f t="shared" si="8"/>
        <v/>
      </c>
      <c r="K27" s="863"/>
      <c r="L27" s="852" t="str">
        <f t="shared" si="5"/>
        <v/>
      </c>
      <c r="M27" s="868" t="str">
        <f t="shared" si="6"/>
        <v/>
      </c>
      <c r="N27" s="452"/>
      <c r="O27" s="453"/>
      <c r="P27" s="454" t="str">
        <f t="shared" si="7"/>
        <v/>
      </c>
      <c r="Q27" s="394" t="str">
        <f t="shared" si="0"/>
        <v/>
      </c>
      <c r="R27" s="394" t="str">
        <f t="shared" si="0"/>
        <v/>
      </c>
      <c r="S27" s="873" t="str">
        <f t="shared" si="0"/>
        <v/>
      </c>
      <c r="T27" s="881" t="str">
        <f t="shared" si="0"/>
        <v/>
      </c>
      <c r="U27" s="394" t="str">
        <f t="shared" si="0"/>
        <v/>
      </c>
      <c r="V27" s="882" t="str">
        <f t="shared" si="0"/>
        <v/>
      </c>
      <c r="W27" s="888" t="str">
        <f t="shared" si="0"/>
        <v/>
      </c>
      <c r="X27" s="852" t="str">
        <f t="shared" si="0"/>
        <v/>
      </c>
      <c r="Y27" s="888" t="str">
        <f t="shared" si="0"/>
        <v/>
      </c>
      <c r="Z27" s="852" t="str">
        <f t="shared" si="0"/>
        <v/>
      </c>
      <c r="AA27" s="868" t="str">
        <f t="shared" si="1"/>
        <v/>
      </c>
      <c r="AB27" s="391"/>
      <c r="AC27" s="712" t="str">
        <f t="shared" si="2"/>
        <v/>
      </c>
      <c r="AD27" s="455"/>
      <c r="AE27" s="456" t="str" cm="1">
        <f t="array" ref="AE27">_xlfn.IFS(M27="","",AC27&gt;M27,"KO : Le montant retenu est supérieur au montant présenté. Merci de revoir la ligne de dépense ou plafonner son montant.",AC27=0,"Attention : montant présenté entièrement écarté",M27=0,"",AC27=M27,"OK",AC27&lt;M27,"Attention : Montant présenté partiellement écarté.")</f>
        <v/>
      </c>
      <c r="AF27" s="457" t="str">
        <f t="shared" si="3"/>
        <v/>
      </c>
      <c r="AI27" s="347"/>
      <c r="AJ27" s="347"/>
      <c r="AK27" s="347"/>
    </row>
    <row r="28" spans="1:37" ht="15.95">
      <c r="A28" s="632">
        <v>16</v>
      </c>
      <c r="B28" s="333"/>
      <c r="C28" s="333"/>
      <c r="D28" s="333"/>
      <c r="E28" s="450"/>
      <c r="F28" s="850"/>
      <c r="G28" s="450"/>
      <c r="H28" s="852" t="str">
        <f t="shared" si="4"/>
        <v/>
      </c>
      <c r="I28" s="863"/>
      <c r="J28" s="852" t="str">
        <f t="shared" si="8"/>
        <v/>
      </c>
      <c r="K28" s="863"/>
      <c r="L28" s="852" t="str">
        <f t="shared" si="5"/>
        <v/>
      </c>
      <c r="M28" s="868" t="str">
        <f t="shared" si="6"/>
        <v/>
      </c>
      <c r="N28" s="452"/>
      <c r="O28" s="453"/>
      <c r="P28" s="454" t="str">
        <f t="shared" si="7"/>
        <v/>
      </c>
      <c r="Q28" s="394" t="str">
        <f t="shared" si="0"/>
        <v/>
      </c>
      <c r="R28" s="394" t="str">
        <f t="shared" si="0"/>
        <v/>
      </c>
      <c r="S28" s="873" t="str">
        <f t="shared" si="0"/>
        <v/>
      </c>
      <c r="T28" s="881" t="str">
        <f t="shared" si="0"/>
        <v/>
      </c>
      <c r="U28" s="394" t="str">
        <f t="shared" si="0"/>
        <v/>
      </c>
      <c r="V28" s="882" t="str">
        <f t="shared" si="0"/>
        <v/>
      </c>
      <c r="W28" s="888" t="str">
        <f t="shared" si="0"/>
        <v/>
      </c>
      <c r="X28" s="852" t="str">
        <f t="shared" si="0"/>
        <v/>
      </c>
      <c r="Y28" s="888" t="str">
        <f t="shared" si="0"/>
        <v/>
      </c>
      <c r="Z28" s="852" t="str">
        <f t="shared" si="0"/>
        <v/>
      </c>
      <c r="AA28" s="868" t="str">
        <f t="shared" si="1"/>
        <v/>
      </c>
      <c r="AB28" s="391"/>
      <c r="AC28" s="712" t="str">
        <f t="shared" si="2"/>
        <v/>
      </c>
      <c r="AD28" s="455"/>
      <c r="AE28" s="456" t="str" cm="1">
        <f t="array" ref="AE28">_xlfn.IFS(M28="","",AC28&gt;M28,"KO : Le montant retenu est supérieur au montant présenté. Merci de revoir la ligne de dépense ou plafonner son montant.",AC28=0,"Attention : montant présenté entièrement écarté",M28=0,"",AC28=M28,"OK",AC28&lt;M28,"Attention : Montant présenté partiellement écarté.")</f>
        <v/>
      </c>
      <c r="AF28" s="457" t="str">
        <f t="shared" si="3"/>
        <v/>
      </c>
      <c r="AI28" s="347"/>
      <c r="AJ28" s="347"/>
      <c r="AK28" s="347"/>
    </row>
    <row r="29" spans="1:37" ht="15.95">
      <c r="A29" s="632">
        <v>17</v>
      </c>
      <c r="B29" s="333"/>
      <c r="C29" s="333"/>
      <c r="D29" s="333"/>
      <c r="E29" s="450"/>
      <c r="F29" s="850"/>
      <c r="G29" s="450"/>
      <c r="H29" s="852" t="str">
        <f t="shared" si="4"/>
        <v/>
      </c>
      <c r="I29" s="863"/>
      <c r="J29" s="852" t="str">
        <f t="shared" si="8"/>
        <v/>
      </c>
      <c r="K29" s="863"/>
      <c r="L29" s="852" t="str">
        <f t="shared" si="5"/>
        <v/>
      </c>
      <c r="M29" s="868" t="str">
        <f t="shared" si="6"/>
        <v/>
      </c>
      <c r="N29" s="452"/>
      <c r="O29" s="453"/>
      <c r="P29" s="454" t="str">
        <f t="shared" si="7"/>
        <v/>
      </c>
      <c r="Q29" s="394" t="str">
        <f t="shared" si="7"/>
        <v/>
      </c>
      <c r="R29" s="394" t="str">
        <f t="shared" si="7"/>
        <v/>
      </c>
      <c r="S29" s="873" t="str">
        <f t="shared" si="7"/>
        <v/>
      </c>
      <c r="T29" s="881" t="str">
        <f t="shared" si="7"/>
        <v/>
      </c>
      <c r="U29" s="394" t="str">
        <f t="shared" si="7"/>
        <v/>
      </c>
      <c r="V29" s="882" t="str">
        <f t="shared" si="7"/>
        <v/>
      </c>
      <c r="W29" s="888" t="str">
        <f t="shared" si="7"/>
        <v/>
      </c>
      <c r="X29" s="852" t="str">
        <f t="shared" si="7"/>
        <v/>
      </c>
      <c r="Y29" s="888" t="str">
        <f t="shared" si="7"/>
        <v/>
      </c>
      <c r="Z29" s="852" t="str">
        <f t="shared" si="7"/>
        <v/>
      </c>
      <c r="AA29" s="868" t="str">
        <f t="shared" si="1"/>
        <v/>
      </c>
      <c r="AB29" s="391"/>
      <c r="AC29" s="712" t="str">
        <f t="shared" si="2"/>
        <v/>
      </c>
      <c r="AD29" s="455"/>
      <c r="AE29" s="456" t="str" cm="1">
        <f t="array" ref="AE29">_xlfn.IFS(M29="","",AC29&gt;M29,"KO : Le montant retenu est supérieur au montant présenté. Merci de revoir la ligne de dépense ou plafonner son montant.",AC29=0,"Attention : montant présenté entièrement écarté",M29=0,"",AC29=M29,"OK",AC29&lt;M29,"Attention : Montant présenté partiellement écarté.")</f>
        <v/>
      </c>
      <c r="AF29" s="457" t="str">
        <f t="shared" si="3"/>
        <v/>
      </c>
      <c r="AI29" s="347"/>
      <c r="AJ29" s="347"/>
      <c r="AK29" s="347"/>
    </row>
    <row r="30" spans="1:37" ht="15.95">
      <c r="A30" s="632">
        <v>18</v>
      </c>
      <c r="B30" s="333"/>
      <c r="C30" s="333"/>
      <c r="D30" s="333"/>
      <c r="E30" s="450"/>
      <c r="F30" s="850"/>
      <c r="G30" s="450"/>
      <c r="H30" s="852" t="str">
        <f t="shared" si="4"/>
        <v/>
      </c>
      <c r="I30" s="863"/>
      <c r="J30" s="852" t="str">
        <f t="shared" si="8"/>
        <v/>
      </c>
      <c r="K30" s="863"/>
      <c r="L30" s="852" t="str">
        <f t="shared" si="5"/>
        <v/>
      </c>
      <c r="M30" s="868" t="str">
        <f t="shared" si="6"/>
        <v/>
      </c>
      <c r="N30" s="452"/>
      <c r="O30" s="453"/>
      <c r="P30" s="454" t="str">
        <f t="shared" si="7"/>
        <v/>
      </c>
      <c r="Q30" s="394" t="str">
        <f t="shared" si="7"/>
        <v/>
      </c>
      <c r="R30" s="394" t="str">
        <f t="shared" si="7"/>
        <v/>
      </c>
      <c r="S30" s="873" t="str">
        <f t="shared" si="7"/>
        <v/>
      </c>
      <c r="T30" s="881" t="str">
        <f t="shared" si="7"/>
        <v/>
      </c>
      <c r="U30" s="394" t="str">
        <f t="shared" si="7"/>
        <v/>
      </c>
      <c r="V30" s="882" t="str">
        <f t="shared" si="7"/>
        <v/>
      </c>
      <c r="W30" s="888" t="str">
        <f t="shared" si="7"/>
        <v/>
      </c>
      <c r="X30" s="852" t="str">
        <f t="shared" si="7"/>
        <v/>
      </c>
      <c r="Y30" s="888" t="str">
        <f t="shared" si="7"/>
        <v/>
      </c>
      <c r="Z30" s="852" t="str">
        <f t="shared" si="7"/>
        <v/>
      </c>
      <c r="AA30" s="868" t="str">
        <f t="shared" si="1"/>
        <v/>
      </c>
      <c r="AB30" s="391"/>
      <c r="AC30" s="712" t="str">
        <f t="shared" si="2"/>
        <v/>
      </c>
      <c r="AD30" s="455"/>
      <c r="AE30" s="456" t="str" cm="1">
        <f t="array" ref="AE30">_xlfn.IFS(M30="","",AC30&gt;M30,"KO : Le montant retenu est supérieur au montant présenté. Merci de revoir la ligne de dépense ou plafonner son montant.",AC30=0,"Attention : montant présenté entièrement écarté",M30=0,"",AC30=M30,"OK",AC30&lt;M30,"Attention : Montant présenté partiellement écarté.")</f>
        <v/>
      </c>
      <c r="AF30" s="457" t="str">
        <f t="shared" si="3"/>
        <v/>
      </c>
      <c r="AI30" s="347"/>
      <c r="AJ30" s="347"/>
      <c r="AK30" s="347"/>
    </row>
    <row r="31" spans="1:37" ht="15.95">
      <c r="A31" s="632">
        <v>19</v>
      </c>
      <c r="B31" s="333"/>
      <c r="C31" s="333"/>
      <c r="D31" s="333"/>
      <c r="E31" s="450"/>
      <c r="F31" s="850"/>
      <c r="G31" s="450"/>
      <c r="H31" s="852" t="str">
        <f t="shared" si="4"/>
        <v/>
      </c>
      <c r="I31" s="863"/>
      <c r="J31" s="852" t="str">
        <f t="shared" si="8"/>
        <v/>
      </c>
      <c r="K31" s="863"/>
      <c r="L31" s="852" t="str">
        <f t="shared" si="5"/>
        <v/>
      </c>
      <c r="M31" s="868" t="str">
        <f t="shared" si="6"/>
        <v/>
      </c>
      <c r="N31" s="452"/>
      <c r="O31" s="453"/>
      <c r="P31" s="454" t="str">
        <f t="shared" si="7"/>
        <v/>
      </c>
      <c r="Q31" s="394" t="str">
        <f t="shared" si="7"/>
        <v/>
      </c>
      <c r="R31" s="394" t="str">
        <f t="shared" si="7"/>
        <v/>
      </c>
      <c r="S31" s="873" t="str">
        <f t="shared" si="7"/>
        <v/>
      </c>
      <c r="T31" s="881" t="str">
        <f t="shared" si="7"/>
        <v/>
      </c>
      <c r="U31" s="394" t="str">
        <f t="shared" si="7"/>
        <v/>
      </c>
      <c r="V31" s="882" t="str">
        <f t="shared" si="7"/>
        <v/>
      </c>
      <c r="W31" s="888" t="str">
        <f t="shared" si="7"/>
        <v/>
      </c>
      <c r="X31" s="852" t="str">
        <f t="shared" si="7"/>
        <v/>
      </c>
      <c r="Y31" s="888" t="str">
        <f t="shared" si="7"/>
        <v/>
      </c>
      <c r="Z31" s="852" t="str">
        <f t="shared" si="7"/>
        <v/>
      </c>
      <c r="AA31" s="868" t="str">
        <f t="shared" si="1"/>
        <v/>
      </c>
      <c r="AB31" s="391"/>
      <c r="AC31" s="712" t="str">
        <f t="shared" si="2"/>
        <v/>
      </c>
      <c r="AD31" s="455"/>
      <c r="AE31" s="456" t="str" cm="1">
        <f t="array" ref="AE31">_xlfn.IFS(M31="","",AC31&gt;M31,"KO : Le montant retenu est supérieur au montant présenté. Merci de revoir la ligne de dépense ou plafonner son montant.",AC31=0,"Attention : montant présenté entièrement écarté",M31=0,"",AC31=M31,"OK",AC31&lt;M31,"Attention : Montant présenté partiellement écarté.")</f>
        <v/>
      </c>
      <c r="AF31" s="457" t="str">
        <f t="shared" si="3"/>
        <v/>
      </c>
      <c r="AI31" s="347"/>
      <c r="AJ31" s="347"/>
      <c r="AK31" s="347"/>
    </row>
    <row r="32" spans="1:37" ht="15.95">
      <c r="A32" s="632">
        <v>20</v>
      </c>
      <c r="B32" s="333"/>
      <c r="C32" s="333"/>
      <c r="D32" s="333"/>
      <c r="E32" s="450"/>
      <c r="F32" s="850"/>
      <c r="G32" s="450"/>
      <c r="H32" s="852" t="str">
        <f t="shared" si="4"/>
        <v/>
      </c>
      <c r="I32" s="863"/>
      <c r="J32" s="852" t="str">
        <f t="shared" si="8"/>
        <v/>
      </c>
      <c r="K32" s="863"/>
      <c r="L32" s="852" t="str">
        <f t="shared" si="5"/>
        <v/>
      </c>
      <c r="M32" s="868" t="str">
        <f t="shared" si="6"/>
        <v/>
      </c>
      <c r="N32" s="452"/>
      <c r="O32" s="453"/>
      <c r="P32" s="454" t="str">
        <f t="shared" si="7"/>
        <v/>
      </c>
      <c r="Q32" s="394" t="str">
        <f t="shared" si="7"/>
        <v/>
      </c>
      <c r="R32" s="394" t="str">
        <f t="shared" si="7"/>
        <v/>
      </c>
      <c r="S32" s="873" t="str">
        <f t="shared" si="7"/>
        <v/>
      </c>
      <c r="T32" s="881" t="str">
        <f t="shared" si="7"/>
        <v/>
      </c>
      <c r="U32" s="394" t="str">
        <f t="shared" si="7"/>
        <v/>
      </c>
      <c r="V32" s="882" t="str">
        <f t="shared" si="7"/>
        <v/>
      </c>
      <c r="W32" s="888" t="str">
        <f t="shared" si="7"/>
        <v/>
      </c>
      <c r="X32" s="852" t="str">
        <f t="shared" si="7"/>
        <v/>
      </c>
      <c r="Y32" s="888" t="str">
        <f t="shared" si="7"/>
        <v/>
      </c>
      <c r="Z32" s="852" t="str">
        <f t="shared" si="7"/>
        <v/>
      </c>
      <c r="AA32" s="868" t="str">
        <f t="shared" si="1"/>
        <v/>
      </c>
      <c r="AB32" s="391"/>
      <c r="AC32" s="712" t="str">
        <f t="shared" si="2"/>
        <v/>
      </c>
      <c r="AD32" s="455"/>
      <c r="AE32" s="456" t="str" cm="1">
        <f t="array" ref="AE32">_xlfn.IFS(M32="","",AC32&gt;M32,"KO : Le montant retenu est supérieur au montant présenté. Merci de revoir la ligne de dépense ou plafonner son montant.",AC32=0,"Attention : montant présenté entièrement écarté",M32=0,"",AC32=M32,"OK",AC32&lt;M32,"Attention : Montant présenté partiellement écarté.")</f>
        <v/>
      </c>
      <c r="AF32" s="457" t="str">
        <f t="shared" si="3"/>
        <v/>
      </c>
      <c r="AI32" s="347"/>
      <c r="AJ32" s="347"/>
      <c r="AK32" s="347"/>
    </row>
    <row r="33" spans="1:37" ht="15.95">
      <c r="A33" s="632">
        <v>21</v>
      </c>
      <c r="B33" s="333"/>
      <c r="C33" s="333"/>
      <c r="D33" s="333"/>
      <c r="E33" s="450"/>
      <c r="F33" s="850"/>
      <c r="G33" s="450"/>
      <c r="H33" s="852" t="str">
        <f t="shared" si="4"/>
        <v/>
      </c>
      <c r="I33" s="863"/>
      <c r="J33" s="852" t="str">
        <f t="shared" si="8"/>
        <v/>
      </c>
      <c r="K33" s="863"/>
      <c r="L33" s="852" t="str">
        <f t="shared" si="5"/>
        <v/>
      </c>
      <c r="M33" s="868" t="str">
        <f t="shared" si="6"/>
        <v/>
      </c>
      <c r="N33" s="452"/>
      <c r="O33" s="453"/>
      <c r="P33" s="454" t="str">
        <f t="shared" si="7"/>
        <v/>
      </c>
      <c r="Q33" s="394" t="str">
        <f t="shared" si="7"/>
        <v/>
      </c>
      <c r="R33" s="394" t="str">
        <f t="shared" si="7"/>
        <v/>
      </c>
      <c r="S33" s="873" t="str">
        <f t="shared" si="7"/>
        <v/>
      </c>
      <c r="T33" s="881" t="str">
        <f t="shared" si="7"/>
        <v/>
      </c>
      <c r="U33" s="394" t="str">
        <f t="shared" si="7"/>
        <v/>
      </c>
      <c r="V33" s="882" t="str">
        <f t="shared" si="7"/>
        <v/>
      </c>
      <c r="W33" s="888" t="str">
        <f t="shared" si="7"/>
        <v/>
      </c>
      <c r="X33" s="852" t="str">
        <f t="shared" si="7"/>
        <v/>
      </c>
      <c r="Y33" s="888" t="str">
        <f t="shared" si="7"/>
        <v/>
      </c>
      <c r="Z33" s="852" t="str">
        <f t="shared" si="7"/>
        <v/>
      </c>
      <c r="AA33" s="868" t="str">
        <f t="shared" si="1"/>
        <v/>
      </c>
      <c r="AB33" s="391"/>
      <c r="AC33" s="712" t="str">
        <f t="shared" si="2"/>
        <v/>
      </c>
      <c r="AD33" s="455"/>
      <c r="AE33" s="456" t="str" cm="1">
        <f t="array" ref="AE33">_xlfn.IFS(M33="","",AC33&gt;M33,"KO : Le montant retenu est supérieur au montant présenté. Merci de revoir la ligne de dépense ou plafonner son montant.",AC33=0,"Attention : montant présenté entièrement écarté",M33=0,"",AC33=M33,"OK",AC33&lt;M33,"Attention : Montant présenté partiellement écarté.")</f>
        <v/>
      </c>
      <c r="AF33" s="457" t="str">
        <f t="shared" si="3"/>
        <v/>
      </c>
      <c r="AI33" s="347"/>
      <c r="AJ33" s="347"/>
      <c r="AK33" s="347"/>
    </row>
    <row r="34" spans="1:37" ht="15.95">
      <c r="A34" s="632">
        <v>22</v>
      </c>
      <c r="B34" s="333"/>
      <c r="C34" s="333"/>
      <c r="D34" s="333"/>
      <c r="E34" s="459"/>
      <c r="F34" s="853"/>
      <c r="G34" s="459"/>
      <c r="H34" s="852" t="str">
        <f t="shared" si="4"/>
        <v/>
      </c>
      <c r="I34" s="863"/>
      <c r="J34" s="852" t="str">
        <f t="shared" si="8"/>
        <v/>
      </c>
      <c r="K34" s="863"/>
      <c r="L34" s="852" t="str">
        <f t="shared" si="5"/>
        <v/>
      </c>
      <c r="M34" s="868" t="str">
        <f t="shared" si="6"/>
        <v/>
      </c>
      <c r="N34" s="460"/>
      <c r="O34" s="461"/>
      <c r="P34" s="454" t="str">
        <f t="shared" si="7"/>
        <v/>
      </c>
      <c r="Q34" s="394" t="str">
        <f t="shared" si="7"/>
        <v/>
      </c>
      <c r="R34" s="394" t="str">
        <f t="shared" si="7"/>
        <v/>
      </c>
      <c r="S34" s="873" t="str">
        <f t="shared" si="7"/>
        <v/>
      </c>
      <c r="T34" s="881" t="str">
        <f t="shared" si="7"/>
        <v/>
      </c>
      <c r="U34" s="394" t="str">
        <f t="shared" si="7"/>
        <v/>
      </c>
      <c r="V34" s="882" t="str">
        <f t="shared" si="7"/>
        <v/>
      </c>
      <c r="W34" s="888" t="str">
        <f t="shared" si="7"/>
        <v/>
      </c>
      <c r="X34" s="852" t="str">
        <f t="shared" si="7"/>
        <v/>
      </c>
      <c r="Y34" s="888" t="str">
        <f t="shared" si="7"/>
        <v/>
      </c>
      <c r="Z34" s="852" t="str">
        <f t="shared" si="7"/>
        <v/>
      </c>
      <c r="AA34" s="868" t="str">
        <f t="shared" si="1"/>
        <v/>
      </c>
      <c r="AB34" s="391"/>
      <c r="AC34" s="712" t="str">
        <f t="shared" si="2"/>
        <v/>
      </c>
      <c r="AD34" s="455"/>
      <c r="AE34" s="456" t="str" cm="1">
        <f t="array" ref="AE34">_xlfn.IFS(M34="","",AC34&gt;M34,"KO : Le montant retenu est supérieur au montant présenté. Merci de revoir la ligne de dépense ou plafonner son montant.",AC34=0,"Attention : montant présenté entièrement écarté",M34=0,"",AC34=M34,"OK",AC34&lt;M34,"Attention : Montant présenté partiellement écarté.")</f>
        <v/>
      </c>
      <c r="AF34" s="457" t="str">
        <f t="shared" si="3"/>
        <v/>
      </c>
      <c r="AI34" s="347"/>
      <c r="AJ34" s="347"/>
      <c r="AK34" s="347"/>
    </row>
    <row r="35" spans="1:37" ht="15.95">
      <c r="A35" s="632">
        <v>23</v>
      </c>
      <c r="B35" s="333"/>
      <c r="C35" s="333"/>
      <c r="D35" s="333"/>
      <c r="E35" s="459"/>
      <c r="F35" s="853"/>
      <c r="G35" s="459"/>
      <c r="H35" s="852" t="str">
        <f t="shared" si="4"/>
        <v/>
      </c>
      <c r="I35" s="863"/>
      <c r="J35" s="852" t="str">
        <f t="shared" si="8"/>
        <v/>
      </c>
      <c r="K35" s="863"/>
      <c r="L35" s="852" t="str">
        <f t="shared" si="5"/>
        <v/>
      </c>
      <c r="M35" s="868" t="str">
        <f t="shared" si="6"/>
        <v/>
      </c>
      <c r="N35" s="460"/>
      <c r="O35" s="461"/>
      <c r="P35" s="454" t="str">
        <f t="shared" si="7"/>
        <v/>
      </c>
      <c r="Q35" s="394" t="str">
        <f t="shared" si="7"/>
        <v/>
      </c>
      <c r="R35" s="394" t="str">
        <f t="shared" si="7"/>
        <v/>
      </c>
      <c r="S35" s="873" t="str">
        <f t="shared" si="7"/>
        <v/>
      </c>
      <c r="T35" s="881" t="str">
        <f t="shared" si="7"/>
        <v/>
      </c>
      <c r="U35" s="394" t="str">
        <f t="shared" si="7"/>
        <v/>
      </c>
      <c r="V35" s="882" t="str">
        <f t="shared" si="7"/>
        <v/>
      </c>
      <c r="W35" s="888" t="str">
        <f t="shared" si="7"/>
        <v/>
      </c>
      <c r="X35" s="852" t="str">
        <f t="shared" si="7"/>
        <v/>
      </c>
      <c r="Y35" s="888" t="str">
        <f t="shared" si="7"/>
        <v/>
      </c>
      <c r="Z35" s="852" t="str">
        <f t="shared" si="7"/>
        <v/>
      </c>
      <c r="AA35" s="868" t="str">
        <f t="shared" si="1"/>
        <v/>
      </c>
      <c r="AB35" s="391"/>
      <c r="AC35" s="712" t="str">
        <f t="shared" si="2"/>
        <v/>
      </c>
      <c r="AD35" s="455"/>
      <c r="AE35" s="456" t="str" cm="1">
        <f t="array" ref="AE35">_xlfn.IFS(M35="","",AC35&gt;M35,"KO : Le montant retenu est supérieur au montant présenté. Merci de revoir la ligne de dépense ou plafonner son montant.",AC35=0,"Attention : montant présenté entièrement écarté",M35=0,"",AC35=M35,"OK",AC35&lt;M35,"Attention : Montant présenté partiellement écarté.")</f>
        <v/>
      </c>
      <c r="AF35" s="457" t="str">
        <f t="shared" si="3"/>
        <v/>
      </c>
      <c r="AI35" s="347"/>
      <c r="AJ35" s="347"/>
      <c r="AK35" s="347"/>
    </row>
    <row r="36" spans="1:37" ht="15.95">
      <c r="A36" s="632">
        <v>24</v>
      </c>
      <c r="B36" s="333"/>
      <c r="C36" s="333"/>
      <c r="D36" s="333"/>
      <c r="E36" s="459"/>
      <c r="F36" s="853"/>
      <c r="G36" s="459"/>
      <c r="H36" s="852" t="str">
        <f t="shared" si="4"/>
        <v/>
      </c>
      <c r="I36" s="863"/>
      <c r="J36" s="852" t="str">
        <f t="shared" si="8"/>
        <v/>
      </c>
      <c r="K36" s="863"/>
      <c r="L36" s="852" t="str">
        <f t="shared" si="5"/>
        <v/>
      </c>
      <c r="M36" s="868" t="str">
        <f t="shared" si="6"/>
        <v/>
      </c>
      <c r="N36" s="460"/>
      <c r="O36" s="461"/>
      <c r="P36" s="454" t="str">
        <f t="shared" si="7"/>
        <v/>
      </c>
      <c r="Q36" s="394" t="str">
        <f t="shared" si="7"/>
        <v/>
      </c>
      <c r="R36" s="394" t="str">
        <f t="shared" si="7"/>
        <v/>
      </c>
      <c r="S36" s="873" t="str">
        <f t="shared" si="7"/>
        <v/>
      </c>
      <c r="T36" s="881" t="str">
        <f t="shared" si="7"/>
        <v/>
      </c>
      <c r="U36" s="394" t="str">
        <f t="shared" si="7"/>
        <v/>
      </c>
      <c r="V36" s="882" t="str">
        <f t="shared" si="7"/>
        <v/>
      </c>
      <c r="W36" s="888" t="str">
        <f t="shared" si="7"/>
        <v/>
      </c>
      <c r="X36" s="852" t="str">
        <f t="shared" si="7"/>
        <v/>
      </c>
      <c r="Y36" s="888" t="str">
        <f t="shared" si="7"/>
        <v/>
      </c>
      <c r="Z36" s="852" t="str">
        <f t="shared" si="7"/>
        <v/>
      </c>
      <c r="AA36" s="868" t="str">
        <f t="shared" si="1"/>
        <v/>
      </c>
      <c r="AB36" s="391"/>
      <c r="AC36" s="712" t="str">
        <f t="shared" si="2"/>
        <v/>
      </c>
      <c r="AD36" s="455"/>
      <c r="AE36" s="456" t="str" cm="1">
        <f t="array" ref="AE36">_xlfn.IFS(M36="","",AC36&gt;M36,"KO : Le montant retenu est supérieur au montant présenté. Merci de revoir la ligne de dépense ou plafonner son montant.",AC36=0,"Attention : montant présenté entièrement écarté",M36=0,"",AC36=M36,"OK",AC36&lt;M36,"Attention : Montant présenté partiellement écarté.")</f>
        <v/>
      </c>
      <c r="AF36" s="457" t="str">
        <f t="shared" si="3"/>
        <v/>
      </c>
      <c r="AI36" s="347"/>
      <c r="AJ36" s="347"/>
      <c r="AK36" s="347"/>
    </row>
    <row r="37" spans="1:37" ht="15.95">
      <c r="A37" s="632">
        <v>25</v>
      </c>
      <c r="B37" s="333"/>
      <c r="C37" s="333"/>
      <c r="D37" s="333"/>
      <c r="E37" s="459"/>
      <c r="F37" s="853"/>
      <c r="G37" s="459"/>
      <c r="H37" s="852" t="str">
        <f t="shared" si="4"/>
        <v/>
      </c>
      <c r="I37" s="863"/>
      <c r="J37" s="852" t="str">
        <f t="shared" si="8"/>
        <v/>
      </c>
      <c r="K37" s="863"/>
      <c r="L37" s="852" t="str">
        <f t="shared" si="5"/>
        <v/>
      </c>
      <c r="M37" s="868" t="str">
        <f t="shared" si="6"/>
        <v/>
      </c>
      <c r="N37" s="460"/>
      <c r="O37" s="462"/>
      <c r="P37" s="454" t="str">
        <f t="shared" si="7"/>
        <v/>
      </c>
      <c r="Q37" s="394" t="str">
        <f t="shared" si="7"/>
        <v/>
      </c>
      <c r="R37" s="394" t="str">
        <f t="shared" si="7"/>
        <v/>
      </c>
      <c r="S37" s="873" t="str">
        <f t="shared" si="7"/>
        <v/>
      </c>
      <c r="T37" s="881" t="str">
        <f t="shared" si="7"/>
        <v/>
      </c>
      <c r="U37" s="394" t="str">
        <f t="shared" si="7"/>
        <v/>
      </c>
      <c r="V37" s="882" t="str">
        <f t="shared" si="7"/>
        <v/>
      </c>
      <c r="W37" s="888" t="str">
        <f t="shared" si="7"/>
        <v/>
      </c>
      <c r="X37" s="852" t="str">
        <f t="shared" si="7"/>
        <v/>
      </c>
      <c r="Y37" s="888" t="str">
        <f t="shared" si="7"/>
        <v/>
      </c>
      <c r="Z37" s="852" t="str">
        <f t="shared" si="7"/>
        <v/>
      </c>
      <c r="AA37" s="868" t="str">
        <f t="shared" si="1"/>
        <v/>
      </c>
      <c r="AB37" s="391"/>
      <c r="AC37" s="712" t="str">
        <f t="shared" si="2"/>
        <v/>
      </c>
      <c r="AD37" s="455"/>
      <c r="AE37" s="456" t="str" cm="1">
        <f t="array" ref="AE37">_xlfn.IFS(M37="","",AC37&gt;M37,"KO : Le montant retenu est supérieur au montant présenté. Merci de revoir la ligne de dépense ou plafonner son montant.",AC37=0,"Attention : montant présenté entièrement écarté",M37=0,"",AC37=M37,"OK",AC37&lt;M37,"Attention : Montant présenté partiellement écarté.")</f>
        <v/>
      </c>
      <c r="AF37" s="457" t="str">
        <f t="shared" si="3"/>
        <v/>
      </c>
      <c r="AI37" s="347"/>
      <c r="AJ37" s="347"/>
      <c r="AK37" s="347"/>
    </row>
    <row r="38" spans="1:37" ht="15.95">
      <c r="A38" s="632">
        <v>26</v>
      </c>
      <c r="B38" s="333"/>
      <c r="C38" s="333"/>
      <c r="D38" s="333"/>
      <c r="E38" s="459"/>
      <c r="F38" s="853"/>
      <c r="G38" s="459"/>
      <c r="H38" s="852" t="str">
        <f t="shared" si="4"/>
        <v/>
      </c>
      <c r="I38" s="863"/>
      <c r="J38" s="852" t="str">
        <f t="shared" si="8"/>
        <v/>
      </c>
      <c r="K38" s="863"/>
      <c r="L38" s="852" t="str">
        <f t="shared" si="5"/>
        <v/>
      </c>
      <c r="M38" s="868" t="str">
        <f t="shared" si="6"/>
        <v/>
      </c>
      <c r="N38" s="460"/>
      <c r="O38" s="462"/>
      <c r="P38" s="454" t="str">
        <f t="shared" si="7"/>
        <v/>
      </c>
      <c r="Q38" s="394" t="str">
        <f t="shared" si="7"/>
        <v/>
      </c>
      <c r="R38" s="394" t="str">
        <f t="shared" si="7"/>
        <v/>
      </c>
      <c r="S38" s="873" t="str">
        <f t="shared" si="7"/>
        <v/>
      </c>
      <c r="T38" s="881" t="str">
        <f t="shared" si="7"/>
        <v/>
      </c>
      <c r="U38" s="394" t="str">
        <f t="shared" si="7"/>
        <v/>
      </c>
      <c r="V38" s="882" t="str">
        <f t="shared" si="7"/>
        <v/>
      </c>
      <c r="W38" s="888" t="str">
        <f t="shared" si="7"/>
        <v/>
      </c>
      <c r="X38" s="852" t="str">
        <f t="shared" si="7"/>
        <v/>
      </c>
      <c r="Y38" s="888" t="str">
        <f t="shared" si="7"/>
        <v/>
      </c>
      <c r="Z38" s="852" t="str">
        <f t="shared" si="7"/>
        <v/>
      </c>
      <c r="AA38" s="868" t="str">
        <f t="shared" si="1"/>
        <v/>
      </c>
      <c r="AB38" s="391"/>
      <c r="AC38" s="712" t="str">
        <f t="shared" si="2"/>
        <v/>
      </c>
      <c r="AD38" s="455"/>
      <c r="AE38" s="456" t="str" cm="1">
        <f t="array" ref="AE38">_xlfn.IFS(M38="","",AC38&gt;M38,"KO : Le montant retenu est supérieur au montant présenté. Merci de revoir la ligne de dépense ou plafonner son montant.",AC38=0,"Attention : montant présenté entièrement écarté",M38=0,"",AC38=M38,"OK",AC38&lt;M38,"Attention : Montant présenté partiellement écarté.")</f>
        <v/>
      </c>
      <c r="AF38" s="457" t="str">
        <f t="shared" si="3"/>
        <v/>
      </c>
      <c r="AI38" s="347"/>
      <c r="AJ38" s="347"/>
      <c r="AK38" s="347"/>
    </row>
    <row r="39" spans="1:37" ht="15.95">
      <c r="A39" s="632">
        <v>27</v>
      </c>
      <c r="B39" s="333"/>
      <c r="C39" s="333"/>
      <c r="D39" s="333"/>
      <c r="E39" s="459"/>
      <c r="F39" s="853"/>
      <c r="G39" s="459"/>
      <c r="H39" s="852" t="str">
        <f t="shared" si="4"/>
        <v/>
      </c>
      <c r="I39" s="863"/>
      <c r="J39" s="852" t="str">
        <f t="shared" si="8"/>
        <v/>
      </c>
      <c r="K39" s="863"/>
      <c r="L39" s="852" t="str">
        <f t="shared" si="5"/>
        <v/>
      </c>
      <c r="M39" s="868" t="str">
        <f t="shared" si="6"/>
        <v/>
      </c>
      <c r="N39" s="460"/>
      <c r="O39" s="462"/>
      <c r="P39" s="454" t="str">
        <f t="shared" si="7"/>
        <v/>
      </c>
      <c r="Q39" s="394" t="str">
        <f t="shared" si="7"/>
        <v/>
      </c>
      <c r="R39" s="394" t="str">
        <f t="shared" si="7"/>
        <v/>
      </c>
      <c r="S39" s="873" t="str">
        <f t="shared" si="7"/>
        <v/>
      </c>
      <c r="T39" s="881" t="str">
        <f t="shared" si="7"/>
        <v/>
      </c>
      <c r="U39" s="394" t="str">
        <f t="shared" si="7"/>
        <v/>
      </c>
      <c r="V39" s="882" t="str">
        <f t="shared" si="7"/>
        <v/>
      </c>
      <c r="W39" s="888" t="str">
        <f t="shared" si="7"/>
        <v/>
      </c>
      <c r="X39" s="852" t="str">
        <f t="shared" si="7"/>
        <v/>
      </c>
      <c r="Y39" s="888" t="str">
        <f t="shared" si="7"/>
        <v/>
      </c>
      <c r="Z39" s="852" t="str">
        <f t="shared" si="7"/>
        <v/>
      </c>
      <c r="AA39" s="868" t="str">
        <f t="shared" si="1"/>
        <v/>
      </c>
      <c r="AB39" s="391"/>
      <c r="AC39" s="712" t="str">
        <f t="shared" si="2"/>
        <v/>
      </c>
      <c r="AD39" s="455"/>
      <c r="AE39" s="456" t="str" cm="1">
        <f t="array" ref="AE39">_xlfn.IFS(M39="","",AC39&gt;M39,"KO : Le montant retenu est supérieur au montant présenté. Merci de revoir la ligne de dépense ou plafonner son montant.",AC39=0,"Attention : montant présenté entièrement écarté",M39=0,"",AC39=M39,"OK",AC39&lt;M39,"Attention : Montant présenté partiellement écarté.")</f>
        <v/>
      </c>
      <c r="AF39" s="457" t="str">
        <f t="shared" si="3"/>
        <v/>
      </c>
      <c r="AI39" s="347"/>
      <c r="AJ39" s="347"/>
      <c r="AK39" s="347"/>
    </row>
    <row r="40" spans="1:37" ht="15.95">
      <c r="A40" s="632">
        <v>28</v>
      </c>
      <c r="B40" s="333"/>
      <c r="C40" s="333"/>
      <c r="D40" s="333"/>
      <c r="E40" s="459"/>
      <c r="F40" s="853"/>
      <c r="G40" s="459"/>
      <c r="H40" s="852" t="str">
        <f t="shared" si="4"/>
        <v/>
      </c>
      <c r="I40" s="863"/>
      <c r="J40" s="852" t="str">
        <f t="shared" si="8"/>
        <v/>
      </c>
      <c r="K40" s="863"/>
      <c r="L40" s="852" t="str">
        <f t="shared" si="5"/>
        <v/>
      </c>
      <c r="M40" s="868" t="str">
        <f t="shared" si="6"/>
        <v/>
      </c>
      <c r="N40" s="460"/>
      <c r="O40" s="462"/>
      <c r="P40" s="454" t="str">
        <f t="shared" si="7"/>
        <v/>
      </c>
      <c r="Q40" s="394" t="str">
        <f t="shared" si="7"/>
        <v/>
      </c>
      <c r="R40" s="394" t="str">
        <f t="shared" si="7"/>
        <v/>
      </c>
      <c r="S40" s="873" t="str">
        <f t="shared" si="7"/>
        <v/>
      </c>
      <c r="T40" s="881" t="str">
        <f t="shared" si="7"/>
        <v/>
      </c>
      <c r="U40" s="394" t="str">
        <f t="shared" si="7"/>
        <v/>
      </c>
      <c r="V40" s="882" t="str">
        <f t="shared" si="7"/>
        <v/>
      </c>
      <c r="W40" s="888" t="str">
        <f t="shared" si="7"/>
        <v/>
      </c>
      <c r="X40" s="852" t="str">
        <f t="shared" si="7"/>
        <v/>
      </c>
      <c r="Y40" s="888" t="str">
        <f t="shared" si="7"/>
        <v/>
      </c>
      <c r="Z40" s="852" t="str">
        <f t="shared" si="7"/>
        <v/>
      </c>
      <c r="AA40" s="868" t="str">
        <f t="shared" si="1"/>
        <v/>
      </c>
      <c r="AB40" s="391"/>
      <c r="AC40" s="712" t="str">
        <f t="shared" si="2"/>
        <v/>
      </c>
      <c r="AD40" s="455"/>
      <c r="AE40" s="456" t="str" cm="1">
        <f t="array" ref="AE40">_xlfn.IFS(M40="","",AC40&gt;M40,"KO : Le montant retenu est supérieur au montant présenté. Merci de revoir la ligne de dépense ou plafonner son montant.",AC40=0,"Attention : montant présenté entièrement écarté",M40=0,"",AC40=M40,"OK",AC40&lt;M40,"Attention : Montant présenté partiellement écarté.")</f>
        <v/>
      </c>
      <c r="AF40" s="457" t="str">
        <f t="shared" si="3"/>
        <v/>
      </c>
    </row>
    <row r="41" spans="1:37" ht="15.95">
      <c r="A41" s="632">
        <v>29</v>
      </c>
      <c r="B41" s="333"/>
      <c r="C41" s="333"/>
      <c r="D41" s="333"/>
      <c r="E41" s="459"/>
      <c r="F41" s="853"/>
      <c r="G41" s="459"/>
      <c r="H41" s="852" t="str">
        <f t="shared" si="4"/>
        <v/>
      </c>
      <c r="I41" s="863"/>
      <c r="J41" s="852" t="str">
        <f t="shared" si="8"/>
        <v/>
      </c>
      <c r="K41" s="863"/>
      <c r="L41" s="852" t="str">
        <f t="shared" si="5"/>
        <v/>
      </c>
      <c r="M41" s="868" t="str">
        <f t="shared" si="6"/>
        <v/>
      </c>
      <c r="N41" s="460"/>
      <c r="O41" s="462"/>
      <c r="P41" s="454" t="str">
        <f t="shared" si="7"/>
        <v/>
      </c>
      <c r="Q41" s="394" t="str">
        <f t="shared" si="7"/>
        <v/>
      </c>
      <c r="R41" s="394" t="str">
        <f t="shared" si="7"/>
        <v/>
      </c>
      <c r="S41" s="873" t="str">
        <f t="shared" si="7"/>
        <v/>
      </c>
      <c r="T41" s="881" t="str">
        <f t="shared" si="7"/>
        <v/>
      </c>
      <c r="U41" s="394" t="str">
        <f t="shared" si="7"/>
        <v/>
      </c>
      <c r="V41" s="882" t="str">
        <f t="shared" si="7"/>
        <v/>
      </c>
      <c r="W41" s="888" t="str">
        <f t="shared" si="7"/>
        <v/>
      </c>
      <c r="X41" s="852" t="str">
        <f t="shared" si="7"/>
        <v/>
      </c>
      <c r="Y41" s="888" t="str">
        <f t="shared" si="7"/>
        <v/>
      </c>
      <c r="Z41" s="852" t="str">
        <f t="shared" si="7"/>
        <v/>
      </c>
      <c r="AA41" s="868" t="str">
        <f t="shared" si="1"/>
        <v/>
      </c>
      <c r="AB41" s="391"/>
      <c r="AC41" s="712" t="str">
        <f t="shared" si="2"/>
        <v/>
      </c>
      <c r="AD41" s="455"/>
      <c r="AE41" s="456" t="str" cm="1">
        <f t="array" ref="AE41">_xlfn.IFS(M41="","",AC41&gt;M41,"KO : Le montant retenu est supérieur au montant présenté. Merci de revoir la ligne de dépense ou plafonner son montant.",AC41=0,"Attention : montant présenté entièrement écarté",M41=0,"",AC41=M41,"OK",AC41&lt;M41,"Attention : Montant présenté partiellement écarté.")</f>
        <v/>
      </c>
      <c r="AF41" s="457" t="str">
        <f t="shared" si="3"/>
        <v/>
      </c>
    </row>
    <row r="42" spans="1:37" ht="15.95">
      <c r="A42" s="632">
        <v>30</v>
      </c>
      <c r="B42" s="333"/>
      <c r="C42" s="333"/>
      <c r="D42" s="333"/>
      <c r="E42" s="459"/>
      <c r="F42" s="853"/>
      <c r="G42" s="459"/>
      <c r="H42" s="852" t="str">
        <f t="shared" si="4"/>
        <v/>
      </c>
      <c r="I42" s="863"/>
      <c r="J42" s="852" t="str">
        <f t="shared" si="8"/>
        <v/>
      </c>
      <c r="K42" s="863"/>
      <c r="L42" s="852" t="str">
        <f t="shared" si="5"/>
        <v/>
      </c>
      <c r="M42" s="868" t="str">
        <f t="shared" si="6"/>
        <v/>
      </c>
      <c r="N42" s="460"/>
      <c r="O42" s="462"/>
      <c r="P42" s="454" t="str">
        <f t="shared" si="7"/>
        <v/>
      </c>
      <c r="Q42" s="394" t="str">
        <f t="shared" si="7"/>
        <v/>
      </c>
      <c r="R42" s="394" t="str">
        <f t="shared" si="7"/>
        <v/>
      </c>
      <c r="S42" s="873" t="str">
        <f t="shared" si="7"/>
        <v/>
      </c>
      <c r="T42" s="881" t="str">
        <f t="shared" si="7"/>
        <v/>
      </c>
      <c r="U42" s="394" t="str">
        <f t="shared" si="7"/>
        <v/>
      </c>
      <c r="V42" s="882" t="str">
        <f t="shared" si="7"/>
        <v/>
      </c>
      <c r="W42" s="888" t="str">
        <f t="shared" si="7"/>
        <v/>
      </c>
      <c r="X42" s="852" t="str">
        <f t="shared" si="7"/>
        <v/>
      </c>
      <c r="Y42" s="888" t="str">
        <f t="shared" si="7"/>
        <v/>
      </c>
      <c r="Z42" s="852" t="str">
        <f t="shared" si="7"/>
        <v/>
      </c>
      <c r="AA42" s="868" t="str">
        <f t="shared" si="1"/>
        <v/>
      </c>
      <c r="AB42" s="391"/>
      <c r="AC42" s="712" t="str">
        <f t="shared" si="2"/>
        <v/>
      </c>
      <c r="AD42" s="455"/>
      <c r="AE42" s="456" t="str" cm="1">
        <f t="array" ref="AE42">_xlfn.IFS(M42="","",AC42&gt;M42,"KO : Le montant retenu est supérieur au montant présenté. Merci de revoir la ligne de dépense ou plafonner son montant.",AC42=0,"Attention : montant présenté entièrement écarté",M42=0,"",AC42=M42,"OK",AC42&lt;M42,"Attention : Montant présenté partiellement écarté.")</f>
        <v/>
      </c>
      <c r="AF42" s="457" t="str">
        <f t="shared" si="3"/>
        <v/>
      </c>
    </row>
    <row r="43" spans="1:37" ht="15.95">
      <c r="A43" s="632">
        <v>31</v>
      </c>
      <c r="B43" s="333"/>
      <c r="C43" s="333"/>
      <c r="D43" s="333"/>
      <c r="E43" s="459"/>
      <c r="F43" s="853"/>
      <c r="G43" s="459"/>
      <c r="H43" s="852" t="str">
        <f t="shared" si="4"/>
        <v/>
      </c>
      <c r="I43" s="863"/>
      <c r="J43" s="852" t="str">
        <f t="shared" si="8"/>
        <v/>
      </c>
      <c r="K43" s="863"/>
      <c r="L43" s="852" t="str">
        <f t="shared" si="5"/>
        <v/>
      </c>
      <c r="M43" s="868" t="str">
        <f t="shared" si="6"/>
        <v/>
      </c>
      <c r="N43" s="460"/>
      <c r="O43" s="462"/>
      <c r="P43" s="454" t="str">
        <f t="shared" si="7"/>
        <v/>
      </c>
      <c r="Q43" s="394" t="str">
        <f t="shared" si="7"/>
        <v/>
      </c>
      <c r="R43" s="394" t="str">
        <f t="shared" si="7"/>
        <v/>
      </c>
      <c r="S43" s="873" t="str">
        <f t="shared" si="7"/>
        <v/>
      </c>
      <c r="T43" s="881" t="str">
        <f t="shared" si="7"/>
        <v/>
      </c>
      <c r="U43" s="394" t="str">
        <f t="shared" si="7"/>
        <v/>
      </c>
      <c r="V43" s="882" t="str">
        <f t="shared" si="7"/>
        <v/>
      </c>
      <c r="W43" s="888" t="str">
        <f t="shared" si="7"/>
        <v/>
      </c>
      <c r="X43" s="852" t="str">
        <f t="shared" si="7"/>
        <v/>
      </c>
      <c r="Y43" s="888" t="str">
        <f t="shared" si="7"/>
        <v/>
      </c>
      <c r="Z43" s="852" t="str">
        <f t="shared" si="7"/>
        <v/>
      </c>
      <c r="AA43" s="868" t="str">
        <f t="shared" si="1"/>
        <v/>
      </c>
      <c r="AB43" s="391"/>
      <c r="AC43" s="712" t="str">
        <f t="shared" si="2"/>
        <v/>
      </c>
      <c r="AD43" s="455"/>
      <c r="AE43" s="456" t="str" cm="1">
        <f t="array" ref="AE43">_xlfn.IFS(M43="","",AC43&gt;M43,"KO : Le montant retenu est supérieur au montant présenté. Merci de revoir la ligne de dépense ou plafonner son montant.",AC43=0,"Attention : montant présenté entièrement écarté",M43=0,"",AC43=M43,"OK",AC43&lt;M43,"Attention : Montant présenté partiellement écarté.")</f>
        <v/>
      </c>
      <c r="AF43" s="457" t="str">
        <f t="shared" si="3"/>
        <v/>
      </c>
    </row>
    <row r="44" spans="1:37" ht="15.95">
      <c r="A44" s="632">
        <v>32</v>
      </c>
      <c r="B44" s="333"/>
      <c r="C44" s="333"/>
      <c r="D44" s="333"/>
      <c r="E44" s="459"/>
      <c r="F44" s="853"/>
      <c r="G44" s="459"/>
      <c r="H44" s="852" t="str">
        <f t="shared" si="4"/>
        <v/>
      </c>
      <c r="I44" s="863"/>
      <c r="J44" s="852" t="str">
        <f t="shared" si="8"/>
        <v/>
      </c>
      <c r="K44" s="863"/>
      <c r="L44" s="852" t="str">
        <f t="shared" si="5"/>
        <v/>
      </c>
      <c r="M44" s="868" t="str">
        <f t="shared" si="6"/>
        <v/>
      </c>
      <c r="N44" s="460"/>
      <c r="O44" s="462"/>
      <c r="P44" s="454" t="str">
        <f t="shared" si="7"/>
        <v/>
      </c>
      <c r="Q44" s="394" t="str">
        <f t="shared" si="7"/>
        <v/>
      </c>
      <c r="R44" s="394" t="str">
        <f t="shared" si="7"/>
        <v/>
      </c>
      <c r="S44" s="873" t="str">
        <f t="shared" si="7"/>
        <v/>
      </c>
      <c r="T44" s="881" t="str">
        <f t="shared" si="7"/>
        <v/>
      </c>
      <c r="U44" s="394" t="str">
        <f t="shared" si="7"/>
        <v/>
      </c>
      <c r="V44" s="882" t="str">
        <f t="shared" si="7"/>
        <v/>
      </c>
      <c r="W44" s="888" t="str">
        <f t="shared" si="7"/>
        <v/>
      </c>
      <c r="X44" s="852" t="str">
        <f t="shared" si="7"/>
        <v/>
      </c>
      <c r="Y44" s="888" t="str">
        <f t="shared" si="7"/>
        <v/>
      </c>
      <c r="Z44" s="852" t="str">
        <f t="shared" si="7"/>
        <v/>
      </c>
      <c r="AA44" s="868" t="str">
        <f t="shared" si="1"/>
        <v/>
      </c>
      <c r="AB44" s="391"/>
      <c r="AC44" s="712" t="str">
        <f t="shared" si="2"/>
        <v/>
      </c>
      <c r="AD44" s="455"/>
      <c r="AE44" s="456" t="str" cm="1">
        <f t="array" ref="AE44">_xlfn.IFS(M44="","",AC44&gt;M44,"KO : Le montant retenu est supérieur au montant présenté. Merci de revoir la ligne de dépense ou plafonner son montant.",AC44=0,"Attention : montant présenté entièrement écarté",M44=0,"",AC44=M44,"OK",AC44&lt;M44,"Attention : Montant présenté partiellement écarté.")</f>
        <v/>
      </c>
      <c r="AF44" s="457" t="str">
        <f t="shared" si="3"/>
        <v/>
      </c>
    </row>
    <row r="45" spans="1:37" ht="15.95">
      <c r="A45" s="632">
        <v>33</v>
      </c>
      <c r="B45" s="333"/>
      <c r="C45" s="333"/>
      <c r="D45" s="333"/>
      <c r="E45" s="459"/>
      <c r="F45" s="853"/>
      <c r="G45" s="459"/>
      <c r="H45" s="852" t="str">
        <f t="shared" si="4"/>
        <v/>
      </c>
      <c r="I45" s="863"/>
      <c r="J45" s="852" t="str">
        <f t="shared" si="8"/>
        <v/>
      </c>
      <c r="K45" s="863"/>
      <c r="L45" s="852" t="str">
        <f t="shared" si="5"/>
        <v/>
      </c>
      <c r="M45" s="868" t="str">
        <f t="shared" si="6"/>
        <v/>
      </c>
      <c r="N45" s="460"/>
      <c r="O45" s="462"/>
      <c r="P45" s="454" t="str">
        <f t="shared" si="7"/>
        <v/>
      </c>
      <c r="Q45" s="394" t="str">
        <f t="shared" si="7"/>
        <v/>
      </c>
      <c r="R45" s="394" t="str">
        <f t="shared" si="7"/>
        <v/>
      </c>
      <c r="S45" s="873" t="str">
        <f t="shared" si="7"/>
        <v/>
      </c>
      <c r="T45" s="881" t="str">
        <f t="shared" si="7"/>
        <v/>
      </c>
      <c r="U45" s="394" t="str">
        <f t="shared" si="7"/>
        <v/>
      </c>
      <c r="V45" s="882" t="str">
        <f t="shared" si="7"/>
        <v/>
      </c>
      <c r="W45" s="888" t="str">
        <f t="shared" si="7"/>
        <v/>
      </c>
      <c r="X45" s="852" t="str">
        <f t="shared" si="7"/>
        <v/>
      </c>
      <c r="Y45" s="888" t="str">
        <f t="shared" si="7"/>
        <v/>
      </c>
      <c r="Z45" s="852" t="str">
        <f t="shared" si="7"/>
        <v/>
      </c>
      <c r="AA45" s="868" t="str">
        <f t="shared" si="1"/>
        <v/>
      </c>
      <c r="AB45" s="391"/>
      <c r="AC45" s="712" t="str">
        <f t="shared" si="2"/>
        <v/>
      </c>
      <c r="AD45" s="455"/>
      <c r="AE45" s="456" t="str" cm="1">
        <f t="array" ref="AE45">_xlfn.IFS(M45="","",AC45&gt;M45,"KO : Le montant retenu est supérieur au montant présenté. Merci de revoir la ligne de dépense ou plafonner son montant.",AC45=0,"Attention : montant présenté entièrement écarté",M45=0,"",AC45=M45,"OK",AC45&lt;M45,"Attention : Montant présenté partiellement écarté.")</f>
        <v/>
      </c>
      <c r="AF45" s="457" t="str">
        <f t="shared" si="3"/>
        <v/>
      </c>
    </row>
    <row r="46" spans="1:37" ht="15.95">
      <c r="A46" s="632">
        <v>34</v>
      </c>
      <c r="B46" s="333"/>
      <c r="C46" s="333"/>
      <c r="D46" s="333"/>
      <c r="E46" s="459"/>
      <c r="F46" s="853"/>
      <c r="G46" s="459"/>
      <c r="H46" s="852" t="str">
        <f t="shared" si="4"/>
        <v/>
      </c>
      <c r="I46" s="863"/>
      <c r="J46" s="852" t="str">
        <f t="shared" si="8"/>
        <v/>
      </c>
      <c r="K46" s="863"/>
      <c r="L46" s="852" t="str">
        <f t="shared" si="5"/>
        <v/>
      </c>
      <c r="M46" s="868" t="str">
        <f t="shared" si="6"/>
        <v/>
      </c>
      <c r="N46" s="460"/>
      <c r="O46" s="462"/>
      <c r="P46" s="454" t="str">
        <f t="shared" si="7"/>
        <v/>
      </c>
      <c r="Q46" s="394" t="str">
        <f t="shared" si="7"/>
        <v/>
      </c>
      <c r="R46" s="394" t="str">
        <f t="shared" si="7"/>
        <v/>
      </c>
      <c r="S46" s="873" t="str">
        <f t="shared" si="7"/>
        <v/>
      </c>
      <c r="T46" s="881" t="str">
        <f t="shared" si="7"/>
        <v/>
      </c>
      <c r="U46" s="394" t="str">
        <f t="shared" si="7"/>
        <v/>
      </c>
      <c r="V46" s="882" t="str">
        <f t="shared" si="7"/>
        <v/>
      </c>
      <c r="W46" s="888" t="str">
        <f t="shared" si="7"/>
        <v/>
      </c>
      <c r="X46" s="852" t="str">
        <f t="shared" si="7"/>
        <v/>
      </c>
      <c r="Y46" s="888" t="str">
        <f t="shared" si="7"/>
        <v/>
      </c>
      <c r="Z46" s="852" t="str">
        <f t="shared" si="7"/>
        <v/>
      </c>
      <c r="AA46" s="868" t="str">
        <f t="shared" si="1"/>
        <v/>
      </c>
      <c r="AB46" s="391"/>
      <c r="AC46" s="712" t="str">
        <f t="shared" si="2"/>
        <v/>
      </c>
      <c r="AD46" s="455"/>
      <c r="AE46" s="456" t="str" cm="1">
        <f t="array" ref="AE46">_xlfn.IFS(M46="","",AC46&gt;M46,"KO : Le montant retenu est supérieur au montant présenté. Merci de revoir la ligne de dépense ou plafonner son montant.",AC46=0,"Attention : montant présenté entièrement écarté",M46=0,"",AC46=M46,"OK",AC46&lt;M46,"Attention : Montant présenté partiellement écarté.")</f>
        <v/>
      </c>
      <c r="AF46" s="457" t="str">
        <f t="shared" si="3"/>
        <v/>
      </c>
    </row>
    <row r="47" spans="1:37" ht="15.95">
      <c r="A47" s="632">
        <v>35</v>
      </c>
      <c r="B47" s="333"/>
      <c r="C47" s="333"/>
      <c r="D47" s="333"/>
      <c r="E47" s="459"/>
      <c r="F47" s="853"/>
      <c r="G47" s="459"/>
      <c r="H47" s="852" t="str">
        <f t="shared" si="4"/>
        <v/>
      </c>
      <c r="I47" s="863"/>
      <c r="J47" s="852" t="str">
        <f t="shared" si="8"/>
        <v/>
      </c>
      <c r="K47" s="863"/>
      <c r="L47" s="852" t="str">
        <f t="shared" si="5"/>
        <v/>
      </c>
      <c r="M47" s="868" t="str">
        <f t="shared" si="6"/>
        <v/>
      </c>
      <c r="N47" s="460"/>
      <c r="O47" s="462"/>
      <c r="P47" s="454" t="str">
        <f t="shared" si="7"/>
        <v/>
      </c>
      <c r="Q47" s="394" t="str">
        <f t="shared" si="7"/>
        <v/>
      </c>
      <c r="R47" s="394" t="str">
        <f t="shared" si="7"/>
        <v/>
      </c>
      <c r="S47" s="873" t="str">
        <f t="shared" si="7"/>
        <v/>
      </c>
      <c r="T47" s="881" t="str">
        <f t="shared" si="7"/>
        <v/>
      </c>
      <c r="U47" s="394" t="str">
        <f t="shared" si="7"/>
        <v/>
      </c>
      <c r="V47" s="882" t="str">
        <f t="shared" si="7"/>
        <v/>
      </c>
      <c r="W47" s="888" t="str">
        <f t="shared" si="7"/>
        <v/>
      </c>
      <c r="X47" s="852" t="str">
        <f t="shared" si="7"/>
        <v/>
      </c>
      <c r="Y47" s="888" t="str">
        <f t="shared" si="7"/>
        <v/>
      </c>
      <c r="Z47" s="852" t="str">
        <f t="shared" si="7"/>
        <v/>
      </c>
      <c r="AA47" s="868" t="str">
        <f t="shared" si="1"/>
        <v/>
      </c>
      <c r="AB47" s="391"/>
      <c r="AC47" s="712" t="str">
        <f t="shared" si="2"/>
        <v/>
      </c>
      <c r="AD47" s="455"/>
      <c r="AE47" s="456" t="str" cm="1">
        <f t="array" ref="AE47">_xlfn.IFS(M47="","",AC47&gt;M47,"KO : Le montant retenu est supérieur au montant présenté. Merci de revoir la ligne de dépense ou plafonner son montant.",AC47=0,"Attention : montant présenté entièrement écarté",M47=0,"",AC47=M47,"OK",AC47&lt;M47,"Attention : Montant présenté partiellement écarté.")</f>
        <v/>
      </c>
      <c r="AF47" s="457" t="str">
        <f t="shared" si="3"/>
        <v/>
      </c>
    </row>
    <row r="48" spans="1:37" ht="15.95">
      <c r="A48" s="632">
        <v>36</v>
      </c>
      <c r="B48" s="333"/>
      <c r="C48" s="333"/>
      <c r="D48" s="333"/>
      <c r="E48" s="459"/>
      <c r="F48" s="853"/>
      <c r="G48" s="459"/>
      <c r="H48" s="852" t="str">
        <f t="shared" si="4"/>
        <v/>
      </c>
      <c r="I48" s="863"/>
      <c r="J48" s="852" t="str">
        <f t="shared" si="8"/>
        <v/>
      </c>
      <c r="K48" s="863"/>
      <c r="L48" s="852" t="str">
        <f t="shared" si="5"/>
        <v/>
      </c>
      <c r="M48" s="868" t="str">
        <f t="shared" si="6"/>
        <v/>
      </c>
      <c r="N48" s="460"/>
      <c r="O48" s="462"/>
      <c r="P48" s="454" t="str">
        <f t="shared" si="7"/>
        <v/>
      </c>
      <c r="Q48" s="394" t="str">
        <f t="shared" si="7"/>
        <v/>
      </c>
      <c r="R48" s="394" t="str">
        <f t="shared" si="7"/>
        <v/>
      </c>
      <c r="S48" s="873" t="str">
        <f t="shared" si="7"/>
        <v/>
      </c>
      <c r="T48" s="881" t="str">
        <f t="shared" si="7"/>
        <v/>
      </c>
      <c r="U48" s="394" t="str">
        <f t="shared" si="7"/>
        <v/>
      </c>
      <c r="V48" s="882" t="str">
        <f t="shared" si="7"/>
        <v/>
      </c>
      <c r="W48" s="888" t="str">
        <f t="shared" si="7"/>
        <v/>
      </c>
      <c r="X48" s="852" t="str">
        <f t="shared" si="7"/>
        <v/>
      </c>
      <c r="Y48" s="888" t="str">
        <f t="shared" si="7"/>
        <v/>
      </c>
      <c r="Z48" s="852" t="str">
        <f t="shared" si="7"/>
        <v/>
      </c>
      <c r="AA48" s="868" t="str">
        <f t="shared" si="1"/>
        <v/>
      </c>
      <c r="AB48" s="391"/>
      <c r="AC48" s="712" t="str">
        <f t="shared" si="2"/>
        <v/>
      </c>
      <c r="AD48" s="455"/>
      <c r="AE48" s="456" t="str" cm="1">
        <f t="array" ref="AE48">_xlfn.IFS(M48="","",AC48&gt;M48,"KO : Le montant retenu est supérieur au montant présenté. Merci de revoir la ligne de dépense ou plafonner son montant.",AC48=0,"Attention : montant présenté entièrement écarté",M48=0,"",AC48=M48,"OK",AC48&lt;M48,"Attention : Montant présenté partiellement écarté.")</f>
        <v/>
      </c>
      <c r="AF48" s="457" t="str">
        <f t="shared" si="3"/>
        <v/>
      </c>
    </row>
    <row r="49" spans="1:32" ht="15.95">
      <c r="A49" s="632">
        <v>37</v>
      </c>
      <c r="B49" s="333"/>
      <c r="C49" s="333"/>
      <c r="D49" s="333"/>
      <c r="E49" s="459"/>
      <c r="F49" s="853"/>
      <c r="G49" s="459"/>
      <c r="H49" s="852" t="str">
        <f t="shared" si="4"/>
        <v/>
      </c>
      <c r="I49" s="863"/>
      <c r="J49" s="852" t="str">
        <f t="shared" si="8"/>
        <v/>
      </c>
      <c r="K49" s="863"/>
      <c r="L49" s="852" t="str">
        <f t="shared" si="5"/>
        <v/>
      </c>
      <c r="M49" s="868" t="str">
        <f t="shared" si="6"/>
        <v/>
      </c>
      <c r="N49" s="460"/>
      <c r="O49" s="462"/>
      <c r="P49" s="454" t="str">
        <f t="shared" ref="P49:Z52" si="9">IF(B49="","",B49)</f>
        <v/>
      </c>
      <c r="Q49" s="394" t="str">
        <f t="shared" si="9"/>
        <v/>
      </c>
      <c r="R49" s="394" t="str">
        <f t="shared" si="9"/>
        <v/>
      </c>
      <c r="S49" s="873" t="str">
        <f t="shared" si="9"/>
        <v/>
      </c>
      <c r="T49" s="881" t="str">
        <f t="shared" si="9"/>
        <v/>
      </c>
      <c r="U49" s="394" t="str">
        <f t="shared" si="9"/>
        <v/>
      </c>
      <c r="V49" s="882" t="str">
        <f t="shared" si="9"/>
        <v/>
      </c>
      <c r="W49" s="888" t="str">
        <f t="shared" si="9"/>
        <v/>
      </c>
      <c r="X49" s="852" t="str">
        <f t="shared" si="9"/>
        <v/>
      </c>
      <c r="Y49" s="888" t="str">
        <f t="shared" si="9"/>
        <v/>
      </c>
      <c r="Z49" s="852" t="str">
        <f t="shared" si="9"/>
        <v/>
      </c>
      <c r="AA49" s="868" t="str">
        <f t="shared" si="1"/>
        <v/>
      </c>
      <c r="AB49" s="391"/>
      <c r="AC49" s="712" t="str">
        <f t="shared" si="2"/>
        <v/>
      </c>
      <c r="AD49" s="455"/>
      <c r="AE49" s="456" t="str" cm="1">
        <f t="array" ref="AE49">_xlfn.IFS(M49="","",AC49&gt;M49,"KO : Le montant retenu est supérieur au montant présenté. Merci de revoir la ligne de dépense ou plafonner son montant.",AC49=0,"Attention : montant présenté entièrement écarté",M49=0,"",AC49=M49,"OK",AC49&lt;M49,"Attention : Montant présenté partiellement écarté.")</f>
        <v/>
      </c>
      <c r="AF49" s="457" t="str">
        <f t="shared" si="3"/>
        <v/>
      </c>
    </row>
    <row r="50" spans="1:32" ht="15.95">
      <c r="A50" s="632">
        <v>38</v>
      </c>
      <c r="B50" s="333"/>
      <c r="C50" s="333"/>
      <c r="D50" s="333"/>
      <c r="E50" s="459"/>
      <c r="F50" s="853"/>
      <c r="G50" s="459"/>
      <c r="H50" s="852" t="str">
        <f t="shared" si="4"/>
        <v/>
      </c>
      <c r="I50" s="863"/>
      <c r="J50" s="852" t="str">
        <f t="shared" si="8"/>
        <v/>
      </c>
      <c r="K50" s="863"/>
      <c r="L50" s="852" t="str">
        <f t="shared" si="5"/>
        <v/>
      </c>
      <c r="M50" s="868" t="str">
        <f t="shared" si="6"/>
        <v/>
      </c>
      <c r="N50" s="460"/>
      <c r="O50" s="462"/>
      <c r="P50" s="454" t="str">
        <f t="shared" si="9"/>
        <v/>
      </c>
      <c r="Q50" s="394" t="str">
        <f t="shared" si="9"/>
        <v/>
      </c>
      <c r="R50" s="394" t="str">
        <f t="shared" si="9"/>
        <v/>
      </c>
      <c r="S50" s="873" t="str">
        <f t="shared" si="9"/>
        <v/>
      </c>
      <c r="T50" s="881" t="str">
        <f t="shared" si="9"/>
        <v/>
      </c>
      <c r="U50" s="394" t="str">
        <f t="shared" si="9"/>
        <v/>
      </c>
      <c r="V50" s="882" t="str">
        <f t="shared" si="9"/>
        <v/>
      </c>
      <c r="W50" s="888" t="str">
        <f t="shared" si="9"/>
        <v/>
      </c>
      <c r="X50" s="852" t="str">
        <f t="shared" si="9"/>
        <v/>
      </c>
      <c r="Y50" s="888" t="str">
        <f t="shared" si="9"/>
        <v/>
      </c>
      <c r="Z50" s="852" t="str">
        <f t="shared" si="9"/>
        <v/>
      </c>
      <c r="AA50" s="868" t="str">
        <f t="shared" si="1"/>
        <v/>
      </c>
      <c r="AB50" s="391"/>
      <c r="AC50" s="712" t="str">
        <f t="shared" si="2"/>
        <v/>
      </c>
      <c r="AD50" s="455"/>
      <c r="AE50" s="456" t="str" cm="1">
        <f t="array" ref="AE50">_xlfn.IFS(M50="","",AC50&gt;M50,"KO : Le montant retenu est supérieur au montant présenté. Merci de revoir la ligne de dépense ou plafonner son montant.",AC50=0,"Attention : montant présenté entièrement écarté",M50=0,"",AC50=M50,"OK",AC50&lt;M50,"Attention : Montant présenté partiellement écarté.")</f>
        <v/>
      </c>
      <c r="AF50" s="457" t="str">
        <f t="shared" si="3"/>
        <v/>
      </c>
    </row>
    <row r="51" spans="1:32" ht="15.95">
      <c r="A51" s="632">
        <v>39</v>
      </c>
      <c r="B51" s="333"/>
      <c r="C51" s="333"/>
      <c r="D51" s="333"/>
      <c r="E51" s="459"/>
      <c r="F51" s="853"/>
      <c r="G51" s="459"/>
      <c r="H51" s="852" t="str">
        <f t="shared" si="4"/>
        <v/>
      </c>
      <c r="I51" s="863"/>
      <c r="J51" s="852" t="str">
        <f t="shared" si="8"/>
        <v/>
      </c>
      <c r="K51" s="863"/>
      <c r="L51" s="852" t="str">
        <f t="shared" si="5"/>
        <v/>
      </c>
      <c r="M51" s="868" t="str">
        <f t="shared" si="6"/>
        <v/>
      </c>
      <c r="N51" s="460"/>
      <c r="O51" s="462"/>
      <c r="P51" s="454" t="str">
        <f t="shared" si="9"/>
        <v/>
      </c>
      <c r="Q51" s="394" t="str">
        <f t="shared" si="9"/>
        <v/>
      </c>
      <c r="R51" s="394" t="str">
        <f t="shared" si="9"/>
        <v/>
      </c>
      <c r="S51" s="873" t="str">
        <f t="shared" si="9"/>
        <v/>
      </c>
      <c r="T51" s="881" t="str">
        <f t="shared" si="9"/>
        <v/>
      </c>
      <c r="U51" s="394" t="str">
        <f t="shared" si="9"/>
        <v/>
      </c>
      <c r="V51" s="882" t="str">
        <f t="shared" si="9"/>
        <v/>
      </c>
      <c r="W51" s="888" t="str">
        <f t="shared" si="9"/>
        <v/>
      </c>
      <c r="X51" s="852" t="str">
        <f t="shared" si="9"/>
        <v/>
      </c>
      <c r="Y51" s="888" t="str">
        <f t="shared" si="9"/>
        <v/>
      </c>
      <c r="Z51" s="852" t="str">
        <f t="shared" si="9"/>
        <v/>
      </c>
      <c r="AA51" s="868" t="str">
        <f t="shared" si="1"/>
        <v/>
      </c>
      <c r="AB51" s="391"/>
      <c r="AC51" s="712" t="str">
        <f t="shared" si="2"/>
        <v/>
      </c>
      <c r="AD51" s="455"/>
      <c r="AE51" s="456" t="str" cm="1">
        <f t="array" ref="AE51">_xlfn.IFS(M51="","",AC51&gt;M51,"KO : Le montant retenu est supérieur au montant présenté. Merci de revoir la ligne de dépense ou plafonner son montant.",AC51=0,"Attention : montant présenté entièrement écarté",M51=0,"",AC51=M51,"OK",AC51&lt;M51,"Attention : Montant présenté partiellement écarté.")</f>
        <v/>
      </c>
      <c r="AF51" s="457" t="str">
        <f t="shared" si="3"/>
        <v/>
      </c>
    </row>
    <row r="52" spans="1:32" ht="17.100000000000001" thickBot="1">
      <c r="A52" s="633">
        <v>40</v>
      </c>
      <c r="B52" s="333"/>
      <c r="C52" s="333"/>
      <c r="D52" s="333"/>
      <c r="E52" s="463"/>
      <c r="F52" s="854"/>
      <c r="G52" s="855"/>
      <c r="H52" s="856" t="str">
        <f t="shared" si="4"/>
        <v/>
      </c>
      <c r="I52" s="864"/>
      <c r="J52" s="856" t="str">
        <f t="shared" si="8"/>
        <v/>
      </c>
      <c r="K52" s="864"/>
      <c r="L52" s="856" t="str">
        <f t="shared" si="5"/>
        <v/>
      </c>
      <c r="M52" s="869" t="str">
        <f t="shared" si="6"/>
        <v/>
      </c>
      <c r="N52" s="464"/>
      <c r="O52" s="465"/>
      <c r="P52" s="466" t="str">
        <f t="shared" si="9"/>
        <v/>
      </c>
      <c r="Q52" s="417" t="str">
        <f t="shared" si="9"/>
        <v/>
      </c>
      <c r="R52" s="417" t="str">
        <f t="shared" si="9"/>
        <v/>
      </c>
      <c r="S52" s="874" t="str">
        <f t="shared" si="9"/>
        <v/>
      </c>
      <c r="T52" s="883" t="str">
        <f t="shared" si="9"/>
        <v/>
      </c>
      <c r="U52" s="884" t="str">
        <f t="shared" si="9"/>
        <v/>
      </c>
      <c r="V52" s="885" t="str">
        <f t="shared" si="9"/>
        <v/>
      </c>
      <c r="W52" s="889" t="str">
        <f t="shared" si="9"/>
        <v/>
      </c>
      <c r="X52" s="856" t="str">
        <f t="shared" si="9"/>
        <v/>
      </c>
      <c r="Y52" s="889" t="str">
        <f t="shared" si="9"/>
        <v/>
      </c>
      <c r="Z52" s="856" t="str">
        <f t="shared" si="9"/>
        <v/>
      </c>
      <c r="AA52" s="869" t="str">
        <f t="shared" si="1"/>
        <v/>
      </c>
      <c r="AB52" s="467"/>
      <c r="AC52" s="712" t="str">
        <f t="shared" si="2"/>
        <v/>
      </c>
      <c r="AD52" s="468"/>
      <c r="AE52" s="469" t="str" cm="1">
        <f t="array" ref="AE52">_xlfn.IFS(M52="","",AC52&gt;M52,"KO : Le montant retenu est supérieur au montant présenté. Merci de revoir la ligne de dépense ou plafonner son montant.",AC52=0,"Attention : montant présenté entièrement écarté",M52=0,"",AC52=M52,"OK",AC52&lt;M52,"Attention : Montant présenté partiellement écarté.")</f>
        <v/>
      </c>
      <c r="AF52" s="470" t="str">
        <f t="shared" si="3"/>
        <v/>
      </c>
    </row>
    <row r="53" spans="1:32" ht="15.95" thickBot="1">
      <c r="A53" s="264"/>
      <c r="B53" s="471"/>
      <c r="C53" s="280"/>
      <c r="D53" s="472" t="s">
        <v>462</v>
      </c>
      <c r="E53" s="473">
        <f>SUM(E13:E52)</f>
        <v>5</v>
      </c>
      <c r="F53" s="474"/>
      <c r="G53" s="475" t="s">
        <v>462</v>
      </c>
      <c r="H53" s="476">
        <f>SUM(H13:H52)</f>
        <v>594</v>
      </c>
      <c r="I53" s="477" t="s">
        <v>462</v>
      </c>
      <c r="J53" s="476">
        <f>SUM(J13:J52)</f>
        <v>200</v>
      </c>
      <c r="K53" s="477" t="s">
        <v>462</v>
      </c>
      <c r="L53" s="476">
        <f>SUM(L13:L52)</f>
        <v>354</v>
      </c>
      <c r="M53" s="478">
        <f>SUM(M13:M52)</f>
        <v>1148</v>
      </c>
      <c r="N53" s="471"/>
      <c r="O53" s="471"/>
      <c r="P53" s="471"/>
      <c r="Q53" s="471"/>
      <c r="R53" s="479" t="s">
        <v>462</v>
      </c>
      <c r="S53" s="480">
        <f>SUM(S13:S52)</f>
        <v>5</v>
      </c>
      <c r="T53" s="471"/>
      <c r="U53" s="479" t="s">
        <v>462</v>
      </c>
      <c r="V53" s="481">
        <f>SUM(V13:V52)</f>
        <v>594</v>
      </c>
      <c r="W53" s="479" t="s">
        <v>462</v>
      </c>
      <c r="X53" s="482">
        <f>SUM(X13:X52)</f>
        <v>200</v>
      </c>
      <c r="Y53" s="479" t="s">
        <v>462</v>
      </c>
      <c r="Z53" s="483">
        <f>SUM(Z13:Z52)</f>
        <v>354</v>
      </c>
      <c r="AA53" s="484"/>
      <c r="AB53" s="485" t="s">
        <v>462</v>
      </c>
      <c r="AC53" s="486">
        <f>SUM(AC13:AC52)</f>
        <v>1148</v>
      </c>
      <c r="AD53" s="471"/>
      <c r="AE53" s="472" t="s">
        <v>462</v>
      </c>
      <c r="AF53" s="487">
        <f>SUM(AF13:AF52)</f>
        <v>0</v>
      </c>
    </row>
    <row r="54" spans="1:32">
      <c r="A54" s="264"/>
    </row>
    <row r="56" spans="1:32" ht="112.5" customHeight="1"/>
    <row r="57" spans="1:32" ht="15.95" thickBot="1"/>
    <row r="58" spans="1:32">
      <c r="C58" s="488" t="s">
        <v>418</v>
      </c>
      <c r="D58" s="489"/>
      <c r="E58" s="490"/>
    </row>
    <row r="59" spans="1:32">
      <c r="C59" s="434"/>
      <c r="D59" s="491"/>
      <c r="E59" s="492"/>
    </row>
    <row r="60" spans="1:32">
      <c r="C60" s="493" t="s">
        <v>419</v>
      </c>
      <c r="D60" s="491"/>
      <c r="E60" s="492"/>
    </row>
    <row r="61" spans="1:32">
      <c r="C61" s="494"/>
      <c r="D61" s="491"/>
      <c r="E61" s="492"/>
    </row>
    <row r="62" spans="1:32">
      <c r="C62" s="494"/>
      <c r="D62" s="491"/>
      <c r="E62" s="492"/>
    </row>
    <row r="63" spans="1:32">
      <c r="C63" s="493" t="s">
        <v>420</v>
      </c>
      <c r="D63" s="491"/>
      <c r="E63" s="492"/>
    </row>
    <row r="64" spans="1:32">
      <c r="C64" s="434"/>
      <c r="D64" s="491"/>
      <c r="E64" s="492"/>
    </row>
    <row r="65" spans="3:5">
      <c r="C65" s="434"/>
      <c r="D65" s="491"/>
      <c r="E65" s="492"/>
    </row>
    <row r="66" spans="3:5">
      <c r="C66" s="434"/>
      <c r="D66" s="491"/>
      <c r="E66" s="492"/>
    </row>
    <row r="67" spans="3:5">
      <c r="C67" s="434"/>
      <c r="D67" s="491"/>
      <c r="E67" s="492"/>
    </row>
    <row r="68" spans="3:5" ht="15.95" thickBot="1">
      <c r="C68" s="495"/>
      <c r="D68" s="496"/>
      <c r="E68" s="497"/>
    </row>
  </sheetData>
  <sheetProtection formatCells="0" formatColumns="0" formatRows="0" insertColumns="0" insertRows="0" insertHyperlinks="0" deleteColumns="0" deleteRows="0" sort="0" autoFilter="0" pivotTables="0"/>
  <mergeCells count="30">
    <mergeCell ref="AF8:AF9"/>
    <mergeCell ref="AE8:AE9"/>
    <mergeCell ref="N8:N9"/>
    <mergeCell ref="O8:O9"/>
    <mergeCell ref="P8:S9"/>
    <mergeCell ref="T8:Z8"/>
    <mergeCell ref="T9:V9"/>
    <mergeCell ref="W9:X9"/>
    <mergeCell ref="Y9:Z9"/>
    <mergeCell ref="AE1:BR1"/>
    <mergeCell ref="M8:M9"/>
    <mergeCell ref="F8:L8"/>
    <mergeCell ref="F9:H9"/>
    <mergeCell ref="I9:J9"/>
    <mergeCell ref="K9:L9"/>
    <mergeCell ref="BM8:BO9"/>
    <mergeCell ref="BP8:BR9"/>
    <mergeCell ref="AI9:BE9"/>
    <mergeCell ref="BF9:BJ9"/>
    <mergeCell ref="AC8:AC9"/>
    <mergeCell ref="AD8:AD9"/>
    <mergeCell ref="BK8:BK9"/>
    <mergeCell ref="BL8:BL9"/>
    <mergeCell ref="C2:H2"/>
    <mergeCell ref="AA8:AB9"/>
    <mergeCell ref="C3:H3"/>
    <mergeCell ref="J3:M3"/>
    <mergeCell ref="A10:A11"/>
    <mergeCell ref="A8:E9"/>
    <mergeCell ref="A1:AD1"/>
  </mergeCells>
  <conditionalFormatting sqref="P13:Z52">
    <cfRule type="expression" dxfId="16" priority="3">
      <formula>P13&lt;&gt;B13</formula>
    </cfRule>
  </conditionalFormatting>
  <conditionalFormatting sqref="AA13:AA52">
    <cfRule type="expression" dxfId="15" priority="298">
      <formula>AA13&lt;&gt;N13</formula>
    </cfRule>
  </conditionalFormatting>
  <conditionalFormatting sqref="AB13:AB52">
    <cfRule type="containsText" dxfId="14" priority="1" operator="containsText" text="Non">
      <formula>NOT(ISERROR(SEARCH("Non",AB13)))</formula>
    </cfRule>
  </conditionalFormatting>
  <conditionalFormatting sqref="AE12:AE52">
    <cfRule type="containsText" dxfId="13" priority="4" operator="containsText" text="KO">
      <formula>NOT(ISERROR(SEARCH("KO",AE12)))</formula>
    </cfRule>
    <cfRule type="containsText" dxfId="12" priority="5" operator="containsText" text="OK">
      <formula>NOT(ISERROR(SEARCH("OK",AE12)))</formula>
    </cfRule>
  </conditionalFormatting>
  <conditionalFormatting sqref="AE13:AE52">
    <cfRule type="containsText" dxfId="11" priority="2" operator="containsText" text="Attention">
      <formula>NOT(ISERROR(SEARCH("Attention",AE13)))</formula>
    </cfRule>
  </conditionalFormatting>
  <dataValidations count="5">
    <dataValidation type="list" allowBlank="1" showInputMessage="1" showErrorMessage="1" sqref="P12 B12" xr:uid="{AE4E71AC-F209-43BF-AFFB-3476B65F569C}">
      <formula1>"Chef de file,Partenaire 1,Partenaire 2, Partenaire 3,Partenaire 4, Partenaire 5,Partenaire 6,Partenaire 7"</formula1>
    </dataValidation>
    <dataValidation type="list" allowBlank="1" showInputMessage="1" showErrorMessage="1" sqref="AB12:AB52" xr:uid="{8B598E03-C290-48AA-9C6D-8BD7959ADDBF}">
      <formula1>"Oui,Non,Sans objet"</formula1>
    </dataValidation>
    <dataValidation type="list" allowBlank="1" showInputMessage="1" showErrorMessage="1" sqref="Q12" xr:uid="{D421E160-612C-472C-93BB-722FF9E981E3}">
      <formula1>"Création groupes opérationnels, Projets groupes opérationnels, Diffusion résultats"</formula1>
    </dataValidation>
    <dataValidation type="list" allowBlank="1" showInputMessage="1" showErrorMessage="1" promptTitle="Sélectionnez un poste de dépense" prompt="Cliquez sur le menu déroulant" sqref="C53" xr:uid="{766F6B7A-6D86-48B0-8A30-786BD95FFB76}">
      <formula1>"Echanges dev-perf-envir-eco , Renforcement sys-exploit , Adapt-prod-zone-contrainte , Id-protect-prod , Innov-bottom-up , Outils-num-agri-ali , Mentions-valo , Dev-gestion-risques , Fav-territ-souv-ali-écosys , Promouvoir savoir-faire-transfo-ressources"</formula1>
    </dataValidation>
    <dataValidation type="list" allowBlank="1" showInputMessage="1" showErrorMessage="1" sqref="R12" xr:uid="{FA58129B-7904-4194-911A-D7C6D61C3119}">
      <formula1>"Séminaire,Journée technique,Réunion,Temps passé expérimentation"</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D54A120-73C1-4013-946D-3C984C261329}">
          <x14:formula1>
            <xm:f>'0-Présentation typeaction'!$H$7</xm:f>
          </x14:formula1>
          <xm:sqref>C12:C52</xm:sqref>
        </x14:dataValidation>
        <x14:dataValidation type="list" allowBlank="1" showInputMessage="1" showErrorMessage="1" xr:uid="{1C37A50A-0D50-4232-9E12-DC734EC2E1E1}">
          <x14:formula1>
            <xm:f>'0-Présentation typeaction'!$H$26:$H$36</xm:f>
          </x14:formula1>
          <xm:sqref>B13:B52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10" ma:contentTypeDescription="Create a new document." ma:contentTypeScope="" ma:versionID="b8014dc95521144746b384a1f24fb7bd">
  <xsd:schema xmlns:xsd="http://www.w3.org/2001/XMLSchema" xmlns:xs="http://www.w3.org/2001/XMLSchema" xmlns:p="http://schemas.microsoft.com/office/2006/metadata/properties" xmlns:ns2="ffe06a1a-c302-44a7-ab54-0587fe56ae8d" xmlns:ns3="d8b25a07-5ea1-42ac-a69b-bc679398b7c3" targetNamespace="http://schemas.microsoft.com/office/2006/metadata/properties" ma:root="true" ma:fieldsID="b8975676e5a0c54569b0a5a2c8e093e2" ns2:_="" ns3:_="">
    <xsd:import namespace="ffe06a1a-c302-44a7-ab54-0587fe56ae8d"/>
    <xsd:import namespace="d8b25a07-5ea1-42ac-a69b-bc679398b7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3ef62f9-2e07-484b-bd79-00aec90129f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b25a07-5ea1-42ac-a69b-bc679398b7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e324d94-3ef7-4870-b9ed-fad8de5bb3aa}" ma:internalName="TaxCatchAll" ma:showField="CatchAllData" ma:web="d8b25a07-5ea1-42ac-a69b-bc679398b7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8b25a07-5ea1-42ac-a69b-bc679398b7c3" xsi:nil="true"/>
    <lcf76f155ced4ddcb4097134ff3c332f xmlns="ffe06a1a-c302-44a7-ab54-0587fe56ae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772CC7-DB8B-4D11-AE1E-29B919445147}"/>
</file>

<file path=customXml/itemProps2.xml><?xml version="1.0" encoding="utf-8"?>
<ds:datastoreItem xmlns:ds="http://schemas.openxmlformats.org/officeDocument/2006/customXml" ds:itemID="{40D26ED7-CD7E-4BFC-8B70-DECD4F5BF41F}"/>
</file>

<file path=customXml/itemProps3.xml><?xml version="1.0" encoding="utf-8"?>
<ds:datastoreItem xmlns:ds="http://schemas.openxmlformats.org/officeDocument/2006/customXml" ds:itemID="{D4BF93EC-1DED-4D0C-BCD8-4816FDF34A1E}"/>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