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codeName="ThisWorkbook"/>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1. Livrables/2. A destination du porteur/Interventions/77.01/"/>
    </mc:Choice>
  </mc:AlternateContent>
  <xr:revisionPtr revIDLastSave="0" documentId="8_{45F8508F-E552-46C0-B682-11B264F62257}" xr6:coauthVersionLast="47" xr6:coauthVersionMax="47" xr10:uidLastSave="{00000000-0000-0000-0000-000000000000}"/>
  <bookViews>
    <workbookView xWindow="29400" yWindow="0" windowWidth="38400" windowHeight="21600" tabRatio="836" firstSheet="12" activeTab="12" xr2:uid="{00000000-000D-0000-FFFF-FFFF00000000}"/>
  </bookViews>
  <sheets>
    <sheet name="Accueil" sheetId="30" r:id="rId1"/>
    <sheet name="A-Recettes" sheetId="20" r:id="rId2"/>
    <sheet name="0-Presentation poste-typeaction" sheetId="19" r:id="rId3"/>
    <sheet name="1- Frais personnel" sheetId="1" r:id="rId4"/>
    <sheet name="2.1- Investissements" sheetId="35" r:id="rId5"/>
    <sheet name="2.2- Amortissement" sheetId="17" r:id="rId6"/>
    <sheet name="3- Frais généraux" sheetId="13" r:id="rId7"/>
    <sheet name="4- Déplacement &amp; hébergement" sheetId="14" r:id="rId8"/>
    <sheet name="5- Contribution en nature" sheetId="31" r:id="rId9"/>
    <sheet name="6- Coût participation agri" sheetId="25" r:id="rId10"/>
    <sheet name="7- Taux forfaitaire" sheetId="32" r:id="rId11"/>
    <sheet name="Syn pf bénéficiaire" sheetId="23" r:id="rId12"/>
    <sheet name="Syn pf instructeur" sheetId="34" r:id="rId13"/>
    <sheet name="Annexe fi DJ" sheetId="36" state="hidden" r:id="rId14"/>
  </sheets>
  <definedNames>
    <definedName name="à_choisir_dans_le_menu_déroulant" localSheetId="8">#REF!</definedName>
    <definedName name="à_choisir_dans_le_menu_déroulant" localSheetId="10">#REF!</definedName>
    <definedName name="à_choisir_dans_le_menu_déroulant" localSheetId="0">#REF!</definedName>
    <definedName name="à_choisir_dans_le_menu_déroulant" localSheetId="12">#REF!</definedName>
    <definedName name="à_choisir_dans_le_menu_déroulant">#REF!</definedName>
    <definedName name="P.Z.Gestion_de_la_feuille" localSheetId="8">#REF!</definedName>
    <definedName name="P.Z.Gestion_de_la_feuille" localSheetId="10">#REF!</definedName>
    <definedName name="P.Z.Gestion_de_la_feuille" localSheetId="0">#REF!</definedName>
    <definedName name="P.Z.Gestion_de_la_feuille" localSheetId="12">#REF!</definedName>
    <definedName name="P.Z.Gestion_de_la_feuille">#REF!</definedName>
    <definedName name="P_Z_0_B_COLONNE_COMMENTAIRE_SI_INDICATION_STANDARD" localSheetId="8">#REF!</definedName>
    <definedName name="P_Z_0_B_COLONNE_COMMENTAIRE_SI_INDICATION_STANDARD" localSheetId="10">#REF!</definedName>
    <definedName name="P_Z_0_B_COLONNE_COMMENTAIRE_SI_INDICATION_STANDARD" localSheetId="12">#REF!</definedName>
    <definedName name="P_Z_0_B_COLONNE_COMMENTAIRE_SI_INDICATION_STANDARD">#REF!</definedName>
    <definedName name="P_Z_0_B_COLONNE_COMMENTAIRE_SI_LIBELLE_STANDARD" localSheetId="8">#REF!</definedName>
    <definedName name="P_Z_0_B_COLONNE_COMMENTAIRE_SI_LIBELLE_STANDARD" localSheetId="10">#REF!</definedName>
    <definedName name="P_Z_0_B_COLONNE_COMMENTAIRE_SI_LIBELLE_STANDARD" localSheetId="12">#REF!</definedName>
    <definedName name="P_Z_0_B_COLONNE_COMMENTAIRE_SI_LIBELLE_STANDARD">#REF!</definedName>
    <definedName name="P_Z_0_B_COLONNE_MOTIFS_INELIGIBILITE_INDICATION_STANDARD" localSheetId="8">#REF!</definedName>
    <definedName name="P_Z_0_B_COLONNE_MOTIFS_INELIGIBILITE_INDICATION_STANDARD" localSheetId="10">#REF!</definedName>
    <definedName name="P_Z_0_B_COLONNE_MOTIFS_INELIGIBILITE_INDICATION_STANDARD" localSheetId="12">#REF!</definedName>
    <definedName name="P_Z_0_B_COLONNE_MOTIFS_INELIGIBILITE_INDICATION_STANDARD">#REF!</definedName>
    <definedName name="P_Z_0_B_COLONNE_MOTIFS_INELIGIBILITE_LIBELLE_STANDARD" localSheetId="8">#REF!</definedName>
    <definedName name="P_Z_0_B_COLONNE_MOTIFS_INELIGIBILITE_LIBELLE_STANDARD" localSheetId="10">#REF!</definedName>
    <definedName name="P_Z_0_B_COLONNE_MOTIFS_INELIGIBILITE_LIBELLE_STANDARD" localSheetId="12">#REF!</definedName>
    <definedName name="P_Z_0_B_COLONNE_MOTIFS_INELIGIBILITE_LIBELLE_STANDARD">#REF!</definedName>
    <definedName name="P_Z_0_B_COLONNE_MT_ELIGIBLE_LIBELLE_STANDARD" localSheetId="8">#REF!</definedName>
    <definedName name="P_Z_0_B_COLONNE_MT_ELIGIBLE_LIBELLE_STANDARD" localSheetId="10">#REF!</definedName>
    <definedName name="P_Z_0_B_COLONNE_MT_ELIGIBLE_LIBELLE_STANDARD" localSheetId="12">#REF!</definedName>
    <definedName name="P_Z_0_B_COLONNE_MT_ELIGIBLE_LIBELLE_STANDARD">#REF!</definedName>
    <definedName name="P_Z_0_B_COLONNE_MT_INELIGIBLE_LIBELLE_STANDARD" localSheetId="8">#REF!</definedName>
    <definedName name="P_Z_0_B_COLONNE_MT_INELIGIBLE_LIBELLE_STANDARD" localSheetId="10">#REF!</definedName>
    <definedName name="P_Z_0_B_COLONNE_MT_INELIGIBLE_LIBELLE_STANDARD" localSheetId="12">#REF!</definedName>
    <definedName name="P_Z_0_B_COLONNE_MT_INELIGIBLE_LIBELLE_STANDARD">#REF!</definedName>
    <definedName name="P_Z_0_B_COLONNE_MT_MAX_LIBELLE_STANDARD" localSheetId="8">#REF!</definedName>
    <definedName name="P_Z_0_B_COLONNE_MT_MAX_LIBELLE_STANDARD" localSheetId="10">#REF!</definedName>
    <definedName name="P_Z_0_B_COLONNE_MT_MAX_LIBELLE_STANDARD" localSheetId="12">#REF!</definedName>
    <definedName name="P_Z_0_B_COLONNE_MT_MAX_LIBELLE_STANDARD">#REF!</definedName>
    <definedName name="P_Z_0_B_COLONNE_MT_PRES_HT_INDICATION_STANDARD" localSheetId="8">#REF!</definedName>
    <definedName name="P_Z_0_B_COLONNE_MT_PRES_HT_INDICATION_STANDARD" localSheetId="10">#REF!</definedName>
    <definedName name="P_Z_0_B_COLONNE_MT_PRES_HT_INDICATION_STANDARD" localSheetId="12">#REF!</definedName>
    <definedName name="P_Z_0_B_COLONNE_MT_PRES_HT_INDICATION_STANDARD">#REF!</definedName>
    <definedName name="P_Z_0_B_COLONNE_MT_PRES_HT_LIBELLE_STANDARD" localSheetId="8">#REF!</definedName>
    <definedName name="P_Z_0_B_COLONNE_MT_PRES_HT_LIBELLE_STANDARD" localSheetId="10">#REF!</definedName>
    <definedName name="P_Z_0_B_COLONNE_MT_PRES_HT_LIBELLE_STANDARD" localSheetId="12">#REF!</definedName>
    <definedName name="P_Z_0_B_COLONNE_MT_PRES_HT_LIBELLE_STANDARD">#REF!</definedName>
    <definedName name="P_Z_0_B_COLONNE_MT_PRES_INDICATION_STANDARD" localSheetId="8">#REF!</definedName>
    <definedName name="P_Z_0_B_COLONNE_MT_PRES_INDICATION_STANDARD" localSheetId="10">#REF!</definedName>
    <definedName name="P_Z_0_B_COLONNE_MT_PRES_INDICATION_STANDARD" localSheetId="12">#REF!</definedName>
    <definedName name="P_Z_0_B_COLONNE_MT_PRES_INDICATION_STANDARD">#REF!</definedName>
    <definedName name="P_Z_0_B_COLONNE_MT_PRES_LIBELLE_STANDARD" localSheetId="8">#REF!</definedName>
    <definedName name="P_Z_0_B_COLONNE_MT_PRES_LIBELLE_STANDARD" localSheetId="10">#REF!</definedName>
    <definedName name="P_Z_0_B_COLONNE_MT_PRES_LIBELLE_STANDARD" localSheetId="12">#REF!</definedName>
    <definedName name="P_Z_0_B_COLONNE_MT_PRES_LIBELLE_STANDARD">#REF!</definedName>
    <definedName name="P_Z_0_B_COLONNE_MT_PRES_TVA_INDICATION_STANDARD" localSheetId="8">#REF!</definedName>
    <definedName name="P_Z_0_B_COLONNE_MT_PRES_TVA_INDICATION_STANDARD" localSheetId="10">#REF!</definedName>
    <definedName name="P_Z_0_B_COLONNE_MT_PRES_TVA_INDICATION_STANDARD" localSheetId="12">#REF!</definedName>
    <definedName name="P_Z_0_B_COLONNE_MT_PRES_TVA_INDICATION_STANDARD">#REF!</definedName>
    <definedName name="P_Z_0_B_COLONNE_MT_PRES_TVA_LIBELLE_STANDARD" localSheetId="8">#REF!</definedName>
    <definedName name="P_Z_0_B_COLONNE_MT_PRES_TVA_LIBELLE_STANDARD" localSheetId="10">#REF!</definedName>
    <definedName name="P_Z_0_B_COLONNE_MT_PRES_TVA_LIBELLE_STANDARD" localSheetId="12">#REF!</definedName>
    <definedName name="P_Z_0_B_COLONNE_MT_PRES_TVA_LIBELLE_STANDARD">#REF!</definedName>
    <definedName name="P_Z_0_B_COLONNE_MT_RAISONNABLE_LIBELLE_STANDARD" localSheetId="8">#REF!</definedName>
    <definedName name="P_Z_0_B_COLONNE_MT_RAISONNABLE_LIBELLE_STANDARD" localSheetId="10">#REF!</definedName>
    <definedName name="P_Z_0_B_COLONNE_MT_RAISONNABLE_LIBELLE_STANDARD" localSheetId="12">#REF!</definedName>
    <definedName name="P_Z_0_B_COLONNE_MT_RAISONNABLE_LIBELLE_STANDARD">#REF!</definedName>
    <definedName name="P_Z_0_B_COLONNE_POSTE_INDICATION_STANDARD" localSheetId="8">#REF!</definedName>
    <definedName name="P_Z_0_B_COLONNE_POSTE_INDICATION_STANDARD" localSheetId="10">#REF!</definedName>
    <definedName name="P_Z_0_B_COLONNE_POSTE_INDICATION_STANDARD" localSheetId="12">#REF!</definedName>
    <definedName name="P_Z_0_B_COLONNE_POSTE_INDICATION_STANDARD">#REF!</definedName>
    <definedName name="P_Z_0_B_COLONNE_POSTE_LIBELLE_STANDARD" localSheetId="8">#REF!</definedName>
    <definedName name="P_Z_0_B_COLONNE_POSTE_LIBELLE_STANDARD" localSheetId="10">#REF!</definedName>
    <definedName name="P_Z_0_B_COLONNE_POSTE_LIBELLE_STANDARD" localSheetId="12">#REF!</definedName>
    <definedName name="P_Z_0_B_COLONNE_POSTE_LIBELLE_STANDARD">#REF!</definedName>
    <definedName name="P_Z_0_B_COLONNE_SOUS_OPERATION_INDICATION_STANDARD" localSheetId="8">#REF!</definedName>
    <definedName name="P_Z_0_B_COLONNE_SOUS_OPERATION_INDICATION_STANDARD" localSheetId="10">#REF!</definedName>
    <definedName name="P_Z_0_B_COLONNE_SOUS_OPERATION_INDICATION_STANDARD" localSheetId="12">#REF!</definedName>
    <definedName name="P_Z_0_B_COLONNE_SOUS_OPERATION_INDICATION_STANDARD">#REF!</definedName>
    <definedName name="P_Z_0_B_COLONNE_SOUS_OPERATION_LIBELLE_STANDARD" localSheetId="8">#REF!</definedName>
    <definedName name="P_Z_0_B_COLONNE_SOUS_OPERATION_LIBELLE_STANDARD" localSheetId="10">#REF!</definedName>
    <definedName name="P_Z_0_B_COLONNE_SOUS_OPERATION_LIBELLE_STANDARD" localSheetId="12">#REF!</definedName>
    <definedName name="P_Z_0_B_COLONNE_SOUS_OPERATION_LIBELLE_STANDARD">#REF!</definedName>
    <definedName name="P_Z_0_B_COLONNES_MARCHE_2_DEVIS" localSheetId="8">#REF!</definedName>
    <definedName name="P_Z_0_B_COLONNES_MARCHE_2_DEVIS" localSheetId="10">#REF!</definedName>
    <definedName name="P_Z_0_B_COLONNES_MARCHE_2_DEVIS" localSheetId="12">#REF!</definedName>
    <definedName name="P_Z_0_B_COLONNES_MARCHE_2_DEVIS">#REF!</definedName>
    <definedName name="P_Z_0_B_COLONNES_MARCHE_3_DEVIS" localSheetId="8">#REF!</definedName>
    <definedName name="P_Z_0_B_COLONNES_MARCHE_3_DEVIS" localSheetId="10">#REF!</definedName>
    <definedName name="P_Z_0_B_COLONNES_MARCHE_3_DEVIS" localSheetId="12">#REF!</definedName>
    <definedName name="P_Z_0_B_COLONNES_MARCHE_3_DEVIS">#REF!</definedName>
    <definedName name="P_Z_0_B_UTILISATION_COUT_RAISONNABLE" localSheetId="8">#REF!</definedName>
    <definedName name="P_Z_0_B_UTILISATION_COUT_RAISONNABLE" localSheetId="10">#REF!</definedName>
    <definedName name="P_Z_0_B_UTILISATION_COUT_RAISONNABLE" localSheetId="12">#REF!</definedName>
    <definedName name="P_Z_0_B_UTILISATION_COUT_RAISONNABLE">#REF!</definedName>
    <definedName name="P_Z_0_B_UTILISATION_LIBELLES_DESCRIPTIONS" localSheetId="8">#REF!</definedName>
    <definedName name="P_Z_0_B_UTILISATION_LIBELLES_DESCRIPTIONS" localSheetId="10">#REF!</definedName>
    <definedName name="P_Z_0_B_UTILISATION_LIBELLES_DESCRIPTIONS" localSheetId="12">#REF!</definedName>
    <definedName name="P_Z_0_B_UTILISATION_LIBELLES_DESCRIPTIONS">#REF!</definedName>
    <definedName name="P_Z_0_B_UTILISATION_MT_MAX" localSheetId="8">#REF!</definedName>
    <definedName name="P_Z_0_B_UTILISATION_MT_MAX" localSheetId="10">#REF!</definedName>
    <definedName name="P_Z_0_B_UTILISATION_MT_MAX" localSheetId="12">#REF!</definedName>
    <definedName name="P_Z_0_B_UTILISATION_MT_MAX">#REF!</definedName>
    <definedName name="P_Z_0_B_UTILISATION_SOUS_OPERATIONS" localSheetId="8">#REF!</definedName>
    <definedName name="P_Z_0_B_UTILISATION_SOUS_OPERATIONS" localSheetId="10">#REF!</definedName>
    <definedName name="P_Z_0_B_UTILISATION_SOUS_OPERATIONS" localSheetId="12">#REF!</definedName>
    <definedName name="P_Z_0_B_UTILISATION_SOUS_OPERATIONS">#REF!</definedName>
    <definedName name="P_Z_0_B_UTILISATION_TVA" localSheetId="8">#REF!</definedName>
    <definedName name="P_Z_0_B_UTILISATION_TVA" localSheetId="10">#REF!</definedName>
    <definedName name="P_Z_0_B_UTILISATION_TVA" localSheetId="12">#REF!</definedName>
    <definedName name="P_Z_0_B_UTILISATION_TVA">#REF!</definedName>
    <definedName name="P_Z_0_N_COLONNE_COMMENTAIRE_SI_INDICATION_DEFAUT" localSheetId="8">#REF!</definedName>
    <definedName name="P_Z_0_N_COLONNE_COMMENTAIRE_SI_INDICATION_DEFAUT" localSheetId="10">#REF!</definedName>
    <definedName name="P_Z_0_N_COLONNE_COMMENTAIRE_SI_INDICATION_DEFAUT" localSheetId="12">#REF!</definedName>
    <definedName name="P_Z_0_N_COLONNE_COMMENTAIRE_SI_INDICATION_DEFAUT">#REF!</definedName>
    <definedName name="P_Z_0_N_COLONNE_COMMENTAIRE_SI_INDICATION_STANDARD" localSheetId="8">#REF!</definedName>
    <definedName name="P_Z_0_N_COLONNE_COMMENTAIRE_SI_INDICATION_STANDARD" localSheetId="10">#REF!</definedName>
    <definedName name="P_Z_0_N_COLONNE_COMMENTAIRE_SI_INDICATION_STANDARD" localSheetId="12">#REF!</definedName>
    <definedName name="P_Z_0_N_COLONNE_COMMENTAIRE_SI_INDICATION_STANDARD">#REF!</definedName>
    <definedName name="P_Z_0_N_COLONNE_COMMENTAIRE_SI_LIBELLE_DEFAUT" localSheetId="8">#REF!</definedName>
    <definedName name="P_Z_0_N_COLONNE_COMMENTAIRE_SI_LIBELLE_DEFAUT" localSheetId="10">#REF!</definedName>
    <definedName name="P_Z_0_N_COLONNE_COMMENTAIRE_SI_LIBELLE_DEFAUT" localSheetId="12">#REF!</definedName>
    <definedName name="P_Z_0_N_COLONNE_COMMENTAIRE_SI_LIBELLE_DEFAUT">#REF!</definedName>
    <definedName name="P_Z_0_N_COLONNE_COMMENTAIRE_SI_LIBELLE_STANDARD" localSheetId="8">#REF!</definedName>
    <definedName name="P_Z_0_N_COLONNE_COMMENTAIRE_SI_LIBELLE_STANDARD" localSheetId="10">#REF!</definedName>
    <definedName name="P_Z_0_N_COLONNE_COMMENTAIRE_SI_LIBELLE_STANDARD" localSheetId="12">#REF!</definedName>
    <definedName name="P_Z_0_N_COLONNE_COMMENTAIRE_SI_LIBELLE_STANDARD">#REF!</definedName>
    <definedName name="P_Z_0_N_COLONNE_MOTIFS_INELIGIBILITE_INDICATION_DEFAUT" localSheetId="8">#REF!</definedName>
    <definedName name="P_Z_0_N_COLONNE_MOTIFS_INELIGIBILITE_INDICATION_DEFAUT" localSheetId="10">#REF!</definedName>
    <definedName name="P_Z_0_N_COLONNE_MOTIFS_INELIGIBILITE_INDICATION_DEFAUT" localSheetId="12">#REF!</definedName>
    <definedName name="P_Z_0_N_COLONNE_MOTIFS_INELIGIBILITE_INDICATION_DEFAUT">#REF!</definedName>
    <definedName name="P_Z_0_N_COLONNE_MOTIFS_INELIGIBILITE_INDICATION_STANDARD" localSheetId="8">#REF!</definedName>
    <definedName name="P_Z_0_N_COLONNE_MOTIFS_INELIGIBILITE_INDICATION_STANDARD" localSheetId="10">#REF!</definedName>
    <definedName name="P_Z_0_N_COLONNE_MOTIFS_INELIGIBILITE_INDICATION_STANDARD" localSheetId="12">#REF!</definedName>
    <definedName name="P_Z_0_N_COLONNE_MOTIFS_INELIGIBILITE_INDICATION_STANDARD">#REF!</definedName>
    <definedName name="P_Z_0_N_COLONNE_MOTIFS_INELIGIBILITE_LIBELLE_DEFAUT" localSheetId="8">#REF!</definedName>
    <definedName name="P_Z_0_N_COLONNE_MOTIFS_INELIGIBILITE_LIBELLE_DEFAUT" localSheetId="10">#REF!</definedName>
    <definedName name="P_Z_0_N_COLONNE_MOTIFS_INELIGIBILITE_LIBELLE_DEFAUT" localSheetId="12">#REF!</definedName>
    <definedName name="P_Z_0_N_COLONNE_MOTIFS_INELIGIBILITE_LIBELLE_DEFAUT">#REF!</definedName>
    <definedName name="P_Z_0_N_COLONNE_MOTIFS_INELIGIBILITE_LIBELLE_STANDARD" localSheetId="8">#REF!</definedName>
    <definedName name="P_Z_0_N_COLONNE_MOTIFS_INELIGIBILITE_LIBELLE_STANDARD" localSheetId="10">#REF!</definedName>
    <definedName name="P_Z_0_N_COLONNE_MOTIFS_INELIGIBILITE_LIBELLE_STANDARD" localSheetId="12">#REF!</definedName>
    <definedName name="P_Z_0_N_COLONNE_MOTIFS_INELIGIBILITE_LIBELLE_STANDARD">#REF!</definedName>
    <definedName name="P_Z_0_N_COLONNE_MT_ELIGIBLE_LIBELLE_DEFAUT" localSheetId="8">#REF!</definedName>
    <definedName name="P_Z_0_N_COLONNE_MT_ELIGIBLE_LIBELLE_DEFAUT" localSheetId="10">#REF!</definedName>
    <definedName name="P_Z_0_N_COLONNE_MT_ELIGIBLE_LIBELLE_DEFAUT" localSheetId="12">#REF!</definedName>
    <definedName name="P_Z_0_N_COLONNE_MT_ELIGIBLE_LIBELLE_DEFAUT">#REF!</definedName>
    <definedName name="P_Z_0_N_COLONNE_MT_ELIGIBLE_LIBELLE_STANDARD" localSheetId="8">#REF!</definedName>
    <definedName name="P_Z_0_N_COLONNE_MT_ELIGIBLE_LIBELLE_STANDARD" localSheetId="10">#REF!</definedName>
    <definedName name="P_Z_0_N_COLONNE_MT_ELIGIBLE_LIBELLE_STANDARD" localSheetId="12">#REF!</definedName>
    <definedName name="P_Z_0_N_COLONNE_MT_ELIGIBLE_LIBELLE_STANDARD">#REF!</definedName>
    <definedName name="P_Z_0_N_COLONNE_MT_INELIGIBLE_LIBELLE_DEFAUT" localSheetId="8">#REF!</definedName>
    <definedName name="P_Z_0_N_COLONNE_MT_INELIGIBLE_LIBELLE_DEFAUT" localSheetId="10">#REF!</definedName>
    <definedName name="P_Z_0_N_COLONNE_MT_INELIGIBLE_LIBELLE_DEFAUT" localSheetId="12">#REF!</definedName>
    <definedName name="P_Z_0_N_COLONNE_MT_INELIGIBLE_LIBELLE_DEFAUT">#REF!</definedName>
    <definedName name="P_Z_0_N_COLONNE_MT_INELIGIBLE_LIBELLE_STANDARD" localSheetId="8">#REF!</definedName>
    <definedName name="P_Z_0_N_COLONNE_MT_INELIGIBLE_LIBELLE_STANDARD" localSheetId="10">#REF!</definedName>
    <definedName name="P_Z_0_N_COLONNE_MT_INELIGIBLE_LIBELLE_STANDARD" localSheetId="12">#REF!</definedName>
    <definedName name="P_Z_0_N_COLONNE_MT_INELIGIBLE_LIBELLE_STANDARD">#REF!</definedName>
    <definedName name="P_Z_0_N_COLONNE_MT_MAX_LIBELLE_DEFAUT" localSheetId="8">#REF!</definedName>
    <definedName name="P_Z_0_N_COLONNE_MT_MAX_LIBELLE_DEFAUT" localSheetId="10">#REF!</definedName>
    <definedName name="P_Z_0_N_COLONNE_MT_MAX_LIBELLE_DEFAUT" localSheetId="12">#REF!</definedName>
    <definedName name="P_Z_0_N_COLONNE_MT_MAX_LIBELLE_DEFAUT">#REF!</definedName>
    <definedName name="P_Z_0_N_COLONNE_MT_MAX_LIBELLE_STANDARD" localSheetId="8">#REF!</definedName>
    <definedName name="P_Z_0_N_COLONNE_MT_MAX_LIBELLE_STANDARD" localSheetId="10">#REF!</definedName>
    <definedName name="P_Z_0_N_COLONNE_MT_MAX_LIBELLE_STANDARD" localSheetId="12">#REF!</definedName>
    <definedName name="P_Z_0_N_COLONNE_MT_MAX_LIBELLE_STANDARD">#REF!</definedName>
    <definedName name="P_Z_0_N_COLONNE_MT_PRES_HT_INDICATION_DEFAUT" localSheetId="8">#REF!</definedName>
    <definedName name="P_Z_0_N_COLONNE_MT_PRES_HT_INDICATION_DEFAUT" localSheetId="10">#REF!</definedName>
    <definedName name="P_Z_0_N_COLONNE_MT_PRES_HT_INDICATION_DEFAUT" localSheetId="12">#REF!</definedName>
    <definedName name="P_Z_0_N_COLONNE_MT_PRES_HT_INDICATION_DEFAUT">#REF!</definedName>
    <definedName name="P_Z_0_N_COLONNE_MT_PRES_HT_INDICATION_STANDARD" localSheetId="8">#REF!</definedName>
    <definedName name="P_Z_0_N_COLONNE_MT_PRES_HT_INDICATION_STANDARD" localSheetId="10">#REF!</definedName>
    <definedName name="P_Z_0_N_COLONNE_MT_PRES_HT_INDICATION_STANDARD" localSheetId="12">#REF!</definedName>
    <definedName name="P_Z_0_N_COLONNE_MT_PRES_HT_INDICATION_STANDARD">#REF!</definedName>
    <definedName name="P_Z_0_N_COLONNE_MT_PRES_HT_LIBELLE_DEFAUT" localSheetId="8">#REF!</definedName>
    <definedName name="P_Z_0_N_COLONNE_MT_PRES_HT_LIBELLE_DEFAUT" localSheetId="10">#REF!</definedName>
    <definedName name="P_Z_0_N_COLONNE_MT_PRES_HT_LIBELLE_DEFAUT" localSheetId="12">#REF!</definedName>
    <definedName name="P_Z_0_N_COLONNE_MT_PRES_HT_LIBELLE_DEFAUT">#REF!</definedName>
    <definedName name="P_Z_0_N_COLONNE_MT_PRES_HT_LIBELLE_STANDARD" localSheetId="8">#REF!</definedName>
    <definedName name="P_Z_0_N_COLONNE_MT_PRES_HT_LIBELLE_STANDARD" localSheetId="10">#REF!</definedName>
    <definedName name="P_Z_0_N_COLONNE_MT_PRES_HT_LIBELLE_STANDARD" localSheetId="12">#REF!</definedName>
    <definedName name="P_Z_0_N_COLONNE_MT_PRES_HT_LIBELLE_STANDARD">#REF!</definedName>
    <definedName name="P_Z_0_N_COLONNE_MT_PRES_INDICATION_DEFAUT" localSheetId="8">#REF!</definedName>
    <definedName name="P_Z_0_N_COLONNE_MT_PRES_INDICATION_DEFAUT" localSheetId="10">#REF!</definedName>
    <definedName name="P_Z_0_N_COLONNE_MT_PRES_INDICATION_DEFAUT" localSheetId="12">#REF!</definedName>
    <definedName name="P_Z_0_N_COLONNE_MT_PRES_INDICATION_DEFAUT">#REF!</definedName>
    <definedName name="P_Z_0_N_COLONNE_MT_PRES_INDICATION_STANDARD" localSheetId="8">#REF!</definedName>
    <definedName name="P_Z_0_N_COLONNE_MT_PRES_INDICATION_STANDARD" localSheetId="10">#REF!</definedName>
    <definedName name="P_Z_0_N_COLONNE_MT_PRES_INDICATION_STANDARD" localSheetId="12">#REF!</definedName>
    <definedName name="P_Z_0_N_COLONNE_MT_PRES_INDICATION_STANDARD">#REF!</definedName>
    <definedName name="P_Z_0_N_COLONNE_MT_PRES_LIBELLE_DEFAUT" localSheetId="8">#REF!</definedName>
    <definedName name="P_Z_0_N_COLONNE_MT_PRES_LIBELLE_DEFAUT" localSheetId="10">#REF!</definedName>
    <definedName name="P_Z_0_N_COLONNE_MT_PRES_LIBELLE_DEFAUT" localSheetId="12">#REF!</definedName>
    <definedName name="P_Z_0_N_COLONNE_MT_PRES_LIBELLE_DEFAUT">#REF!</definedName>
    <definedName name="P_Z_0_N_COLONNE_MT_PRES_LIBELLE_STANDARD" localSheetId="8">#REF!</definedName>
    <definedName name="P_Z_0_N_COLONNE_MT_PRES_LIBELLE_STANDARD" localSheetId="10">#REF!</definedName>
    <definedName name="P_Z_0_N_COLONNE_MT_PRES_LIBELLE_STANDARD" localSheetId="12">#REF!</definedName>
    <definedName name="P_Z_0_N_COLONNE_MT_PRES_LIBELLE_STANDARD">#REF!</definedName>
    <definedName name="P_Z_0_N_COLONNE_MT_PRES_TVA_INDICATION_DEFAUT" localSheetId="8">#REF!</definedName>
    <definedName name="P_Z_0_N_COLONNE_MT_PRES_TVA_INDICATION_DEFAUT" localSheetId="10">#REF!</definedName>
    <definedName name="P_Z_0_N_COLONNE_MT_PRES_TVA_INDICATION_DEFAUT" localSheetId="12">#REF!</definedName>
    <definedName name="P_Z_0_N_COLONNE_MT_PRES_TVA_INDICATION_DEFAUT">#REF!</definedName>
    <definedName name="P_Z_0_N_COLONNE_MT_PRES_TVA_INDICATION_STANDARD" localSheetId="8">#REF!</definedName>
    <definedName name="P_Z_0_N_COLONNE_MT_PRES_TVA_INDICATION_STANDARD" localSheetId="10">#REF!</definedName>
    <definedName name="P_Z_0_N_COLONNE_MT_PRES_TVA_INDICATION_STANDARD" localSheetId="12">#REF!</definedName>
    <definedName name="P_Z_0_N_COLONNE_MT_PRES_TVA_INDICATION_STANDARD">#REF!</definedName>
    <definedName name="P_Z_0_N_COLONNE_MT_PRES_TVA_LIBELLE_DEFAUT" localSheetId="8">#REF!</definedName>
    <definedName name="P_Z_0_N_COLONNE_MT_PRES_TVA_LIBELLE_DEFAUT" localSheetId="10">#REF!</definedName>
    <definedName name="P_Z_0_N_COLONNE_MT_PRES_TVA_LIBELLE_DEFAUT" localSheetId="12">#REF!</definedName>
    <definedName name="P_Z_0_N_COLONNE_MT_PRES_TVA_LIBELLE_DEFAUT">#REF!</definedName>
    <definedName name="P_Z_0_N_COLONNE_MT_PRES_TVA_LIBELLE_STANDARD" localSheetId="8">#REF!</definedName>
    <definedName name="P_Z_0_N_COLONNE_MT_PRES_TVA_LIBELLE_STANDARD" localSheetId="10">#REF!</definedName>
    <definedName name="P_Z_0_N_COLONNE_MT_PRES_TVA_LIBELLE_STANDARD" localSheetId="12">#REF!</definedName>
    <definedName name="P_Z_0_N_COLONNE_MT_PRES_TVA_LIBELLE_STANDARD">#REF!</definedName>
    <definedName name="P_Z_0_N_COLONNE_MT_RAISONNABLE_DEFAUT" localSheetId="8">#REF!</definedName>
    <definedName name="P_Z_0_N_COLONNE_MT_RAISONNABLE_DEFAUT" localSheetId="10">#REF!</definedName>
    <definedName name="P_Z_0_N_COLONNE_MT_RAISONNABLE_DEFAUT" localSheetId="12">#REF!</definedName>
    <definedName name="P_Z_0_N_COLONNE_MT_RAISONNABLE_DEFAUT">#REF!</definedName>
    <definedName name="P_Z_0_N_COLONNE_MT_RAISONNABLE_STANDARD" localSheetId="8">#REF!</definedName>
    <definedName name="P_Z_0_N_COLONNE_MT_RAISONNABLE_STANDARD" localSheetId="10">#REF!</definedName>
    <definedName name="P_Z_0_N_COLONNE_MT_RAISONNABLE_STANDARD" localSheetId="12">#REF!</definedName>
    <definedName name="P_Z_0_N_COLONNE_MT_RAISONNABLE_STANDARD">#REF!</definedName>
    <definedName name="P_Z_0_N_COLONNE_POSTE_INDICATION_DEFAUT" localSheetId="8">#REF!</definedName>
    <definedName name="P_Z_0_N_COLONNE_POSTE_INDICATION_DEFAUT" localSheetId="10">#REF!</definedName>
    <definedName name="P_Z_0_N_COLONNE_POSTE_INDICATION_DEFAUT" localSheetId="12">#REF!</definedName>
    <definedName name="P_Z_0_N_COLONNE_POSTE_INDICATION_DEFAUT">#REF!</definedName>
    <definedName name="P_Z_0_N_COLONNE_POSTE_INDICATION_STANDARD" localSheetId="8">#REF!</definedName>
    <definedName name="P_Z_0_N_COLONNE_POSTE_INDICATION_STANDARD" localSheetId="10">#REF!</definedName>
    <definedName name="P_Z_0_N_COLONNE_POSTE_INDICATION_STANDARD" localSheetId="12">#REF!</definedName>
    <definedName name="P_Z_0_N_COLONNE_POSTE_INDICATION_STANDARD">#REF!</definedName>
    <definedName name="P_Z_0_N_COLONNE_POSTE_LIBELLE_DEFAUT" localSheetId="8">#REF!</definedName>
    <definedName name="P_Z_0_N_COLONNE_POSTE_LIBELLE_DEFAUT" localSheetId="10">#REF!</definedName>
    <definedName name="P_Z_0_N_COLONNE_POSTE_LIBELLE_DEFAUT" localSheetId="12">#REF!</definedName>
    <definedName name="P_Z_0_N_COLONNE_POSTE_LIBELLE_DEFAUT">#REF!</definedName>
    <definedName name="P_Z_0_N_COLONNE_POSTE_LIBELLE_STANDARD" localSheetId="8">#REF!</definedName>
    <definedName name="P_Z_0_N_COLONNE_POSTE_LIBELLE_STANDARD" localSheetId="10">#REF!</definedName>
    <definedName name="P_Z_0_N_COLONNE_POSTE_LIBELLE_STANDARD" localSheetId="12">#REF!</definedName>
    <definedName name="P_Z_0_N_COLONNE_POSTE_LIBELLE_STANDARD">#REF!</definedName>
    <definedName name="P_Z_0_N_COLONNE_SOUS_OPERATION_INDICATION_DEFAUT" localSheetId="8">#REF!</definedName>
    <definedName name="P_Z_0_N_COLONNE_SOUS_OPERATION_INDICATION_DEFAUT" localSheetId="10">#REF!</definedName>
    <definedName name="P_Z_0_N_COLONNE_SOUS_OPERATION_INDICATION_DEFAUT" localSheetId="12">#REF!</definedName>
    <definedName name="P_Z_0_N_COLONNE_SOUS_OPERATION_INDICATION_DEFAUT">#REF!</definedName>
    <definedName name="P_Z_0_N_COLONNE_SOUS_OPERATION_INDICATION_STANDARD" localSheetId="8">#REF!</definedName>
    <definedName name="P_Z_0_N_COLONNE_SOUS_OPERATION_INDICATION_STANDARD" localSheetId="10">#REF!</definedName>
    <definedName name="P_Z_0_N_COLONNE_SOUS_OPERATION_INDICATION_STANDARD" localSheetId="12">#REF!</definedName>
    <definedName name="P_Z_0_N_COLONNE_SOUS_OPERATION_INDICATION_STANDARD">#REF!</definedName>
    <definedName name="P_Z_0_N_COLONNE_SOUS_OPERATION_LIBELLE_DEFAUT" localSheetId="8">#REF!</definedName>
    <definedName name="P_Z_0_N_COLONNE_SOUS_OPERATION_LIBELLE_DEFAUT" localSheetId="10">#REF!</definedName>
    <definedName name="P_Z_0_N_COLONNE_SOUS_OPERATION_LIBELLE_DEFAUT" localSheetId="12">#REF!</definedName>
    <definedName name="P_Z_0_N_COLONNE_SOUS_OPERATION_LIBELLE_DEFAUT">#REF!</definedName>
    <definedName name="P_Z_0_N_COLONNE_SOUS_OPERATION_LIBELLE_STANDARD" localSheetId="8">#REF!</definedName>
    <definedName name="P_Z_0_N_COLONNE_SOUS_OPERATION_LIBELLE_STANDARD" localSheetId="10">#REF!</definedName>
    <definedName name="P_Z_0_N_COLONNE_SOUS_OPERATION_LIBELLE_STANDARD" localSheetId="12">#REF!</definedName>
    <definedName name="P_Z_0_N_COLONNE_SOUS_OPERATION_LIBELLE_STANDARD">#REF!</definedName>
    <definedName name="P_Z_0_N_COLONNES_MARCHE_2_DEVIS_SEUIL" localSheetId="8">#REF!</definedName>
    <definedName name="P_Z_0_N_COLONNES_MARCHE_2_DEVIS_SEUIL" localSheetId="10">#REF!</definedName>
    <definedName name="P_Z_0_N_COLONNES_MARCHE_2_DEVIS_SEUIL" localSheetId="12">#REF!</definedName>
    <definedName name="P_Z_0_N_COLONNES_MARCHE_2_DEVIS_SEUIL">#REF!</definedName>
    <definedName name="P_Z_0_N_COLONNES_MARCHE_3_DEVIS_SEUIL" localSheetId="8">#REF!</definedName>
    <definedName name="P_Z_0_N_COLONNES_MARCHE_3_DEVIS_SEUIL" localSheetId="10">#REF!</definedName>
    <definedName name="P_Z_0_N_COLONNES_MARCHE_3_DEVIS_SEUIL" localSheetId="12">#REF!</definedName>
    <definedName name="P_Z_0_N_COLONNES_MARCHE_3_DEVIS_SEUIL">#REF!</definedName>
    <definedName name="P_Z_0_R_LIBELLES_DESCRIPTIONS" localSheetId="8">#REF!</definedName>
    <definedName name="P_Z_0_R_LIBELLES_DESCRIPTIONS" localSheetId="10">#REF!</definedName>
    <definedName name="P_Z_0_R_LIBELLES_DESCRIPTIONS" localSheetId="12">#REF!</definedName>
    <definedName name="P_Z_0_R_LIBELLES_DESCRIPTIONS">#REF!</definedName>
    <definedName name="P_Z_0_R_LIBELLES_DESCRIPTIONS_1" localSheetId="8">#REF!</definedName>
    <definedName name="P_Z_0_R_LIBELLES_DESCRIPTIONS_1" localSheetId="10">#REF!</definedName>
    <definedName name="P_Z_0_R_LIBELLES_DESCRIPTIONS_1" localSheetId="12">#REF!</definedName>
    <definedName name="P_Z_0_R_LIBELLES_DESCRIPTIONS_1">#REF!</definedName>
    <definedName name="P_Z_0_R_LIBELLES_DESCRIPTIONS_10" localSheetId="8">#REF!</definedName>
    <definedName name="P_Z_0_R_LIBELLES_DESCRIPTIONS_10" localSheetId="10">#REF!</definedName>
    <definedName name="P_Z_0_R_LIBELLES_DESCRIPTIONS_10" localSheetId="12">#REF!</definedName>
    <definedName name="P_Z_0_R_LIBELLES_DESCRIPTIONS_10">#REF!</definedName>
    <definedName name="P_Z_0_R_LIBELLES_DESCRIPTIONS_11" localSheetId="8">#REF!</definedName>
    <definedName name="P_Z_0_R_LIBELLES_DESCRIPTIONS_11" localSheetId="10">#REF!</definedName>
    <definedName name="P_Z_0_R_LIBELLES_DESCRIPTIONS_11" localSheetId="12">#REF!</definedName>
    <definedName name="P_Z_0_R_LIBELLES_DESCRIPTIONS_11">#REF!</definedName>
    <definedName name="P_Z_0_R_LIBELLES_DESCRIPTIONS_12" localSheetId="8">#REF!</definedName>
    <definedName name="P_Z_0_R_LIBELLES_DESCRIPTIONS_12" localSheetId="10">#REF!</definedName>
    <definedName name="P_Z_0_R_LIBELLES_DESCRIPTIONS_12" localSheetId="12">#REF!</definedName>
    <definedName name="P_Z_0_R_LIBELLES_DESCRIPTIONS_12">#REF!</definedName>
    <definedName name="P_Z_0_R_LIBELLES_DESCRIPTIONS_13" localSheetId="8">#REF!</definedName>
    <definedName name="P_Z_0_R_LIBELLES_DESCRIPTIONS_13" localSheetId="10">#REF!</definedName>
    <definedName name="P_Z_0_R_LIBELLES_DESCRIPTIONS_13" localSheetId="12">#REF!</definedName>
    <definedName name="P_Z_0_R_LIBELLES_DESCRIPTIONS_13">#REF!</definedName>
    <definedName name="P_Z_0_R_LIBELLES_DESCRIPTIONS_14" localSheetId="8">#REF!</definedName>
    <definedName name="P_Z_0_R_LIBELLES_DESCRIPTIONS_14" localSheetId="10">#REF!</definedName>
    <definedName name="P_Z_0_R_LIBELLES_DESCRIPTIONS_14" localSheetId="12">#REF!</definedName>
    <definedName name="P_Z_0_R_LIBELLES_DESCRIPTIONS_14">#REF!</definedName>
    <definedName name="P_Z_0_R_LIBELLES_DESCRIPTIONS_15" localSheetId="8">#REF!</definedName>
    <definedName name="P_Z_0_R_LIBELLES_DESCRIPTIONS_15" localSheetId="10">#REF!</definedName>
    <definedName name="P_Z_0_R_LIBELLES_DESCRIPTIONS_15" localSheetId="12">#REF!</definedName>
    <definedName name="P_Z_0_R_LIBELLES_DESCRIPTIONS_15">#REF!</definedName>
    <definedName name="P_Z_0_R_LIBELLES_DESCRIPTIONS_16" localSheetId="8">#REF!</definedName>
    <definedName name="P_Z_0_R_LIBELLES_DESCRIPTIONS_16" localSheetId="10">#REF!</definedName>
    <definedName name="P_Z_0_R_LIBELLES_DESCRIPTIONS_16" localSheetId="12">#REF!</definedName>
    <definedName name="P_Z_0_R_LIBELLES_DESCRIPTIONS_16">#REF!</definedName>
    <definedName name="P_Z_0_R_LIBELLES_DESCRIPTIONS_17" localSheetId="8">#REF!</definedName>
    <definedName name="P_Z_0_R_LIBELLES_DESCRIPTIONS_17" localSheetId="10">#REF!</definedName>
    <definedName name="P_Z_0_R_LIBELLES_DESCRIPTIONS_17" localSheetId="12">#REF!</definedName>
    <definedName name="P_Z_0_R_LIBELLES_DESCRIPTIONS_17">#REF!</definedName>
    <definedName name="P_Z_0_R_LIBELLES_DESCRIPTIONS_18" localSheetId="8">#REF!</definedName>
    <definedName name="P_Z_0_R_LIBELLES_DESCRIPTIONS_18" localSheetId="10">#REF!</definedName>
    <definedName name="P_Z_0_R_LIBELLES_DESCRIPTIONS_18" localSheetId="12">#REF!</definedName>
    <definedName name="P_Z_0_R_LIBELLES_DESCRIPTIONS_18">#REF!</definedName>
    <definedName name="P_Z_0_R_LIBELLES_DESCRIPTIONS_19" localSheetId="8">#REF!</definedName>
    <definedName name="P_Z_0_R_LIBELLES_DESCRIPTIONS_19" localSheetId="10">#REF!</definedName>
    <definedName name="P_Z_0_R_LIBELLES_DESCRIPTIONS_19" localSheetId="12">#REF!</definedName>
    <definedName name="P_Z_0_R_LIBELLES_DESCRIPTIONS_19">#REF!</definedName>
    <definedName name="P_Z_0_R_LIBELLES_DESCRIPTIONS_2" localSheetId="8">#REF!</definedName>
    <definedName name="P_Z_0_R_LIBELLES_DESCRIPTIONS_2" localSheetId="10">#REF!</definedName>
    <definedName name="P_Z_0_R_LIBELLES_DESCRIPTIONS_2" localSheetId="12">#REF!</definedName>
    <definedName name="P_Z_0_R_LIBELLES_DESCRIPTIONS_2">#REF!</definedName>
    <definedName name="P_Z_0_R_LIBELLES_DESCRIPTIONS_20" localSheetId="8">#REF!</definedName>
    <definedName name="P_Z_0_R_LIBELLES_DESCRIPTIONS_20" localSheetId="10">#REF!</definedName>
    <definedName name="P_Z_0_R_LIBELLES_DESCRIPTIONS_20" localSheetId="12">#REF!</definedName>
    <definedName name="P_Z_0_R_LIBELLES_DESCRIPTIONS_20">#REF!</definedName>
    <definedName name="P_Z_0_R_LIBELLES_DESCRIPTIONS_3" localSheetId="8">#REF!</definedName>
    <definedName name="P_Z_0_R_LIBELLES_DESCRIPTIONS_3" localSheetId="10">#REF!</definedName>
    <definedName name="P_Z_0_R_LIBELLES_DESCRIPTIONS_3" localSheetId="12">#REF!</definedName>
    <definedName name="P_Z_0_R_LIBELLES_DESCRIPTIONS_3">#REF!</definedName>
    <definedName name="P_Z_0_R_LIBELLES_DESCRIPTIONS_4" localSheetId="8">#REF!</definedName>
    <definedName name="P_Z_0_R_LIBELLES_DESCRIPTIONS_4" localSheetId="10">#REF!</definedName>
    <definedName name="P_Z_0_R_LIBELLES_DESCRIPTIONS_4" localSheetId="12">#REF!</definedName>
    <definedName name="P_Z_0_R_LIBELLES_DESCRIPTIONS_4">#REF!</definedName>
    <definedName name="P_Z_0_R_LIBELLES_DESCRIPTIONS_5" localSheetId="8">#REF!</definedName>
    <definedName name="P_Z_0_R_LIBELLES_DESCRIPTIONS_5" localSheetId="10">#REF!</definedName>
    <definedName name="P_Z_0_R_LIBELLES_DESCRIPTIONS_5" localSheetId="12">#REF!</definedName>
    <definedName name="P_Z_0_R_LIBELLES_DESCRIPTIONS_5">#REF!</definedName>
    <definedName name="P_Z_0_R_LIBELLES_DESCRIPTIONS_6" localSheetId="8">#REF!</definedName>
    <definedName name="P_Z_0_R_LIBELLES_DESCRIPTIONS_6" localSheetId="10">#REF!</definedName>
    <definedName name="P_Z_0_R_LIBELLES_DESCRIPTIONS_6" localSheetId="12">#REF!</definedName>
    <definedName name="P_Z_0_R_LIBELLES_DESCRIPTIONS_6">#REF!</definedName>
    <definedName name="P_Z_0_R_LIBELLES_DESCRIPTIONS_7" localSheetId="8">#REF!</definedName>
    <definedName name="P_Z_0_R_LIBELLES_DESCRIPTIONS_7" localSheetId="10">#REF!</definedName>
    <definedName name="P_Z_0_R_LIBELLES_DESCRIPTIONS_7" localSheetId="12">#REF!</definedName>
    <definedName name="P_Z_0_R_LIBELLES_DESCRIPTIONS_7">#REF!</definedName>
    <definedName name="P_Z_0_R_LIBELLES_DESCRIPTIONS_8" localSheetId="8">#REF!</definedName>
    <definedName name="P_Z_0_R_LIBELLES_DESCRIPTIONS_8" localSheetId="10">#REF!</definedName>
    <definedName name="P_Z_0_R_LIBELLES_DESCRIPTIONS_8" localSheetId="12">#REF!</definedName>
    <definedName name="P_Z_0_R_LIBELLES_DESCRIPTIONS_8">#REF!</definedName>
    <definedName name="P_Z_0_R_LIBELLES_DESCRIPTIONS_9" localSheetId="8">#REF!</definedName>
    <definedName name="P_Z_0_R_LIBELLES_DESCRIPTIONS_9" localSheetId="10">#REF!</definedName>
    <definedName name="P_Z_0_R_LIBELLES_DESCRIPTIONS_9" localSheetId="12">#REF!</definedName>
    <definedName name="P_Z_0_R_LIBELLES_DESCRIPTIONS_9">#REF!</definedName>
    <definedName name="P_Z_0_R_LIBELLES_MARCHES_RAISONNABLES" localSheetId="8">#REF!</definedName>
    <definedName name="P_Z_0_R_LIBELLES_MARCHES_RAISONNABLES" localSheetId="10">#REF!</definedName>
    <definedName name="P_Z_0_R_LIBELLES_MARCHES_RAISONNABLES" localSheetId="12">#REF!</definedName>
    <definedName name="P_Z_0_R_LIBELLES_MARCHES_RAISONNABLES">#REF!</definedName>
    <definedName name="P_Z_0_R_LIBELLES_MARCHES_RAISONNABLES_1" localSheetId="8">#REF!</definedName>
    <definedName name="P_Z_0_R_LIBELLES_MARCHES_RAISONNABLES_1" localSheetId="10">#REF!</definedName>
    <definedName name="P_Z_0_R_LIBELLES_MARCHES_RAISONNABLES_1" localSheetId="12">#REF!</definedName>
    <definedName name="P_Z_0_R_LIBELLES_MARCHES_RAISONNABLES_1">#REF!</definedName>
    <definedName name="P_Z_0_R_LIBELLES_MARCHES_RAISONNABLES_2" localSheetId="8">#REF!</definedName>
    <definedName name="P_Z_0_R_LIBELLES_MARCHES_RAISONNABLES_2" localSheetId="10">#REF!</definedName>
    <definedName name="P_Z_0_R_LIBELLES_MARCHES_RAISONNABLES_2" localSheetId="12">#REF!</definedName>
    <definedName name="P_Z_0_R_LIBELLES_MARCHES_RAISONNABLES_2">#REF!</definedName>
    <definedName name="P_Z_0_R_LIBELLES_MARCHES_RAISONNABLES_3" localSheetId="8">#REF!</definedName>
    <definedName name="P_Z_0_R_LIBELLES_MARCHES_RAISONNABLES_3" localSheetId="10">#REF!</definedName>
    <definedName name="P_Z_0_R_LIBELLES_MARCHES_RAISONNABLES_3" localSheetId="12">#REF!</definedName>
    <definedName name="P_Z_0_R_LIBELLES_MARCHES_RAISONNABLES_3">#REF!</definedName>
    <definedName name="P_Z_0_R_LIBELLES_MARCHES_RAISONNABLES_4" localSheetId="8">#REF!</definedName>
    <definedName name="P_Z_0_R_LIBELLES_MARCHES_RAISONNABLES_4" localSheetId="10">#REF!</definedName>
    <definedName name="P_Z_0_R_LIBELLES_MARCHES_RAISONNABLES_4" localSheetId="12">#REF!</definedName>
    <definedName name="P_Z_0_R_LIBELLES_MARCHES_RAISONNABLES_4">#REF!</definedName>
    <definedName name="P_Z_0_R_LIBELLES_MARCHES_RAISONNABLES_5" localSheetId="8">#REF!</definedName>
    <definedName name="P_Z_0_R_LIBELLES_MARCHES_RAISONNABLES_5" localSheetId="10">#REF!</definedName>
    <definedName name="P_Z_0_R_LIBELLES_MARCHES_RAISONNABLES_5" localSheetId="12">#REF!</definedName>
    <definedName name="P_Z_0_R_LIBELLES_MARCHES_RAISONNABLES_5">#REF!</definedName>
    <definedName name="P_Z_0_R_LIBELLES_MARCHES_RAISONNABLES_OK" localSheetId="8">#REF!</definedName>
    <definedName name="P_Z_0_R_LIBELLES_MARCHES_RAISONNABLES_OK" localSheetId="10">#REF!</definedName>
    <definedName name="P_Z_0_R_LIBELLES_MARCHES_RAISONNABLES_OK" localSheetId="12">#REF!</definedName>
    <definedName name="P_Z_0_R_LIBELLES_MARCHES_RAISONNABLES_OK">#REF!</definedName>
    <definedName name="P_Z_0_R_LIBELLES_MOTIFS_INELIGIBILITE" localSheetId="8">#REF!</definedName>
    <definedName name="P_Z_0_R_LIBELLES_MOTIFS_INELIGIBILITE" localSheetId="10">#REF!</definedName>
    <definedName name="P_Z_0_R_LIBELLES_MOTIFS_INELIGIBILITE" localSheetId="12">#REF!</definedName>
    <definedName name="P_Z_0_R_LIBELLES_MOTIFS_INELIGIBILITE">#REF!</definedName>
    <definedName name="P_Z_0_R_LIBELLES_POSTES" localSheetId="8">#REF!</definedName>
    <definedName name="P_Z_0_R_LIBELLES_POSTES" localSheetId="10">#REF!</definedName>
    <definedName name="P_Z_0_R_LIBELLES_POSTES" localSheetId="12">#REF!</definedName>
    <definedName name="P_Z_0_R_LIBELLES_POSTES">#REF!</definedName>
    <definedName name="P_Z_0_R_LIBELLES_POSTES_1" localSheetId="8">#REF!</definedName>
    <definedName name="P_Z_0_R_LIBELLES_POSTES_1" localSheetId="10">#REF!</definedName>
    <definedName name="P_Z_0_R_LIBELLES_POSTES_1" localSheetId="12">#REF!</definedName>
    <definedName name="P_Z_0_R_LIBELLES_POSTES_1">#REF!</definedName>
    <definedName name="P_Z_0_R_LIBELLES_POSTES_10" localSheetId="8">#REF!</definedName>
    <definedName name="P_Z_0_R_LIBELLES_POSTES_10" localSheetId="10">#REF!</definedName>
    <definedName name="P_Z_0_R_LIBELLES_POSTES_10" localSheetId="12">#REF!</definedName>
    <definedName name="P_Z_0_R_LIBELLES_POSTES_10">#REF!</definedName>
    <definedName name="P_Z_0_R_LIBELLES_POSTES_11" localSheetId="8">#REF!</definedName>
    <definedName name="P_Z_0_R_LIBELLES_POSTES_11" localSheetId="10">#REF!</definedName>
    <definedName name="P_Z_0_R_LIBELLES_POSTES_11" localSheetId="12">#REF!</definedName>
    <definedName name="P_Z_0_R_LIBELLES_POSTES_11">#REF!</definedName>
    <definedName name="P_Z_0_R_LIBELLES_POSTES_12" localSheetId="8">#REF!</definedName>
    <definedName name="P_Z_0_R_LIBELLES_POSTES_12" localSheetId="10">#REF!</definedName>
    <definedName name="P_Z_0_R_LIBELLES_POSTES_12" localSheetId="12">#REF!</definedName>
    <definedName name="P_Z_0_R_LIBELLES_POSTES_12">#REF!</definedName>
    <definedName name="P_Z_0_R_LIBELLES_POSTES_13" localSheetId="8">#REF!</definedName>
    <definedName name="P_Z_0_R_LIBELLES_POSTES_13" localSheetId="10">#REF!</definedName>
    <definedName name="P_Z_0_R_LIBELLES_POSTES_13" localSheetId="12">#REF!</definedName>
    <definedName name="P_Z_0_R_LIBELLES_POSTES_13">#REF!</definedName>
    <definedName name="P_Z_0_R_LIBELLES_POSTES_14" localSheetId="8">#REF!</definedName>
    <definedName name="P_Z_0_R_LIBELLES_POSTES_14" localSheetId="10">#REF!</definedName>
    <definedName name="P_Z_0_R_LIBELLES_POSTES_14" localSheetId="12">#REF!</definedName>
    <definedName name="P_Z_0_R_LIBELLES_POSTES_14">#REF!</definedName>
    <definedName name="P_Z_0_R_LIBELLES_POSTES_15" localSheetId="8">#REF!</definedName>
    <definedName name="P_Z_0_R_LIBELLES_POSTES_15" localSheetId="10">#REF!</definedName>
    <definedName name="P_Z_0_R_LIBELLES_POSTES_15" localSheetId="12">#REF!</definedName>
    <definedName name="P_Z_0_R_LIBELLES_POSTES_15">#REF!</definedName>
    <definedName name="P_Z_0_R_LIBELLES_POSTES_16" localSheetId="8">#REF!</definedName>
    <definedName name="P_Z_0_R_LIBELLES_POSTES_16" localSheetId="10">#REF!</definedName>
    <definedName name="P_Z_0_R_LIBELLES_POSTES_16" localSheetId="12">#REF!</definedName>
    <definedName name="P_Z_0_R_LIBELLES_POSTES_16">#REF!</definedName>
    <definedName name="P_Z_0_R_LIBELLES_POSTES_17" localSheetId="8">#REF!</definedName>
    <definedName name="P_Z_0_R_LIBELLES_POSTES_17" localSheetId="10">#REF!</definedName>
    <definedName name="P_Z_0_R_LIBELLES_POSTES_17" localSheetId="12">#REF!</definedName>
    <definedName name="P_Z_0_R_LIBELLES_POSTES_17">#REF!</definedName>
    <definedName name="P_Z_0_R_LIBELLES_POSTES_18" localSheetId="8">#REF!</definedName>
    <definedName name="P_Z_0_R_LIBELLES_POSTES_18" localSheetId="10">#REF!</definedName>
    <definedName name="P_Z_0_R_LIBELLES_POSTES_18" localSheetId="12">#REF!</definedName>
    <definedName name="P_Z_0_R_LIBELLES_POSTES_18">#REF!</definedName>
    <definedName name="P_Z_0_R_LIBELLES_POSTES_19" localSheetId="8">#REF!</definedName>
    <definedName name="P_Z_0_R_LIBELLES_POSTES_19" localSheetId="10">#REF!</definedName>
    <definedName name="P_Z_0_R_LIBELLES_POSTES_19" localSheetId="12">#REF!</definedName>
    <definedName name="P_Z_0_R_LIBELLES_POSTES_19">#REF!</definedName>
    <definedName name="P_Z_0_R_LIBELLES_POSTES_2" localSheetId="8">#REF!</definedName>
    <definedName name="P_Z_0_R_LIBELLES_POSTES_2" localSheetId="10">#REF!</definedName>
    <definedName name="P_Z_0_R_LIBELLES_POSTES_2" localSheetId="12">#REF!</definedName>
    <definedName name="P_Z_0_R_LIBELLES_POSTES_2">#REF!</definedName>
    <definedName name="P_Z_0_R_LIBELLES_POSTES_20" localSheetId="8">#REF!</definedName>
    <definedName name="P_Z_0_R_LIBELLES_POSTES_20" localSheetId="10">#REF!</definedName>
    <definedName name="P_Z_0_R_LIBELLES_POSTES_20" localSheetId="12">#REF!</definedName>
    <definedName name="P_Z_0_R_LIBELLES_POSTES_20">#REF!</definedName>
    <definedName name="P_Z_0_R_LIBELLES_POSTES_3" localSheetId="8">#REF!</definedName>
    <definedName name="P_Z_0_R_LIBELLES_POSTES_3" localSheetId="10">#REF!</definedName>
    <definedName name="P_Z_0_R_LIBELLES_POSTES_3" localSheetId="12">#REF!</definedName>
    <definedName name="P_Z_0_R_LIBELLES_POSTES_3">#REF!</definedName>
    <definedName name="P_Z_0_R_LIBELLES_POSTES_4" localSheetId="8">#REF!</definedName>
    <definedName name="P_Z_0_R_LIBELLES_POSTES_4" localSheetId="10">#REF!</definedName>
    <definedName name="P_Z_0_R_LIBELLES_POSTES_4" localSheetId="12">#REF!</definedName>
    <definedName name="P_Z_0_R_LIBELLES_POSTES_4">#REF!</definedName>
    <definedName name="P_Z_0_R_LIBELLES_POSTES_5" localSheetId="8">#REF!</definedName>
    <definedName name="P_Z_0_R_LIBELLES_POSTES_5" localSheetId="10">#REF!</definedName>
    <definedName name="P_Z_0_R_LIBELLES_POSTES_5" localSheetId="12">#REF!</definedName>
    <definedName name="P_Z_0_R_LIBELLES_POSTES_5">#REF!</definedName>
    <definedName name="P_Z_0_R_LIBELLES_POSTES_6" localSheetId="8">#REF!</definedName>
    <definedName name="P_Z_0_R_LIBELLES_POSTES_6" localSheetId="10">#REF!</definedName>
    <definedName name="P_Z_0_R_LIBELLES_POSTES_6" localSheetId="12">#REF!</definedName>
    <definedName name="P_Z_0_R_LIBELLES_POSTES_6">#REF!</definedName>
    <definedName name="P_Z_0_R_LIBELLES_POSTES_7" localSheetId="8">#REF!</definedName>
    <definedName name="P_Z_0_R_LIBELLES_POSTES_7" localSheetId="10">#REF!</definedName>
    <definedName name="P_Z_0_R_LIBELLES_POSTES_7" localSheetId="12">#REF!</definedName>
    <definedName name="P_Z_0_R_LIBELLES_POSTES_7">#REF!</definedName>
    <definedName name="P_Z_0_R_LIBELLES_POSTES_8" localSheetId="8">#REF!</definedName>
    <definedName name="P_Z_0_R_LIBELLES_POSTES_8" localSheetId="10">#REF!</definedName>
    <definedName name="P_Z_0_R_LIBELLES_POSTES_8" localSheetId="12">#REF!</definedName>
    <definedName name="P_Z_0_R_LIBELLES_POSTES_8">#REF!</definedName>
    <definedName name="P_Z_0_R_LIBELLES_POSTES_9" localSheetId="8">#REF!</definedName>
    <definedName name="P_Z_0_R_LIBELLES_POSTES_9" localSheetId="10">#REF!</definedName>
    <definedName name="P_Z_0_R_LIBELLES_POSTES_9" localSheetId="12">#REF!</definedName>
    <definedName name="P_Z_0_R_LIBELLES_POSTES_9">#REF!</definedName>
    <definedName name="P_Z_0_R_LIBELLES_SOUS_OPERATIONS" localSheetId="8">#REF!</definedName>
    <definedName name="P_Z_0_R_LIBELLES_SOUS_OPERATIONS" localSheetId="10">#REF!</definedName>
    <definedName name="P_Z_0_R_LIBELLES_SOUS_OPERATIONS" localSheetId="12">#REF!</definedName>
    <definedName name="P_Z_0_R_LIBELLES_SOUS_OPERATIONS">#REF!</definedName>
    <definedName name="P_Z_0_R_LIBELLES_SOUS_OPERATIONS_" localSheetId="8">#REF!</definedName>
    <definedName name="P_Z_0_R_LIBELLES_SOUS_OPERATIONS_" localSheetId="10">#REF!</definedName>
    <definedName name="P_Z_0_R_LIBELLES_SOUS_OPERATIONS_" localSheetId="12">#REF!</definedName>
    <definedName name="P_Z_0_R_LIBELLES_SOUS_OPERATIONS_">#REF!</definedName>
    <definedName name="P_Z_0_R_LIBELLES_SOUS_OPERATIONS_1" localSheetId="8">#REF!</definedName>
    <definedName name="P_Z_0_R_LIBELLES_SOUS_OPERATIONS_1" localSheetId="10">#REF!</definedName>
    <definedName name="P_Z_0_R_LIBELLES_SOUS_OPERATIONS_1" localSheetId="12">#REF!</definedName>
    <definedName name="P_Z_0_R_LIBELLES_SOUS_OPERATIONS_1">#REF!</definedName>
    <definedName name="P_Z_0_R_LIBELLES_SOUS_OPERATIONS_10" localSheetId="8">#REF!</definedName>
    <definedName name="P_Z_0_R_LIBELLES_SOUS_OPERATIONS_10" localSheetId="10">#REF!</definedName>
    <definedName name="P_Z_0_R_LIBELLES_SOUS_OPERATIONS_10" localSheetId="12">#REF!</definedName>
    <definedName name="P_Z_0_R_LIBELLES_SOUS_OPERATIONS_10">#REF!</definedName>
    <definedName name="P_Z_0_R_LIBELLES_SOUS_OPERATIONS_11" localSheetId="8">#REF!</definedName>
    <definedName name="P_Z_0_R_LIBELLES_SOUS_OPERATIONS_11" localSheetId="10">#REF!</definedName>
    <definedName name="P_Z_0_R_LIBELLES_SOUS_OPERATIONS_11" localSheetId="12">#REF!</definedName>
    <definedName name="P_Z_0_R_LIBELLES_SOUS_OPERATIONS_11">#REF!</definedName>
    <definedName name="P_Z_0_R_LIBELLES_SOUS_OPERATIONS_12" localSheetId="8">#REF!</definedName>
    <definedName name="P_Z_0_R_LIBELLES_SOUS_OPERATIONS_12" localSheetId="10">#REF!</definedName>
    <definedName name="P_Z_0_R_LIBELLES_SOUS_OPERATIONS_12" localSheetId="12">#REF!</definedName>
    <definedName name="P_Z_0_R_LIBELLES_SOUS_OPERATIONS_12">#REF!</definedName>
    <definedName name="P_Z_0_R_LIBELLES_SOUS_OPERATIONS_13" localSheetId="8">#REF!</definedName>
    <definedName name="P_Z_0_R_LIBELLES_SOUS_OPERATIONS_13" localSheetId="10">#REF!</definedName>
    <definedName name="P_Z_0_R_LIBELLES_SOUS_OPERATIONS_13" localSheetId="12">#REF!</definedName>
    <definedName name="P_Z_0_R_LIBELLES_SOUS_OPERATIONS_13">#REF!</definedName>
    <definedName name="P_Z_0_R_LIBELLES_SOUS_OPERATIONS_14" localSheetId="8">#REF!</definedName>
    <definedName name="P_Z_0_R_LIBELLES_SOUS_OPERATIONS_14" localSheetId="10">#REF!</definedName>
    <definedName name="P_Z_0_R_LIBELLES_SOUS_OPERATIONS_14" localSheetId="12">#REF!</definedName>
    <definedName name="P_Z_0_R_LIBELLES_SOUS_OPERATIONS_14">#REF!</definedName>
    <definedName name="P_Z_0_R_LIBELLES_SOUS_OPERATIONS_15" localSheetId="8">#REF!</definedName>
    <definedName name="P_Z_0_R_LIBELLES_SOUS_OPERATIONS_15" localSheetId="10">#REF!</definedName>
    <definedName name="P_Z_0_R_LIBELLES_SOUS_OPERATIONS_15" localSheetId="12">#REF!</definedName>
    <definedName name="P_Z_0_R_LIBELLES_SOUS_OPERATIONS_15">#REF!</definedName>
    <definedName name="P_Z_0_R_LIBELLES_SOUS_OPERATIONS_16" localSheetId="8">#REF!</definedName>
    <definedName name="P_Z_0_R_LIBELLES_SOUS_OPERATIONS_16" localSheetId="10">#REF!</definedName>
    <definedName name="P_Z_0_R_LIBELLES_SOUS_OPERATIONS_16" localSheetId="12">#REF!</definedName>
    <definedName name="P_Z_0_R_LIBELLES_SOUS_OPERATIONS_16">#REF!</definedName>
    <definedName name="P_Z_0_R_LIBELLES_SOUS_OPERATIONS_17" localSheetId="8">#REF!</definedName>
    <definedName name="P_Z_0_R_LIBELLES_SOUS_OPERATIONS_17" localSheetId="10">#REF!</definedName>
    <definedName name="P_Z_0_R_LIBELLES_SOUS_OPERATIONS_17" localSheetId="12">#REF!</definedName>
    <definedName name="P_Z_0_R_LIBELLES_SOUS_OPERATIONS_17">#REF!</definedName>
    <definedName name="P_Z_0_R_LIBELLES_SOUS_OPERATIONS_18" localSheetId="8">#REF!</definedName>
    <definedName name="P_Z_0_R_LIBELLES_SOUS_OPERATIONS_18" localSheetId="10">#REF!</definedName>
    <definedName name="P_Z_0_R_LIBELLES_SOUS_OPERATIONS_18" localSheetId="12">#REF!</definedName>
    <definedName name="P_Z_0_R_LIBELLES_SOUS_OPERATIONS_18">#REF!</definedName>
    <definedName name="P_Z_0_R_LIBELLES_SOUS_OPERATIONS_19" localSheetId="8">#REF!</definedName>
    <definedName name="P_Z_0_R_LIBELLES_SOUS_OPERATIONS_19" localSheetId="10">#REF!</definedName>
    <definedName name="P_Z_0_R_LIBELLES_SOUS_OPERATIONS_19" localSheetId="12">#REF!</definedName>
    <definedName name="P_Z_0_R_LIBELLES_SOUS_OPERATIONS_19">#REF!</definedName>
    <definedName name="P_Z_0_R_LIBELLES_SOUS_OPERATIONS_2" localSheetId="8">#REF!</definedName>
    <definedName name="P_Z_0_R_LIBELLES_SOUS_OPERATIONS_2" localSheetId="10">#REF!</definedName>
    <definedName name="P_Z_0_R_LIBELLES_SOUS_OPERATIONS_2" localSheetId="12">#REF!</definedName>
    <definedName name="P_Z_0_R_LIBELLES_SOUS_OPERATIONS_2">#REF!</definedName>
    <definedName name="P_Z_0_R_LIBELLES_SOUS_OPERATIONS_20" localSheetId="8">#REF!</definedName>
    <definedName name="P_Z_0_R_LIBELLES_SOUS_OPERATIONS_20" localSheetId="10">#REF!</definedName>
    <definedName name="P_Z_0_R_LIBELLES_SOUS_OPERATIONS_20" localSheetId="12">#REF!</definedName>
    <definedName name="P_Z_0_R_LIBELLES_SOUS_OPERATIONS_20">#REF!</definedName>
    <definedName name="P_Z_0_R_LIBELLES_SOUS_OPERATIONS_3" localSheetId="8">#REF!</definedName>
    <definedName name="P_Z_0_R_LIBELLES_SOUS_OPERATIONS_3" localSheetId="10">#REF!</definedName>
    <definedName name="P_Z_0_R_LIBELLES_SOUS_OPERATIONS_3" localSheetId="12">#REF!</definedName>
    <definedName name="P_Z_0_R_LIBELLES_SOUS_OPERATIONS_3">#REF!</definedName>
    <definedName name="P_Z_0_R_LIBELLES_SOUS_OPERATIONS_4" localSheetId="8">#REF!</definedName>
    <definedName name="P_Z_0_R_LIBELLES_SOUS_OPERATIONS_4" localSheetId="10">#REF!</definedName>
    <definedName name="P_Z_0_R_LIBELLES_SOUS_OPERATIONS_4" localSheetId="12">#REF!</definedName>
    <definedName name="P_Z_0_R_LIBELLES_SOUS_OPERATIONS_4">#REF!</definedName>
    <definedName name="P_Z_0_R_LIBELLES_SOUS_OPERATIONS_5" localSheetId="8">#REF!</definedName>
    <definedName name="P_Z_0_R_LIBELLES_SOUS_OPERATIONS_5" localSheetId="10">#REF!</definedName>
    <definedName name="P_Z_0_R_LIBELLES_SOUS_OPERATIONS_5" localSheetId="12">#REF!</definedName>
    <definedName name="P_Z_0_R_LIBELLES_SOUS_OPERATIONS_5">#REF!</definedName>
    <definedName name="P_Z_0_R_LIBELLES_SOUS_OPERATIONS_6" localSheetId="8">#REF!</definedName>
    <definedName name="P_Z_0_R_LIBELLES_SOUS_OPERATIONS_6" localSheetId="10">#REF!</definedName>
    <definedName name="P_Z_0_R_LIBELLES_SOUS_OPERATIONS_6" localSheetId="12">#REF!</definedName>
    <definedName name="P_Z_0_R_LIBELLES_SOUS_OPERATIONS_6">#REF!</definedName>
    <definedName name="P_Z_0_R_LIBELLES_SOUS_OPERATIONS_7" localSheetId="8">#REF!</definedName>
    <definedName name="P_Z_0_R_LIBELLES_SOUS_OPERATIONS_7" localSheetId="10">#REF!</definedName>
    <definedName name="P_Z_0_R_LIBELLES_SOUS_OPERATIONS_7" localSheetId="12">#REF!</definedName>
    <definedName name="P_Z_0_R_LIBELLES_SOUS_OPERATIONS_7">#REF!</definedName>
    <definedName name="P_Z_0_R_LIBELLES_SOUS_OPERATIONS_8" localSheetId="8">#REF!</definedName>
    <definedName name="P_Z_0_R_LIBELLES_SOUS_OPERATIONS_8" localSheetId="10">#REF!</definedName>
    <definedName name="P_Z_0_R_LIBELLES_SOUS_OPERATIONS_8" localSheetId="12">#REF!</definedName>
    <definedName name="P_Z_0_R_LIBELLES_SOUS_OPERATIONS_8">#REF!</definedName>
    <definedName name="P_Z_0_R_LIBELLES_SOUS_OPERATIONS_9" localSheetId="8">#REF!</definedName>
    <definedName name="P_Z_0_R_LIBELLES_SOUS_OPERATIONS_9" localSheetId="10">#REF!</definedName>
    <definedName name="P_Z_0_R_LIBELLES_SOUS_OPERATIONS_9" localSheetId="12">#REF!</definedName>
    <definedName name="P_Z_0_R_LIBELLES_SOUS_OPERATIONS_9">#REF!</definedName>
    <definedName name="P_Z_0_R_LIBELLES_UNITES" localSheetId="8">#REF!</definedName>
    <definedName name="P_Z_0_R_LIBELLES_UNITES" localSheetId="10">#REF!</definedName>
    <definedName name="P_Z_0_R_LIBELLES_UNITES" localSheetId="12">#REF!</definedName>
    <definedName name="P_Z_0_R_LIBELLES_UNITES">#REF!</definedName>
    <definedName name="P_Z_0_R_LIBELLES_UNITES_1" localSheetId="8">#REF!</definedName>
    <definedName name="P_Z_0_R_LIBELLES_UNITES_1" localSheetId="10">#REF!</definedName>
    <definedName name="P_Z_0_R_LIBELLES_UNITES_1" localSheetId="12">#REF!</definedName>
    <definedName name="P_Z_0_R_LIBELLES_UNITES_1">#REF!</definedName>
    <definedName name="P_Z_0_R_LIBELLES_UNITES_10" localSheetId="8">#REF!</definedName>
    <definedName name="P_Z_0_R_LIBELLES_UNITES_10" localSheetId="10">#REF!</definedName>
    <definedName name="P_Z_0_R_LIBELLES_UNITES_10" localSheetId="12">#REF!</definedName>
    <definedName name="P_Z_0_R_LIBELLES_UNITES_10">#REF!</definedName>
    <definedName name="P_Z_0_R_LIBELLES_UNITES_11" localSheetId="8">#REF!</definedName>
    <definedName name="P_Z_0_R_LIBELLES_UNITES_11" localSheetId="10">#REF!</definedName>
    <definedName name="P_Z_0_R_LIBELLES_UNITES_11" localSheetId="12">#REF!</definedName>
    <definedName name="P_Z_0_R_LIBELLES_UNITES_11">#REF!</definedName>
    <definedName name="P_Z_0_R_LIBELLES_UNITES_12" localSheetId="8">#REF!</definedName>
    <definedName name="P_Z_0_R_LIBELLES_UNITES_12" localSheetId="10">#REF!</definedName>
    <definedName name="P_Z_0_R_LIBELLES_UNITES_12" localSheetId="12">#REF!</definedName>
    <definedName name="P_Z_0_R_LIBELLES_UNITES_12">#REF!</definedName>
    <definedName name="P_Z_0_R_LIBELLES_UNITES_13" localSheetId="8">#REF!</definedName>
    <definedName name="P_Z_0_R_LIBELLES_UNITES_13" localSheetId="10">#REF!</definedName>
    <definedName name="P_Z_0_R_LIBELLES_UNITES_13" localSheetId="12">#REF!</definedName>
    <definedName name="P_Z_0_R_LIBELLES_UNITES_13">#REF!</definedName>
    <definedName name="P_Z_0_R_LIBELLES_UNITES_14" localSheetId="8">#REF!</definedName>
    <definedName name="P_Z_0_R_LIBELLES_UNITES_14" localSheetId="10">#REF!</definedName>
    <definedName name="P_Z_0_R_LIBELLES_UNITES_14" localSheetId="12">#REF!</definedName>
    <definedName name="P_Z_0_R_LIBELLES_UNITES_14">#REF!</definedName>
    <definedName name="P_Z_0_R_LIBELLES_UNITES_15" localSheetId="8">#REF!</definedName>
    <definedName name="P_Z_0_R_LIBELLES_UNITES_15" localSheetId="10">#REF!</definedName>
    <definedName name="P_Z_0_R_LIBELLES_UNITES_15" localSheetId="12">#REF!</definedName>
    <definedName name="P_Z_0_R_LIBELLES_UNITES_15">#REF!</definedName>
    <definedName name="P_Z_0_R_LIBELLES_UNITES_16" localSheetId="8">#REF!</definedName>
    <definedName name="P_Z_0_R_LIBELLES_UNITES_16" localSheetId="10">#REF!</definedName>
    <definedName name="P_Z_0_R_LIBELLES_UNITES_16" localSheetId="12">#REF!</definedName>
    <definedName name="P_Z_0_R_LIBELLES_UNITES_16">#REF!</definedName>
    <definedName name="P_Z_0_R_LIBELLES_UNITES_17" localSheetId="8">#REF!</definedName>
    <definedName name="P_Z_0_R_LIBELLES_UNITES_17" localSheetId="10">#REF!</definedName>
    <definedName name="P_Z_0_R_LIBELLES_UNITES_17" localSheetId="12">#REF!</definedName>
    <definedName name="P_Z_0_R_LIBELLES_UNITES_17">#REF!</definedName>
    <definedName name="P_Z_0_R_LIBELLES_UNITES_18" localSheetId="8">#REF!</definedName>
    <definedName name="P_Z_0_R_LIBELLES_UNITES_18" localSheetId="10">#REF!</definedName>
    <definedName name="P_Z_0_R_LIBELLES_UNITES_18" localSheetId="12">#REF!</definedName>
    <definedName name="P_Z_0_R_LIBELLES_UNITES_18">#REF!</definedName>
    <definedName name="P_Z_0_R_LIBELLES_UNITES_19" localSheetId="8">#REF!</definedName>
    <definedName name="P_Z_0_R_LIBELLES_UNITES_19" localSheetId="10">#REF!</definedName>
    <definedName name="P_Z_0_R_LIBELLES_UNITES_19" localSheetId="12">#REF!</definedName>
    <definedName name="P_Z_0_R_LIBELLES_UNITES_19">#REF!</definedName>
    <definedName name="P_Z_0_R_LIBELLES_UNITES_2" localSheetId="8">#REF!</definedName>
    <definedName name="P_Z_0_R_LIBELLES_UNITES_2" localSheetId="10">#REF!</definedName>
    <definedName name="P_Z_0_R_LIBELLES_UNITES_2" localSheetId="12">#REF!</definedName>
    <definedName name="P_Z_0_R_LIBELLES_UNITES_2">#REF!</definedName>
    <definedName name="P_Z_0_R_LIBELLES_UNITES_20" localSheetId="8">#REF!</definedName>
    <definedName name="P_Z_0_R_LIBELLES_UNITES_20" localSheetId="10">#REF!</definedName>
    <definedName name="P_Z_0_R_LIBELLES_UNITES_20" localSheetId="12">#REF!</definedName>
    <definedName name="P_Z_0_R_LIBELLES_UNITES_20">#REF!</definedName>
    <definedName name="P_Z_0_R_LIBELLES_UNITES_3" localSheetId="8">#REF!</definedName>
    <definedName name="P_Z_0_R_LIBELLES_UNITES_3" localSheetId="10">#REF!</definedName>
    <definedName name="P_Z_0_R_LIBELLES_UNITES_3" localSheetId="12">#REF!</definedName>
    <definedName name="P_Z_0_R_LIBELLES_UNITES_3">#REF!</definedName>
    <definedName name="P_Z_0_R_LIBELLES_UNITES_4" localSheetId="8">#REF!</definedName>
    <definedName name="P_Z_0_R_LIBELLES_UNITES_4" localSheetId="10">#REF!</definedName>
    <definedName name="P_Z_0_R_LIBELLES_UNITES_4" localSheetId="12">#REF!</definedName>
    <definedName name="P_Z_0_R_LIBELLES_UNITES_4">#REF!</definedName>
    <definedName name="P_Z_0_R_LIBELLES_UNITES_5" localSheetId="8">#REF!</definedName>
    <definedName name="P_Z_0_R_LIBELLES_UNITES_5" localSheetId="10">#REF!</definedName>
    <definedName name="P_Z_0_R_LIBELLES_UNITES_5" localSheetId="12">#REF!</definedName>
    <definedName name="P_Z_0_R_LIBELLES_UNITES_5">#REF!</definedName>
    <definedName name="P_Z_0_R_LIBELLES_UNITES_6" localSheetId="8">#REF!</definedName>
    <definedName name="P_Z_0_R_LIBELLES_UNITES_6" localSheetId="10">#REF!</definedName>
    <definedName name="P_Z_0_R_LIBELLES_UNITES_6" localSheetId="12">#REF!</definedName>
    <definedName name="P_Z_0_R_LIBELLES_UNITES_6">#REF!</definedName>
    <definedName name="P_Z_0_R_LIBELLES_UNITES_7" localSheetId="8">#REF!</definedName>
    <definedName name="P_Z_0_R_LIBELLES_UNITES_7" localSheetId="10">#REF!</definedName>
    <definedName name="P_Z_0_R_LIBELLES_UNITES_7" localSheetId="12">#REF!</definedName>
    <definedName name="P_Z_0_R_LIBELLES_UNITES_7">#REF!</definedName>
    <definedName name="P_Z_0_R_LIBELLES_UNITES_8" localSheetId="8">#REF!</definedName>
    <definedName name="P_Z_0_R_LIBELLES_UNITES_8" localSheetId="10">#REF!</definedName>
    <definedName name="P_Z_0_R_LIBELLES_UNITES_8" localSheetId="12">#REF!</definedName>
    <definedName name="P_Z_0_R_LIBELLES_UNITES_8">#REF!</definedName>
    <definedName name="P_Z_0_R_LIBELLES_UNITES_9" localSheetId="8">#REF!</definedName>
    <definedName name="P_Z_0_R_LIBELLES_UNITES_9" localSheetId="10">#REF!</definedName>
    <definedName name="P_Z_0_R_LIBELLES_UNITES_9" localSheetId="12">#REF!</definedName>
    <definedName name="P_Z_0_R_LIBELLES_UNITES_9">#REF!</definedName>
    <definedName name="P_Z_1_B_COLONNE_COMMENTAIRE" localSheetId="8">#REF!</definedName>
    <definedName name="P_Z_1_B_COLONNE_COMMENTAIRE" localSheetId="10">#REF!</definedName>
    <definedName name="P_Z_1_B_COLONNE_COMMENTAIRE" localSheetId="12">#REF!</definedName>
    <definedName name="P_Z_1_B_COLONNE_COMMENTAIRE">#REF!</definedName>
    <definedName name="P_Z_1_B_COLONNE_COMMENTAIRE_ACTIVE" localSheetId="8">#REF!</definedName>
    <definedName name="P_Z_1_B_COLONNE_COMMENTAIRE_ACTIVE" localSheetId="10">#REF!</definedName>
    <definedName name="P_Z_1_B_COLONNE_COMMENTAIRE_ACTIVE" localSheetId="12">#REF!</definedName>
    <definedName name="P_Z_1_B_COLONNE_COMMENTAIRE_ACTIVE">#REF!</definedName>
    <definedName name="P_Z_1_B_COLONNE_COMMENTAIRE_INDICATION" localSheetId="8">#REF!</definedName>
    <definedName name="P_Z_1_B_COLONNE_COMMENTAIRE_INDICATION" localSheetId="10">#REF!</definedName>
    <definedName name="P_Z_1_B_COLONNE_COMMENTAIRE_INDICATION" localSheetId="12">#REF!</definedName>
    <definedName name="P_Z_1_B_COLONNE_COMMENTAIRE_INDICATION">#REF!</definedName>
    <definedName name="P_Z_1_B_COLONNE_COMMENTAIRE_OBLIGATOIRE" localSheetId="8">#REF!</definedName>
    <definedName name="P_Z_1_B_COLONNE_COMMENTAIRE_OBLIGATOIRE" localSheetId="10">#REF!</definedName>
    <definedName name="P_Z_1_B_COLONNE_COMMENTAIRE_OBLIGATOIRE" localSheetId="12">#REF!</definedName>
    <definedName name="P_Z_1_B_COLONNE_COMMENTAIRE_OBLIGATOIRE">#REF!</definedName>
    <definedName name="P_Z_1_B_COLONNE_COMMENTAIRE_SI_LIBELLE_STANDARD" localSheetId="8">#REF!</definedName>
    <definedName name="P_Z_1_B_COLONNE_COMMENTAIRE_SI_LIBELLE_STANDARD" localSheetId="10">#REF!</definedName>
    <definedName name="P_Z_1_B_COLONNE_COMMENTAIRE_SI_LIBELLE_STANDARD" localSheetId="12">#REF!</definedName>
    <definedName name="P_Z_1_B_COLONNE_COMMENTAIRE_SI_LIBELLE_STANDARD">#REF!</definedName>
    <definedName name="P_Z_1_B_COLONNE_CT_RAISONNABLE_FOURNISSEUR_2" localSheetId="8">#REF!</definedName>
    <definedName name="P_Z_1_B_COLONNE_CT_RAISONNABLE_FOURNISSEUR_2" localSheetId="10">#REF!</definedName>
    <definedName name="P_Z_1_B_COLONNE_CT_RAISONNABLE_FOURNISSEUR_2" localSheetId="12">#REF!</definedName>
    <definedName name="P_Z_1_B_COLONNE_CT_RAISONNABLE_FOURNISSEUR_2">#REF!</definedName>
    <definedName name="P_Z_1_B_COLONNE_CT_RAISONNABLE_FOURNISSEUR_2_INDICATION" localSheetId="8">#REF!</definedName>
    <definedName name="P_Z_1_B_COLONNE_CT_RAISONNABLE_FOURNISSEUR_2_INDICATION" localSheetId="10">#REF!</definedName>
    <definedName name="P_Z_1_B_COLONNE_CT_RAISONNABLE_FOURNISSEUR_2_INDICATION" localSheetId="12">#REF!</definedName>
    <definedName name="P_Z_1_B_COLONNE_CT_RAISONNABLE_FOURNISSEUR_2_INDICATION">#REF!</definedName>
    <definedName name="P_Z_1_B_COLONNE_CT_RAISONNABLE_FOURNISSEUR_3" localSheetId="8">#REF!</definedName>
    <definedName name="P_Z_1_B_COLONNE_CT_RAISONNABLE_FOURNISSEUR_3" localSheetId="10">#REF!</definedName>
    <definedName name="P_Z_1_B_COLONNE_CT_RAISONNABLE_FOURNISSEUR_3" localSheetId="12">#REF!</definedName>
    <definedName name="P_Z_1_B_COLONNE_CT_RAISONNABLE_FOURNISSEUR_3">#REF!</definedName>
    <definedName name="P_Z_1_B_COLONNE_CT_RAISONNABLE_FOURNISSEUR_3_INDICATION" localSheetId="8">#REF!</definedName>
    <definedName name="P_Z_1_B_COLONNE_CT_RAISONNABLE_FOURNISSEUR_3_INDICATION" localSheetId="10">#REF!</definedName>
    <definedName name="P_Z_1_B_COLONNE_CT_RAISONNABLE_FOURNISSEUR_3_INDICATION" localSheetId="12">#REF!</definedName>
    <definedName name="P_Z_1_B_COLONNE_CT_RAISONNABLE_FOURNISSEUR_3_INDICATION">#REF!</definedName>
    <definedName name="P_Z_1_B_COLONNE_CT_RAISONNABLE_JUSTIFICATIF_2" localSheetId="8">#REF!</definedName>
    <definedName name="P_Z_1_B_COLONNE_CT_RAISONNABLE_JUSTIFICATIF_2" localSheetId="10">#REF!</definedName>
    <definedName name="P_Z_1_B_COLONNE_CT_RAISONNABLE_JUSTIFICATIF_2" localSheetId="12">#REF!</definedName>
    <definedName name="P_Z_1_B_COLONNE_CT_RAISONNABLE_JUSTIFICATIF_2">#REF!</definedName>
    <definedName name="P_Z_1_B_COLONNE_CT_RAISONNABLE_JUSTIFICATIF_2_INDICATION" localSheetId="8">#REF!</definedName>
    <definedName name="P_Z_1_B_COLONNE_CT_RAISONNABLE_JUSTIFICATIF_2_INDICATION" localSheetId="10">#REF!</definedName>
    <definedName name="P_Z_1_B_COLONNE_CT_RAISONNABLE_JUSTIFICATIF_2_INDICATION" localSheetId="12">#REF!</definedName>
    <definedName name="P_Z_1_B_COLONNE_CT_RAISONNABLE_JUSTIFICATIF_2_INDICATION">#REF!</definedName>
    <definedName name="P_Z_1_B_COLONNE_CT_RAISONNABLE_JUSTIFICATIF_3" localSheetId="8">#REF!</definedName>
    <definedName name="P_Z_1_B_COLONNE_CT_RAISONNABLE_JUSTIFICATIF_3" localSheetId="10">#REF!</definedName>
    <definedName name="P_Z_1_B_COLONNE_CT_RAISONNABLE_JUSTIFICATIF_3" localSheetId="12">#REF!</definedName>
    <definedName name="P_Z_1_B_COLONNE_CT_RAISONNABLE_JUSTIFICATIF_3">#REF!</definedName>
    <definedName name="P_Z_1_B_COLONNE_CT_RAISONNABLE_JUSTIFICATIF_3_INDICATION" localSheetId="8">#REF!</definedName>
    <definedName name="P_Z_1_B_COLONNE_CT_RAISONNABLE_JUSTIFICATIF_3_INDICATION" localSheetId="10">#REF!</definedName>
    <definedName name="P_Z_1_B_COLONNE_CT_RAISONNABLE_JUSTIFICATIF_3_INDICATION" localSheetId="12">#REF!</definedName>
    <definedName name="P_Z_1_B_COLONNE_CT_RAISONNABLE_JUSTIFICATIF_3_INDICATION">#REF!</definedName>
    <definedName name="P_Z_1_B_COLONNE_CT_RAISONNABLE_MARCHE" localSheetId="8">#REF!</definedName>
    <definedName name="P_Z_1_B_COLONNE_CT_RAISONNABLE_MARCHE" localSheetId="10">#REF!</definedName>
    <definedName name="P_Z_1_B_COLONNE_CT_RAISONNABLE_MARCHE" localSheetId="12">#REF!</definedName>
    <definedName name="P_Z_1_B_COLONNE_CT_RAISONNABLE_MARCHE">#REF!</definedName>
    <definedName name="P_Z_1_B_COLONNE_CT_RAISONNABLE_MARCHE_INDICATION" localSheetId="8">#REF!</definedName>
    <definedName name="P_Z_1_B_COLONNE_CT_RAISONNABLE_MARCHE_INDICATION" localSheetId="10">#REF!</definedName>
    <definedName name="P_Z_1_B_COLONNE_CT_RAISONNABLE_MARCHE_INDICATION" localSheetId="12">#REF!</definedName>
    <definedName name="P_Z_1_B_COLONNE_CT_RAISONNABLE_MARCHE_INDICATION">#REF!</definedName>
    <definedName name="P_Z_1_B_COLONNE_CT_RAISONNABLE_MT_HT_2" localSheetId="8">#REF!</definedName>
    <definedName name="P_Z_1_B_COLONNE_CT_RAISONNABLE_MT_HT_2" localSheetId="10">#REF!</definedName>
    <definedName name="P_Z_1_B_COLONNE_CT_RAISONNABLE_MT_HT_2" localSheetId="12">#REF!</definedName>
    <definedName name="P_Z_1_B_COLONNE_CT_RAISONNABLE_MT_HT_2">#REF!</definedName>
    <definedName name="P_Z_1_B_COLONNE_CT_RAISONNABLE_MT_HT_2_INDICATION" localSheetId="8">#REF!</definedName>
    <definedName name="P_Z_1_B_COLONNE_CT_RAISONNABLE_MT_HT_2_INDICATION" localSheetId="10">#REF!</definedName>
    <definedName name="P_Z_1_B_COLONNE_CT_RAISONNABLE_MT_HT_2_INDICATION" localSheetId="12">#REF!</definedName>
    <definedName name="P_Z_1_B_COLONNE_CT_RAISONNABLE_MT_HT_2_INDICATION">#REF!</definedName>
    <definedName name="P_Z_1_B_COLONNE_CT_RAISONNABLE_MT_HT_3" localSheetId="8">#REF!</definedName>
    <definedName name="P_Z_1_B_COLONNE_CT_RAISONNABLE_MT_HT_3" localSheetId="10">#REF!</definedName>
    <definedName name="P_Z_1_B_COLONNE_CT_RAISONNABLE_MT_HT_3" localSheetId="12">#REF!</definedName>
    <definedName name="P_Z_1_B_COLONNE_CT_RAISONNABLE_MT_HT_3">#REF!</definedName>
    <definedName name="P_Z_1_B_COLONNE_CT_RAISONNABLE_MT_HT_3_INDICATION" localSheetId="8">#REF!</definedName>
    <definedName name="P_Z_1_B_COLONNE_CT_RAISONNABLE_MT_HT_3_INDICATION" localSheetId="10">#REF!</definedName>
    <definedName name="P_Z_1_B_COLONNE_CT_RAISONNABLE_MT_HT_3_INDICATION" localSheetId="12">#REF!</definedName>
    <definedName name="P_Z_1_B_COLONNE_CT_RAISONNABLE_MT_HT_3_INDICATION">#REF!</definedName>
    <definedName name="P_Z_1_B_COLONNE_CT_RAISONNABLE_MT_TVA_2" localSheetId="8">#REF!</definedName>
    <definedName name="P_Z_1_B_COLONNE_CT_RAISONNABLE_MT_TVA_2" localSheetId="10">#REF!</definedName>
    <definedName name="P_Z_1_B_COLONNE_CT_RAISONNABLE_MT_TVA_2" localSheetId="12">#REF!</definedName>
    <definedName name="P_Z_1_B_COLONNE_CT_RAISONNABLE_MT_TVA_2">#REF!</definedName>
    <definedName name="P_Z_1_B_COLONNE_CT_RAISONNABLE_MT_TVA_2_INDICATION" localSheetId="8">#REF!</definedName>
    <definedName name="P_Z_1_B_COLONNE_CT_RAISONNABLE_MT_TVA_2_INDICATION" localSheetId="10">#REF!</definedName>
    <definedName name="P_Z_1_B_COLONNE_CT_RAISONNABLE_MT_TVA_2_INDICATION" localSheetId="12">#REF!</definedName>
    <definedName name="P_Z_1_B_COLONNE_CT_RAISONNABLE_MT_TVA_2_INDICATION">#REF!</definedName>
    <definedName name="P_Z_1_B_COLONNE_CT_RAISONNABLE_MT_TVA_3" localSheetId="8">#REF!</definedName>
    <definedName name="P_Z_1_B_COLONNE_CT_RAISONNABLE_MT_TVA_3" localSheetId="10">#REF!</definedName>
    <definedName name="P_Z_1_B_COLONNE_CT_RAISONNABLE_MT_TVA_3" localSheetId="12">#REF!</definedName>
    <definedName name="P_Z_1_B_COLONNE_CT_RAISONNABLE_MT_TVA_3">#REF!</definedName>
    <definedName name="P_Z_1_B_COLONNE_CT_RAISONNABLE_MT_TVA_3_INDICATION" localSheetId="8">#REF!</definedName>
    <definedName name="P_Z_1_B_COLONNE_CT_RAISONNABLE_MT_TVA_3_INDICATION" localSheetId="10">#REF!</definedName>
    <definedName name="P_Z_1_B_COLONNE_CT_RAISONNABLE_MT_TVA_3_INDICATION" localSheetId="12">#REF!</definedName>
    <definedName name="P_Z_1_B_COLONNE_CT_RAISONNABLE_MT_TVA_3_INDICATION">#REF!</definedName>
    <definedName name="P_Z_1_B_COLONNE_DESCRIPTION" localSheetId="8">#REF!</definedName>
    <definedName name="P_Z_1_B_COLONNE_DESCRIPTION" localSheetId="10">#REF!</definedName>
    <definedName name="P_Z_1_B_COLONNE_DESCRIPTION" localSheetId="12">#REF!</definedName>
    <definedName name="P_Z_1_B_COLONNE_DESCRIPTION">#REF!</definedName>
    <definedName name="P_Z_1_B_COLONNE_DESCRIPTION_INDICATION" localSheetId="8">#REF!</definedName>
    <definedName name="P_Z_1_B_COLONNE_DESCRIPTION_INDICATION" localSheetId="10">#REF!</definedName>
    <definedName name="P_Z_1_B_COLONNE_DESCRIPTION_INDICATION" localSheetId="12">#REF!</definedName>
    <definedName name="P_Z_1_B_COLONNE_DESCRIPTION_INDICATION">#REF!</definedName>
    <definedName name="P_Z_1_B_COLONNE_FOURNISSEUR" localSheetId="8">#REF!</definedName>
    <definedName name="P_Z_1_B_COLONNE_FOURNISSEUR" localSheetId="10">#REF!</definedName>
    <definedName name="P_Z_1_B_COLONNE_FOURNISSEUR" localSheetId="12">#REF!</definedName>
    <definedName name="P_Z_1_B_COLONNE_FOURNISSEUR">#REF!</definedName>
    <definedName name="P_Z_1_B_COLONNE_FOURNISSEUR_INDICATION" localSheetId="8">#REF!</definedName>
    <definedName name="P_Z_1_B_COLONNE_FOURNISSEUR_INDICATION" localSheetId="10">#REF!</definedName>
    <definedName name="P_Z_1_B_COLONNE_FOURNISSEUR_INDICATION" localSheetId="12">#REF!</definedName>
    <definedName name="P_Z_1_B_COLONNE_FOURNISSEUR_INDICATION">#REF!</definedName>
    <definedName name="P_Z_1_B_COLONNE_JUSTIFICATIF" localSheetId="8">#REF!</definedName>
    <definedName name="P_Z_1_B_COLONNE_JUSTIFICATIF" localSheetId="10">#REF!</definedName>
    <definedName name="P_Z_1_B_COLONNE_JUSTIFICATIF" localSheetId="12">#REF!</definedName>
    <definedName name="P_Z_1_B_COLONNE_JUSTIFICATIF">#REF!</definedName>
    <definedName name="P_Z_1_B_COLONNE_JUSTIFICATIF_INDICATION" localSheetId="8">#REF!</definedName>
    <definedName name="P_Z_1_B_COLONNE_JUSTIFICATIF_INDICATION" localSheetId="10">#REF!</definedName>
    <definedName name="P_Z_1_B_COLONNE_JUSTIFICATIF_INDICATION" localSheetId="12">#REF!</definedName>
    <definedName name="P_Z_1_B_COLONNE_JUSTIFICATIF_INDICATION">#REF!</definedName>
    <definedName name="P_Z_1_B_COLONNE_MOTIFS_INELIGIBILITE_LIBELLE_STANDARD" localSheetId="8">#REF!</definedName>
    <definedName name="P_Z_1_B_COLONNE_MOTIFS_INELIGIBILITE_LIBELLE_STANDARD" localSheetId="10">#REF!</definedName>
    <definedName name="P_Z_1_B_COLONNE_MOTIFS_INELIGIBILITE_LIBELLE_STANDARD" localSheetId="12">#REF!</definedName>
    <definedName name="P_Z_1_B_COLONNE_MOTIFS_INELIGIBILITE_LIBELLE_STANDARD">#REF!</definedName>
    <definedName name="P_Z_1_B_COLONNE_MT_ELIGIBLE_LIBELLE_STANDARD" localSheetId="8">#REF!</definedName>
    <definedName name="P_Z_1_B_COLONNE_MT_ELIGIBLE_LIBELLE_STANDARD" localSheetId="10">#REF!</definedName>
    <definedName name="P_Z_1_B_COLONNE_MT_ELIGIBLE_LIBELLE_STANDARD" localSheetId="12">#REF!</definedName>
    <definedName name="P_Z_1_B_COLONNE_MT_ELIGIBLE_LIBELLE_STANDARD">#REF!</definedName>
    <definedName name="P_Z_1_B_COLONNE_MT_INELIGIBLE_LIBELLE_STANDARD" localSheetId="8">#REF!</definedName>
    <definedName name="P_Z_1_B_COLONNE_MT_INELIGIBLE_LIBELLE_STANDARD" localSheetId="10">#REF!</definedName>
    <definedName name="P_Z_1_B_COLONNE_MT_INELIGIBLE_LIBELLE_STANDARD" localSheetId="12">#REF!</definedName>
    <definedName name="P_Z_1_B_COLONNE_MT_INELIGIBLE_LIBELLE_STANDARD">#REF!</definedName>
    <definedName name="P_Z_1_B_COLONNE_MT_MAX_ACTIVE" localSheetId="8">#REF!</definedName>
    <definedName name="P_Z_1_B_COLONNE_MT_MAX_ACTIVE" localSheetId="10">#REF!</definedName>
    <definedName name="P_Z_1_B_COLONNE_MT_MAX_ACTIVE" localSheetId="12">#REF!</definedName>
    <definedName name="P_Z_1_B_COLONNE_MT_MAX_ACTIVE">#REF!</definedName>
    <definedName name="P_Z_1_B_COLONNE_MT_MAX_LIBELLE_STANDARD" localSheetId="8">#REF!</definedName>
    <definedName name="P_Z_1_B_COLONNE_MT_MAX_LIBELLE_STANDARD" localSheetId="10">#REF!</definedName>
    <definedName name="P_Z_1_B_COLONNE_MT_MAX_LIBELLE_STANDARD" localSheetId="12">#REF!</definedName>
    <definedName name="P_Z_1_B_COLONNE_MT_MAX_LIBELLE_STANDARD">#REF!</definedName>
    <definedName name="P_Z_1_B_COLONNE_MT_PRESENTE_HT" localSheetId="8">#REF!</definedName>
    <definedName name="P_Z_1_B_COLONNE_MT_PRESENTE_HT" localSheetId="10">#REF!</definedName>
    <definedName name="P_Z_1_B_COLONNE_MT_PRESENTE_HT" localSheetId="12">#REF!</definedName>
    <definedName name="P_Z_1_B_COLONNE_MT_PRESENTE_HT">#REF!</definedName>
    <definedName name="P_Z_1_B_COLONNE_MT_PRESENTE_HT_INDICATION" localSheetId="8">#REF!</definedName>
    <definedName name="P_Z_1_B_COLONNE_MT_PRESENTE_HT_INDICATION" localSheetId="10">#REF!</definedName>
    <definedName name="P_Z_1_B_COLONNE_MT_PRESENTE_HT_INDICATION" localSheetId="12">#REF!</definedName>
    <definedName name="P_Z_1_B_COLONNE_MT_PRESENTE_HT_INDICATION">#REF!</definedName>
    <definedName name="P_Z_1_B_COLONNE_MT_PRESENTE_TVA" localSheetId="8">#REF!</definedName>
    <definedName name="P_Z_1_B_COLONNE_MT_PRESENTE_TVA" localSheetId="10">#REF!</definedName>
    <definedName name="P_Z_1_B_COLONNE_MT_PRESENTE_TVA" localSheetId="12">#REF!</definedName>
    <definedName name="P_Z_1_B_COLONNE_MT_PRESENTE_TVA">#REF!</definedName>
    <definedName name="P_Z_1_B_COLONNE_MT_PRESENTE_TVA_INDICATION" localSheetId="8">#REF!</definedName>
    <definedName name="P_Z_1_B_COLONNE_MT_PRESENTE_TVA_INDICATION" localSheetId="10">#REF!</definedName>
    <definedName name="P_Z_1_B_COLONNE_MT_PRESENTE_TVA_INDICATION" localSheetId="12">#REF!</definedName>
    <definedName name="P_Z_1_B_COLONNE_MT_PRESENTE_TVA_INDICATION">#REF!</definedName>
    <definedName name="P_Z_1_B_COLONNE_MT_RAISONNABLE_LIBELLE_STANDARD" localSheetId="8">#REF!</definedName>
    <definedName name="P_Z_1_B_COLONNE_MT_RAISONNABLE_LIBELLE_STANDARD" localSheetId="10">#REF!</definedName>
    <definedName name="P_Z_1_B_COLONNE_MT_RAISONNABLE_LIBELLE_STANDARD" localSheetId="12">#REF!</definedName>
    <definedName name="P_Z_1_B_COLONNE_MT_RAISONNABLE_LIBELLE_STANDARD">#REF!</definedName>
    <definedName name="P_Z_1_B_COLONNE_POSTE" localSheetId="8">#REF!</definedName>
    <definedName name="P_Z_1_B_COLONNE_POSTE" localSheetId="10">#REF!</definedName>
    <definedName name="P_Z_1_B_COLONNE_POSTE" localSheetId="12">#REF!</definedName>
    <definedName name="P_Z_1_B_COLONNE_POSTE">#REF!</definedName>
    <definedName name="P_Z_1_B_COLONNE_POSTE_INDICATION" localSheetId="8">#REF!</definedName>
    <definedName name="P_Z_1_B_COLONNE_POSTE_INDICATION" localSheetId="10">#REF!</definedName>
    <definedName name="P_Z_1_B_COLONNE_POSTE_INDICATION" localSheetId="12">#REF!</definedName>
    <definedName name="P_Z_1_B_COLONNE_POSTE_INDICATION">#REF!</definedName>
    <definedName name="P_Z_1_B_COLONNE_QUANTITE" localSheetId="8">#REF!</definedName>
    <definedName name="P_Z_1_B_COLONNE_QUANTITE" localSheetId="10">#REF!</definedName>
    <definedName name="P_Z_1_B_COLONNE_QUANTITE" localSheetId="12">#REF!</definedName>
    <definedName name="P_Z_1_B_COLONNE_QUANTITE">#REF!</definedName>
    <definedName name="P_Z_1_B_COLONNE_QUANTITE_ACTIVE" localSheetId="8">#REF!</definedName>
    <definedName name="P_Z_1_B_COLONNE_QUANTITE_ACTIVE" localSheetId="10">#REF!</definedName>
    <definedName name="P_Z_1_B_COLONNE_QUANTITE_ACTIVE" localSheetId="12">#REF!</definedName>
    <definedName name="P_Z_1_B_COLONNE_QUANTITE_ACTIVE">#REF!</definedName>
    <definedName name="P_Z_1_B_COLONNE_QUANTITE_INDICATION" localSheetId="8">#REF!</definedName>
    <definedName name="P_Z_1_B_COLONNE_QUANTITE_INDICATION" localSheetId="10">#REF!</definedName>
    <definedName name="P_Z_1_B_COLONNE_QUANTITE_INDICATION" localSheetId="12">#REF!</definedName>
    <definedName name="P_Z_1_B_COLONNE_QUANTITE_INDICATION">#REF!</definedName>
    <definedName name="P_Z_1_B_COLONNE_QUANTITE_OBLIGATOIRE" localSheetId="8">#REF!</definedName>
    <definedName name="P_Z_1_B_COLONNE_QUANTITE_OBLIGATOIRE" localSheetId="10">#REF!</definedName>
    <definedName name="P_Z_1_B_COLONNE_QUANTITE_OBLIGATOIRE" localSheetId="12">#REF!</definedName>
    <definedName name="P_Z_1_B_COLONNE_QUANTITE_OBLIGATOIRE">#REF!</definedName>
    <definedName name="P_Z_1_B_COLONNE_SOUS_OPERATION" localSheetId="8">#REF!</definedName>
    <definedName name="P_Z_1_B_COLONNE_SOUS_OPERATION" localSheetId="10">#REF!</definedName>
    <definedName name="P_Z_1_B_COLONNE_SOUS_OPERATION" localSheetId="12">#REF!</definedName>
    <definedName name="P_Z_1_B_COLONNE_SOUS_OPERATION">#REF!</definedName>
    <definedName name="P_Z_1_B_COLONNE_SOUS_OPERATION_INDICATION" localSheetId="8">#REF!</definedName>
    <definedName name="P_Z_1_B_COLONNE_SOUS_OPERATION_INDICATION" localSheetId="10">#REF!</definedName>
    <definedName name="P_Z_1_B_COLONNE_SOUS_OPERATION_INDICATION" localSheetId="12">#REF!</definedName>
    <definedName name="P_Z_1_B_COLONNE_SOUS_OPERATION_INDICATION">#REF!</definedName>
    <definedName name="P_Z_1_B_COLONNE_UNITE" localSheetId="8">#REF!</definedName>
    <definedName name="P_Z_1_B_COLONNE_UNITE" localSheetId="10">#REF!</definedName>
    <definedName name="P_Z_1_B_COLONNE_UNITE" localSheetId="12">#REF!</definedName>
    <definedName name="P_Z_1_B_COLONNE_UNITE">#REF!</definedName>
    <definedName name="P_Z_1_B_COLONNE_UNITE_ACTIVE" localSheetId="8">#REF!</definedName>
    <definedName name="P_Z_1_B_COLONNE_UNITE_ACTIVE" localSheetId="10">#REF!</definedName>
    <definedName name="P_Z_1_B_COLONNE_UNITE_ACTIVE" localSheetId="12">#REF!</definedName>
    <definedName name="P_Z_1_B_COLONNE_UNITE_ACTIVE">#REF!</definedName>
    <definedName name="P_Z_1_B_COLONNE_UNITE_INDICATION" localSheetId="8">#REF!</definedName>
    <definedName name="P_Z_1_B_COLONNE_UNITE_INDICATION" localSheetId="10">#REF!</definedName>
    <definedName name="P_Z_1_B_COLONNE_UNITE_INDICATION" localSheetId="12">#REF!</definedName>
    <definedName name="P_Z_1_B_COLONNE_UNITE_INDICATION">#REF!</definedName>
    <definedName name="P_Z_1_B_COLONNE_UNITE_OBLIGATOIRE" localSheetId="8">#REF!</definedName>
    <definedName name="P_Z_1_B_COLONNE_UNITE_OBLIGATOIRE" localSheetId="10">#REF!</definedName>
    <definedName name="P_Z_1_B_COLONNE_UNITE_OBLIGATOIRE" localSheetId="12">#REF!</definedName>
    <definedName name="P_Z_1_B_COLONNE_UNITE_OBLIGATOIRE">#REF!</definedName>
    <definedName name="P_Z_1_B_EXEMPLE_UTILISATION" localSheetId="8">#REF!</definedName>
    <definedName name="P_Z_1_B_EXEMPLE_UTILISATION" localSheetId="10">#REF!</definedName>
    <definedName name="P_Z_1_B_EXEMPLE_UTILISATION" localSheetId="12">#REF!</definedName>
    <definedName name="P_Z_1_B_EXEMPLE_UTILISATION">#REF!</definedName>
    <definedName name="P_Z_1_B_INTITULE_DEPENSES_DEVIS_STANDARD" localSheetId="8">#REF!</definedName>
    <definedName name="P_Z_1_B_INTITULE_DEPENSES_DEVIS_STANDARD" localSheetId="10">#REF!</definedName>
    <definedName name="P_Z_1_B_INTITULE_DEPENSES_DEVIS_STANDARD" localSheetId="12">#REF!</definedName>
    <definedName name="P_Z_1_B_INTITULE_DEPENSES_DEVIS_STANDARD">#REF!</definedName>
    <definedName name="P_Z_1_B_UFD" localSheetId="8">#REF!</definedName>
    <definedName name="P_Z_1_B_UFD" localSheetId="10">#REF!</definedName>
    <definedName name="P_Z_1_B_UFD" localSheetId="12">#REF!</definedName>
    <definedName name="P_Z_1_B_UFD">#REF!</definedName>
    <definedName name="P_Z_1_B_ULD" localSheetId="8">#REF!</definedName>
    <definedName name="P_Z_1_B_ULD" localSheetId="10">#REF!</definedName>
    <definedName name="P_Z_1_B_ULD" localSheetId="12">#REF!</definedName>
    <definedName name="P_Z_1_B_ULD">#REF!</definedName>
    <definedName name="P_Z_1_B_UTILISATION_FILTRE_DESCRIPTIONS" localSheetId="8">#REF!</definedName>
    <definedName name="P_Z_1_B_UTILISATION_FILTRE_DESCRIPTIONS" localSheetId="10">#REF!</definedName>
    <definedName name="P_Z_1_B_UTILISATION_FILTRE_DESCRIPTIONS" localSheetId="12">#REF!</definedName>
    <definedName name="P_Z_1_B_UTILISATION_FILTRE_DESCRIPTIONS">#REF!</definedName>
    <definedName name="P_Z_1_B_UTILISATION_FILTRE_POSTES" localSheetId="8">#REF!</definedName>
    <definedName name="P_Z_1_B_UTILISATION_FILTRE_POSTES" localSheetId="10">#REF!</definedName>
    <definedName name="P_Z_1_B_UTILISATION_FILTRE_POSTES" localSheetId="12">#REF!</definedName>
    <definedName name="P_Z_1_B_UTILISATION_FILTRE_POSTES">#REF!</definedName>
    <definedName name="P_Z_1_B_UTILISATION_FILTRE_SOUS_OPERATIONS" localSheetId="8">#REF!</definedName>
    <definedName name="P_Z_1_B_UTILISATION_FILTRE_SOUS_OPERATIONS" localSheetId="10">#REF!</definedName>
    <definedName name="P_Z_1_B_UTILISATION_FILTRE_SOUS_OPERATIONS" localSheetId="12">#REF!</definedName>
    <definedName name="P_Z_1_B_UTILISATION_FILTRE_SOUS_OPERATIONS">#REF!</definedName>
    <definedName name="P_Z_1_B_UTILISATION_FILTRE_UNITES" localSheetId="8">#REF!</definedName>
    <definedName name="P_Z_1_B_UTILISATION_FILTRE_UNITES" localSheetId="10">#REF!</definedName>
    <definedName name="P_Z_1_B_UTILISATION_FILTRE_UNITES" localSheetId="12">#REF!</definedName>
    <definedName name="P_Z_1_B_UTILISATION_FILTRE_UNITES">#REF!</definedName>
    <definedName name="P_Z_1_B_UTILISATION_LIBELLES_DESCRIPTIONS" localSheetId="8">#REF!</definedName>
    <definedName name="P_Z_1_B_UTILISATION_LIBELLES_DESCRIPTIONS" localSheetId="10">#REF!</definedName>
    <definedName name="P_Z_1_B_UTILISATION_LIBELLES_DESCRIPTIONS" localSheetId="12">#REF!</definedName>
    <definedName name="P_Z_1_B_UTILISATION_LIBELLES_DESCRIPTIONS">#REF!</definedName>
    <definedName name="P_Z_1_N_COLONNE_COMMENTAIRE_INDICATION" localSheetId="8">#REF!</definedName>
    <definedName name="P_Z_1_N_COLONNE_COMMENTAIRE_INDICATION" localSheetId="10">#REF!</definedName>
    <definedName name="P_Z_1_N_COLONNE_COMMENTAIRE_INDICATION" localSheetId="12">#REF!</definedName>
    <definedName name="P_Z_1_N_COLONNE_COMMENTAIRE_INDICATION">#REF!</definedName>
    <definedName name="P_Z_1_N_COLONNE_COMMENTAIRE_INDICATION_STANDARD" localSheetId="8">#REF!</definedName>
    <definedName name="P_Z_1_N_COLONNE_COMMENTAIRE_INDICATION_STANDARD" localSheetId="10">#REF!</definedName>
    <definedName name="P_Z_1_N_COLONNE_COMMENTAIRE_INDICATION_STANDARD" localSheetId="12">#REF!</definedName>
    <definedName name="P_Z_1_N_COLONNE_COMMENTAIRE_INDICATION_STANDARD">#REF!</definedName>
    <definedName name="P_Z_1_N_COLONNE_COMMENTAIRE_SI_LIBELLE_DEFAUT" localSheetId="8">#REF!</definedName>
    <definedName name="P_Z_1_N_COLONNE_COMMENTAIRE_SI_LIBELLE_DEFAUT" localSheetId="10">#REF!</definedName>
    <definedName name="P_Z_1_N_COLONNE_COMMENTAIRE_SI_LIBELLE_DEFAUT" localSheetId="12">#REF!</definedName>
    <definedName name="P_Z_1_N_COLONNE_COMMENTAIRE_SI_LIBELLE_DEFAUT">#REF!</definedName>
    <definedName name="P_Z_1_N_COLONNE_COMMENTAIRE_SI_LIBELLE_STANDARD" localSheetId="8">#REF!</definedName>
    <definedName name="P_Z_1_N_COLONNE_COMMENTAIRE_SI_LIBELLE_STANDARD" localSheetId="10">#REF!</definedName>
    <definedName name="P_Z_1_N_COLONNE_COMMENTAIRE_SI_LIBELLE_STANDARD" localSheetId="12">#REF!</definedName>
    <definedName name="P_Z_1_N_COLONNE_COMMENTAIRE_SI_LIBELLE_STANDARD">#REF!</definedName>
    <definedName name="P_Z_1_N_COLONNE_COMMENTAIRE_SPECIFIQUE" localSheetId="8">#REF!</definedName>
    <definedName name="P_Z_1_N_COLONNE_COMMENTAIRE_SPECIFIQUE" localSheetId="10">#REF!</definedName>
    <definedName name="P_Z_1_N_COLONNE_COMMENTAIRE_SPECIFIQUE" localSheetId="12">#REF!</definedName>
    <definedName name="P_Z_1_N_COLONNE_COMMENTAIRE_SPECIFIQUE">#REF!</definedName>
    <definedName name="P_Z_1_N_COLONNE_COMMENTAIRE_STANDARD" localSheetId="8">#REF!</definedName>
    <definedName name="P_Z_1_N_COLONNE_COMMENTAIRE_STANDARD" localSheetId="10">#REF!</definedName>
    <definedName name="P_Z_1_N_COLONNE_COMMENTAIRE_STANDARD" localSheetId="12">#REF!</definedName>
    <definedName name="P_Z_1_N_COLONNE_COMMENTAIRE_STANDARD">#REF!</definedName>
    <definedName name="P_Z_1_N_COLONNE_CT_RAISONNABLE_FOURNISSEUR_2_INDICATION" localSheetId="8">#REF!</definedName>
    <definedName name="P_Z_1_N_COLONNE_CT_RAISONNABLE_FOURNISSEUR_2_INDICATION" localSheetId="10">#REF!</definedName>
    <definedName name="P_Z_1_N_COLONNE_CT_RAISONNABLE_FOURNISSEUR_2_INDICATION" localSheetId="12">#REF!</definedName>
    <definedName name="P_Z_1_N_COLONNE_CT_RAISONNABLE_FOURNISSEUR_2_INDICATION">#REF!</definedName>
    <definedName name="P_Z_1_N_COLONNE_CT_RAISONNABLE_FOURNISSEUR_2_INDICATION_STANDARD" localSheetId="8">#REF!</definedName>
    <definedName name="P_Z_1_N_COLONNE_CT_RAISONNABLE_FOURNISSEUR_2_INDICATION_STANDARD" localSheetId="10">#REF!</definedName>
    <definedName name="P_Z_1_N_COLONNE_CT_RAISONNABLE_FOURNISSEUR_2_INDICATION_STANDARD" localSheetId="12">#REF!</definedName>
    <definedName name="P_Z_1_N_COLONNE_CT_RAISONNABLE_FOURNISSEUR_2_INDICATION_STANDARD">#REF!</definedName>
    <definedName name="P_Z_1_N_COLONNE_CT_RAISONNABLE_FOURNISSEUR_2_SPECIFIQUE" localSheetId="8">#REF!</definedName>
    <definedName name="P_Z_1_N_COLONNE_CT_RAISONNABLE_FOURNISSEUR_2_SPECIFIQUE" localSheetId="10">#REF!</definedName>
    <definedName name="P_Z_1_N_COLONNE_CT_RAISONNABLE_FOURNISSEUR_2_SPECIFIQUE" localSheetId="12">#REF!</definedName>
    <definedName name="P_Z_1_N_COLONNE_CT_RAISONNABLE_FOURNISSEUR_2_SPECIFIQUE">#REF!</definedName>
    <definedName name="P_Z_1_N_COLONNE_CT_RAISONNABLE_FOURNISSEUR_2_STANDARD" localSheetId="8">#REF!</definedName>
    <definedName name="P_Z_1_N_COLONNE_CT_RAISONNABLE_FOURNISSEUR_2_STANDARD" localSheetId="10">#REF!</definedName>
    <definedName name="P_Z_1_N_COLONNE_CT_RAISONNABLE_FOURNISSEUR_2_STANDARD" localSheetId="12">#REF!</definedName>
    <definedName name="P_Z_1_N_COLONNE_CT_RAISONNABLE_FOURNISSEUR_2_STANDARD">#REF!</definedName>
    <definedName name="P_Z_1_N_COLONNE_CT_RAISONNABLE_FOURNISSEUR_3_INDICATION" localSheetId="8">#REF!</definedName>
    <definedName name="P_Z_1_N_COLONNE_CT_RAISONNABLE_FOURNISSEUR_3_INDICATION" localSheetId="10">#REF!</definedName>
    <definedName name="P_Z_1_N_COLONNE_CT_RAISONNABLE_FOURNISSEUR_3_INDICATION" localSheetId="12">#REF!</definedName>
    <definedName name="P_Z_1_N_COLONNE_CT_RAISONNABLE_FOURNISSEUR_3_INDICATION">#REF!</definedName>
    <definedName name="P_Z_1_N_COLONNE_CT_RAISONNABLE_FOURNISSEUR_3_INDICATION_STANDARD" localSheetId="8">#REF!</definedName>
    <definedName name="P_Z_1_N_COLONNE_CT_RAISONNABLE_FOURNISSEUR_3_INDICATION_STANDARD" localSheetId="10">#REF!</definedName>
    <definedName name="P_Z_1_N_COLONNE_CT_RAISONNABLE_FOURNISSEUR_3_INDICATION_STANDARD" localSheetId="12">#REF!</definedName>
    <definedName name="P_Z_1_N_COLONNE_CT_RAISONNABLE_FOURNISSEUR_3_INDICATION_STANDARD">#REF!</definedName>
    <definedName name="P_Z_1_N_COLONNE_CT_RAISONNABLE_FOURNISSEUR_3_SPECIFIQUE" localSheetId="8">#REF!</definedName>
    <definedName name="P_Z_1_N_COLONNE_CT_RAISONNABLE_FOURNISSEUR_3_SPECIFIQUE" localSheetId="10">#REF!</definedName>
    <definedName name="P_Z_1_N_COLONNE_CT_RAISONNABLE_FOURNISSEUR_3_SPECIFIQUE" localSheetId="12">#REF!</definedName>
    <definedName name="P_Z_1_N_COLONNE_CT_RAISONNABLE_FOURNISSEUR_3_SPECIFIQUE">#REF!</definedName>
    <definedName name="P_Z_1_N_COLONNE_CT_RAISONNABLE_FOURNISSEUR_3_STANDARD" localSheetId="8">#REF!</definedName>
    <definedName name="P_Z_1_N_COLONNE_CT_RAISONNABLE_FOURNISSEUR_3_STANDARD" localSheetId="10">#REF!</definedName>
    <definedName name="P_Z_1_N_COLONNE_CT_RAISONNABLE_FOURNISSEUR_3_STANDARD" localSheetId="12">#REF!</definedName>
    <definedName name="P_Z_1_N_COLONNE_CT_RAISONNABLE_FOURNISSEUR_3_STANDARD">#REF!</definedName>
    <definedName name="P_Z_1_N_COLONNE_CT_RAISONNABLE_JUSTIFICATIF_2_INDICATION" localSheetId="8">#REF!</definedName>
    <definedName name="P_Z_1_N_COLONNE_CT_RAISONNABLE_JUSTIFICATIF_2_INDICATION" localSheetId="10">#REF!</definedName>
    <definedName name="P_Z_1_N_COLONNE_CT_RAISONNABLE_JUSTIFICATIF_2_INDICATION" localSheetId="12">#REF!</definedName>
    <definedName name="P_Z_1_N_COLONNE_CT_RAISONNABLE_JUSTIFICATIF_2_INDICATION">#REF!</definedName>
    <definedName name="P_Z_1_N_COLONNE_CT_RAISONNABLE_JUSTIFICATIF_2_INDICATION_STANDARD" localSheetId="8">#REF!</definedName>
    <definedName name="P_Z_1_N_COLONNE_CT_RAISONNABLE_JUSTIFICATIF_2_INDICATION_STANDARD" localSheetId="10">#REF!</definedName>
    <definedName name="P_Z_1_N_COLONNE_CT_RAISONNABLE_JUSTIFICATIF_2_INDICATION_STANDARD" localSheetId="12">#REF!</definedName>
    <definedName name="P_Z_1_N_COLONNE_CT_RAISONNABLE_JUSTIFICATIF_2_INDICATION_STANDARD">#REF!</definedName>
    <definedName name="P_Z_1_N_COLONNE_CT_RAISONNABLE_JUSTIFICATIF_2_SPECIFIQUE" localSheetId="8">#REF!</definedName>
    <definedName name="P_Z_1_N_COLONNE_CT_RAISONNABLE_JUSTIFICATIF_2_SPECIFIQUE" localSheetId="10">#REF!</definedName>
    <definedName name="P_Z_1_N_COLONNE_CT_RAISONNABLE_JUSTIFICATIF_2_SPECIFIQUE" localSheetId="12">#REF!</definedName>
    <definedName name="P_Z_1_N_COLONNE_CT_RAISONNABLE_JUSTIFICATIF_2_SPECIFIQUE">#REF!</definedName>
    <definedName name="P_Z_1_N_COLONNE_CT_RAISONNABLE_JUSTIFICATIF_2_STANDARD" localSheetId="8">#REF!</definedName>
    <definedName name="P_Z_1_N_COLONNE_CT_RAISONNABLE_JUSTIFICATIF_2_STANDARD" localSheetId="10">#REF!</definedName>
    <definedName name="P_Z_1_N_COLONNE_CT_RAISONNABLE_JUSTIFICATIF_2_STANDARD" localSheetId="12">#REF!</definedName>
    <definedName name="P_Z_1_N_COLONNE_CT_RAISONNABLE_JUSTIFICATIF_2_STANDARD">#REF!</definedName>
    <definedName name="P_Z_1_N_COLONNE_CT_RAISONNABLE_JUSTIFICATIF_3_INDICATION" localSheetId="8">#REF!</definedName>
    <definedName name="P_Z_1_N_COLONNE_CT_RAISONNABLE_JUSTIFICATIF_3_INDICATION" localSheetId="10">#REF!</definedName>
    <definedName name="P_Z_1_N_COLONNE_CT_RAISONNABLE_JUSTIFICATIF_3_INDICATION" localSheetId="12">#REF!</definedName>
    <definedName name="P_Z_1_N_COLONNE_CT_RAISONNABLE_JUSTIFICATIF_3_INDICATION">#REF!</definedName>
    <definedName name="P_Z_1_N_COLONNE_CT_RAISONNABLE_JUSTIFICATIF_3_INDICATION_STANDARD" localSheetId="8">#REF!</definedName>
    <definedName name="P_Z_1_N_COLONNE_CT_RAISONNABLE_JUSTIFICATIF_3_INDICATION_STANDARD" localSheetId="10">#REF!</definedName>
    <definedName name="P_Z_1_N_COLONNE_CT_RAISONNABLE_JUSTIFICATIF_3_INDICATION_STANDARD" localSheetId="12">#REF!</definedName>
    <definedName name="P_Z_1_N_COLONNE_CT_RAISONNABLE_JUSTIFICATIF_3_INDICATION_STANDARD">#REF!</definedName>
    <definedName name="P_Z_1_N_COLONNE_CT_RAISONNABLE_JUSTIFICATIF_3_SPECIFIQUE" localSheetId="8">#REF!</definedName>
    <definedName name="P_Z_1_N_COLONNE_CT_RAISONNABLE_JUSTIFICATIF_3_SPECIFIQUE" localSheetId="10">#REF!</definedName>
    <definedName name="P_Z_1_N_COLONNE_CT_RAISONNABLE_JUSTIFICATIF_3_SPECIFIQUE" localSheetId="12">#REF!</definedName>
    <definedName name="P_Z_1_N_COLONNE_CT_RAISONNABLE_JUSTIFICATIF_3_SPECIFIQUE">#REF!</definedName>
    <definedName name="P_Z_1_N_COLONNE_CT_RAISONNABLE_JUSTIFICATIF_3_STANDARD" localSheetId="8">#REF!</definedName>
    <definedName name="P_Z_1_N_COLONNE_CT_RAISONNABLE_JUSTIFICATIF_3_STANDARD" localSheetId="10">#REF!</definedName>
    <definedName name="P_Z_1_N_COLONNE_CT_RAISONNABLE_JUSTIFICATIF_3_STANDARD" localSheetId="12">#REF!</definedName>
    <definedName name="P_Z_1_N_COLONNE_CT_RAISONNABLE_JUSTIFICATIF_3_STANDARD">#REF!</definedName>
    <definedName name="P_Z_1_N_COLONNE_CT_RAISONNABLE_MARCHE_INDICATION" localSheetId="8">#REF!</definedName>
    <definedName name="P_Z_1_N_COLONNE_CT_RAISONNABLE_MARCHE_INDICATION" localSheetId="10">#REF!</definedName>
    <definedName name="P_Z_1_N_COLONNE_CT_RAISONNABLE_MARCHE_INDICATION" localSheetId="12">#REF!</definedName>
    <definedName name="P_Z_1_N_COLONNE_CT_RAISONNABLE_MARCHE_INDICATION">#REF!</definedName>
    <definedName name="P_Z_1_N_COLONNE_CT_RAISONNABLE_MARCHE_INDICATION_STANDARD" localSheetId="8">#REF!</definedName>
    <definedName name="P_Z_1_N_COLONNE_CT_RAISONNABLE_MARCHE_INDICATION_STANDARD" localSheetId="10">#REF!</definedName>
    <definedName name="P_Z_1_N_COLONNE_CT_RAISONNABLE_MARCHE_INDICATION_STANDARD" localSheetId="12">#REF!</definedName>
    <definedName name="P_Z_1_N_COLONNE_CT_RAISONNABLE_MARCHE_INDICATION_STANDARD">#REF!</definedName>
    <definedName name="P_Z_1_N_COLONNE_CT_RAISONNABLE_MARCHE_SPECIFIQUE" localSheetId="8">#REF!</definedName>
    <definedName name="P_Z_1_N_COLONNE_CT_RAISONNABLE_MARCHE_SPECIFIQUE" localSheetId="10">#REF!</definedName>
    <definedName name="P_Z_1_N_COLONNE_CT_RAISONNABLE_MARCHE_SPECIFIQUE" localSheetId="12">#REF!</definedName>
    <definedName name="P_Z_1_N_COLONNE_CT_RAISONNABLE_MARCHE_SPECIFIQUE">#REF!</definedName>
    <definedName name="P_Z_1_N_COLONNE_CT_RAISONNABLE_MARCHE_STANDARD" localSheetId="8">#REF!</definedName>
    <definedName name="P_Z_1_N_COLONNE_CT_RAISONNABLE_MARCHE_STANDARD" localSheetId="10">#REF!</definedName>
    <definedName name="P_Z_1_N_COLONNE_CT_RAISONNABLE_MARCHE_STANDARD" localSheetId="12">#REF!</definedName>
    <definedName name="P_Z_1_N_COLONNE_CT_RAISONNABLE_MARCHE_STANDARD">#REF!</definedName>
    <definedName name="P_Z_1_N_COLONNE_CT_RAISONNABLE_MT_HT_2_INDICATION" localSheetId="8">#REF!</definedName>
    <definedName name="P_Z_1_N_COLONNE_CT_RAISONNABLE_MT_HT_2_INDICATION" localSheetId="10">#REF!</definedName>
    <definedName name="P_Z_1_N_COLONNE_CT_RAISONNABLE_MT_HT_2_INDICATION" localSheetId="12">#REF!</definedName>
    <definedName name="P_Z_1_N_COLONNE_CT_RAISONNABLE_MT_HT_2_INDICATION">#REF!</definedName>
    <definedName name="P_Z_1_N_COLONNE_CT_RAISONNABLE_MT_HT_2_INDICATION_STANDARD" localSheetId="8">#REF!</definedName>
    <definedName name="P_Z_1_N_COLONNE_CT_RAISONNABLE_MT_HT_2_INDICATION_STANDARD" localSheetId="10">#REF!</definedName>
    <definedName name="P_Z_1_N_COLONNE_CT_RAISONNABLE_MT_HT_2_INDICATION_STANDARD" localSheetId="12">#REF!</definedName>
    <definedName name="P_Z_1_N_COLONNE_CT_RAISONNABLE_MT_HT_2_INDICATION_STANDARD">#REF!</definedName>
    <definedName name="P_Z_1_N_COLONNE_CT_RAISONNABLE_MT_HT_2_SPECIFIQUE" localSheetId="8">#REF!</definedName>
    <definedName name="P_Z_1_N_COLONNE_CT_RAISONNABLE_MT_HT_2_SPECIFIQUE" localSheetId="10">#REF!</definedName>
    <definedName name="P_Z_1_N_COLONNE_CT_RAISONNABLE_MT_HT_2_SPECIFIQUE" localSheetId="12">#REF!</definedName>
    <definedName name="P_Z_1_N_COLONNE_CT_RAISONNABLE_MT_HT_2_SPECIFIQUE">#REF!</definedName>
    <definedName name="P_Z_1_N_COLONNE_CT_RAISONNABLE_MT_HT_2_STANDARD" localSheetId="8">#REF!</definedName>
    <definedName name="P_Z_1_N_COLONNE_CT_RAISONNABLE_MT_HT_2_STANDARD" localSheetId="10">#REF!</definedName>
    <definedName name="P_Z_1_N_COLONNE_CT_RAISONNABLE_MT_HT_2_STANDARD" localSheetId="12">#REF!</definedName>
    <definedName name="P_Z_1_N_COLONNE_CT_RAISONNABLE_MT_HT_2_STANDARD">#REF!</definedName>
    <definedName name="P_Z_1_N_COLONNE_CT_RAISONNABLE_MT_HT_3_INDICATION" localSheetId="8">#REF!</definedName>
    <definedName name="P_Z_1_N_COLONNE_CT_RAISONNABLE_MT_HT_3_INDICATION" localSheetId="10">#REF!</definedName>
    <definedName name="P_Z_1_N_COLONNE_CT_RAISONNABLE_MT_HT_3_INDICATION" localSheetId="12">#REF!</definedName>
    <definedName name="P_Z_1_N_COLONNE_CT_RAISONNABLE_MT_HT_3_INDICATION">#REF!</definedName>
    <definedName name="P_Z_1_N_COLONNE_CT_RAISONNABLE_MT_HT_3_INDICATION_STANDARD" localSheetId="8">#REF!</definedName>
    <definedName name="P_Z_1_N_COLONNE_CT_RAISONNABLE_MT_HT_3_INDICATION_STANDARD" localSheetId="10">#REF!</definedName>
    <definedName name="P_Z_1_N_COLONNE_CT_RAISONNABLE_MT_HT_3_INDICATION_STANDARD" localSheetId="12">#REF!</definedName>
    <definedName name="P_Z_1_N_COLONNE_CT_RAISONNABLE_MT_HT_3_INDICATION_STANDARD">#REF!</definedName>
    <definedName name="P_Z_1_N_COLONNE_CT_RAISONNABLE_MT_HT_3_SPECIFIQUE" localSheetId="8">#REF!</definedName>
    <definedName name="P_Z_1_N_COLONNE_CT_RAISONNABLE_MT_HT_3_SPECIFIQUE" localSheetId="10">#REF!</definedName>
    <definedName name="P_Z_1_N_COLONNE_CT_RAISONNABLE_MT_HT_3_SPECIFIQUE" localSheetId="12">#REF!</definedName>
    <definedName name="P_Z_1_N_COLONNE_CT_RAISONNABLE_MT_HT_3_SPECIFIQUE">#REF!</definedName>
    <definedName name="P_Z_1_N_COLONNE_CT_RAISONNABLE_MT_HT_3_STANDARD" localSheetId="8">#REF!</definedName>
    <definedName name="P_Z_1_N_COLONNE_CT_RAISONNABLE_MT_HT_3_STANDARD" localSheetId="10">#REF!</definedName>
    <definedName name="P_Z_1_N_COLONNE_CT_RAISONNABLE_MT_HT_3_STANDARD" localSheetId="12">#REF!</definedName>
    <definedName name="P_Z_1_N_COLONNE_CT_RAISONNABLE_MT_HT_3_STANDARD">#REF!</definedName>
    <definedName name="P_Z_1_N_COLONNE_CT_RAISONNABLE_MT_TVA_2_INDICATION" localSheetId="8">#REF!</definedName>
    <definedName name="P_Z_1_N_COLONNE_CT_RAISONNABLE_MT_TVA_2_INDICATION" localSheetId="10">#REF!</definedName>
    <definedName name="P_Z_1_N_COLONNE_CT_RAISONNABLE_MT_TVA_2_INDICATION" localSheetId="12">#REF!</definedName>
    <definedName name="P_Z_1_N_COLONNE_CT_RAISONNABLE_MT_TVA_2_INDICATION">#REF!</definedName>
    <definedName name="P_Z_1_N_COLONNE_CT_RAISONNABLE_MT_TVA_2_INDICATION_STANDARD" localSheetId="8">#REF!</definedName>
    <definedName name="P_Z_1_N_COLONNE_CT_RAISONNABLE_MT_TVA_2_INDICATION_STANDARD" localSheetId="10">#REF!</definedName>
    <definedName name="P_Z_1_N_COLONNE_CT_RAISONNABLE_MT_TVA_2_INDICATION_STANDARD" localSheetId="12">#REF!</definedName>
    <definedName name="P_Z_1_N_COLONNE_CT_RAISONNABLE_MT_TVA_2_INDICATION_STANDARD">#REF!</definedName>
    <definedName name="P_Z_1_N_COLONNE_CT_RAISONNABLE_MT_TVA_2_SPECIFIQUE" localSheetId="8">#REF!</definedName>
    <definedName name="P_Z_1_N_COLONNE_CT_RAISONNABLE_MT_TVA_2_SPECIFIQUE" localSheetId="10">#REF!</definedName>
    <definedName name="P_Z_1_N_COLONNE_CT_RAISONNABLE_MT_TVA_2_SPECIFIQUE" localSheetId="12">#REF!</definedName>
    <definedName name="P_Z_1_N_COLONNE_CT_RAISONNABLE_MT_TVA_2_SPECIFIQUE">#REF!</definedName>
    <definedName name="P_Z_1_N_COLONNE_CT_RAISONNABLE_MT_TVA_2_STANDARD" localSheetId="8">#REF!</definedName>
    <definedName name="P_Z_1_N_COLONNE_CT_RAISONNABLE_MT_TVA_2_STANDARD" localSheetId="10">#REF!</definedName>
    <definedName name="P_Z_1_N_COLONNE_CT_RAISONNABLE_MT_TVA_2_STANDARD" localSheetId="12">#REF!</definedName>
    <definedName name="P_Z_1_N_COLONNE_CT_RAISONNABLE_MT_TVA_2_STANDARD">#REF!</definedName>
    <definedName name="P_Z_1_N_COLONNE_CT_RAISONNABLE_MT_TVA_3_INDICATION" localSheetId="8">#REF!</definedName>
    <definedName name="P_Z_1_N_COLONNE_CT_RAISONNABLE_MT_TVA_3_INDICATION" localSheetId="10">#REF!</definedName>
    <definedName name="P_Z_1_N_COLONNE_CT_RAISONNABLE_MT_TVA_3_INDICATION" localSheetId="12">#REF!</definedName>
    <definedName name="P_Z_1_N_COLONNE_CT_RAISONNABLE_MT_TVA_3_INDICATION">#REF!</definedName>
    <definedName name="P_Z_1_N_COLONNE_CT_RAISONNABLE_MT_TVA_3_INDICATION_STANDARD" localSheetId="8">#REF!</definedName>
    <definedName name="P_Z_1_N_COLONNE_CT_RAISONNABLE_MT_TVA_3_INDICATION_STANDARD" localSheetId="10">#REF!</definedName>
    <definedName name="P_Z_1_N_COLONNE_CT_RAISONNABLE_MT_TVA_3_INDICATION_STANDARD" localSheetId="12">#REF!</definedName>
    <definedName name="P_Z_1_N_COLONNE_CT_RAISONNABLE_MT_TVA_3_INDICATION_STANDARD">#REF!</definedName>
    <definedName name="P_Z_1_N_COLONNE_CT_RAISONNABLE_MT_TVA_3_SPECIFIQUE" localSheetId="8">#REF!</definedName>
    <definedName name="P_Z_1_N_COLONNE_CT_RAISONNABLE_MT_TVA_3_SPECIFIQUE" localSheetId="10">#REF!</definedName>
    <definedName name="P_Z_1_N_COLONNE_CT_RAISONNABLE_MT_TVA_3_SPECIFIQUE" localSheetId="12">#REF!</definedName>
    <definedName name="P_Z_1_N_COLONNE_CT_RAISONNABLE_MT_TVA_3_SPECIFIQUE">#REF!</definedName>
    <definedName name="P_Z_1_N_COLONNE_CT_RAISONNABLE_MT_TVA_3_STANDARD" localSheetId="8">#REF!</definedName>
    <definedName name="P_Z_1_N_COLONNE_CT_RAISONNABLE_MT_TVA_3_STANDARD" localSheetId="10">#REF!</definedName>
    <definedName name="P_Z_1_N_COLONNE_CT_RAISONNABLE_MT_TVA_3_STANDARD" localSheetId="12">#REF!</definedName>
    <definedName name="P_Z_1_N_COLONNE_CT_RAISONNABLE_MT_TVA_3_STANDARD">#REF!</definedName>
    <definedName name="P_Z_1_N_COLONNE_DESCRIPTION_INDICATION" localSheetId="8">#REF!</definedName>
    <definedName name="P_Z_1_N_COLONNE_DESCRIPTION_INDICATION" localSheetId="10">#REF!</definedName>
    <definedName name="P_Z_1_N_COLONNE_DESCRIPTION_INDICATION" localSheetId="12">#REF!</definedName>
    <definedName name="P_Z_1_N_COLONNE_DESCRIPTION_INDICATION">#REF!</definedName>
    <definedName name="P_Z_1_N_COLONNE_DESCRIPTION_INDICATION_STANDARD" localSheetId="8">#REF!</definedName>
    <definedName name="P_Z_1_N_COLONNE_DESCRIPTION_INDICATION_STANDARD" localSheetId="10">#REF!</definedName>
    <definedName name="P_Z_1_N_COLONNE_DESCRIPTION_INDICATION_STANDARD" localSheetId="12">#REF!</definedName>
    <definedName name="P_Z_1_N_COLONNE_DESCRIPTION_INDICATION_STANDARD">#REF!</definedName>
    <definedName name="P_Z_1_N_COLONNE_DESCRIPTION_SPECIFIQUE" localSheetId="8">#REF!</definedName>
    <definedName name="P_Z_1_N_COLONNE_DESCRIPTION_SPECIFIQUE" localSheetId="10">#REF!</definedName>
    <definedName name="P_Z_1_N_COLONNE_DESCRIPTION_SPECIFIQUE" localSheetId="12">#REF!</definedName>
    <definedName name="P_Z_1_N_COLONNE_DESCRIPTION_SPECIFIQUE">#REF!</definedName>
    <definedName name="P_Z_1_N_COLONNE_DESCRIPTION_STANDARD" localSheetId="8">#REF!</definedName>
    <definedName name="P_Z_1_N_COLONNE_DESCRIPTION_STANDARD" localSheetId="10">#REF!</definedName>
    <definedName name="P_Z_1_N_COLONNE_DESCRIPTION_STANDARD" localSheetId="12">#REF!</definedName>
    <definedName name="P_Z_1_N_COLONNE_DESCRIPTION_STANDARD">#REF!</definedName>
    <definedName name="P_Z_1_N_COLONNE_FOURNISSEUR_INDICATION" localSheetId="8">#REF!</definedName>
    <definedName name="P_Z_1_N_COLONNE_FOURNISSEUR_INDICATION" localSheetId="10">#REF!</definedName>
    <definedName name="P_Z_1_N_COLONNE_FOURNISSEUR_INDICATION" localSheetId="12">#REF!</definedName>
    <definedName name="P_Z_1_N_COLONNE_FOURNISSEUR_INDICATION">#REF!</definedName>
    <definedName name="P_Z_1_N_COLONNE_FOURNISSEUR_INDICATION_STANDARD" localSheetId="8">#REF!</definedName>
    <definedName name="P_Z_1_N_COLONNE_FOURNISSEUR_INDICATION_STANDARD" localSheetId="10">#REF!</definedName>
    <definedName name="P_Z_1_N_COLONNE_FOURNISSEUR_INDICATION_STANDARD" localSheetId="12">#REF!</definedName>
    <definedName name="P_Z_1_N_COLONNE_FOURNISSEUR_INDICATION_STANDARD">#REF!</definedName>
    <definedName name="P_Z_1_N_COLONNE_FOURNISSEUR_SPECIFIQUE" localSheetId="8">#REF!</definedName>
    <definedName name="P_Z_1_N_COLONNE_FOURNISSEUR_SPECIFIQUE" localSheetId="10">#REF!</definedName>
    <definedName name="P_Z_1_N_COLONNE_FOURNISSEUR_SPECIFIQUE" localSheetId="12">#REF!</definedName>
    <definedName name="P_Z_1_N_COLONNE_FOURNISSEUR_SPECIFIQUE">#REF!</definedName>
    <definedName name="P_Z_1_N_COLONNE_FOURNISSEUR_STANDARD" localSheetId="8">#REF!</definedName>
    <definedName name="P_Z_1_N_COLONNE_FOURNISSEUR_STANDARD" localSheetId="10">#REF!</definedName>
    <definedName name="P_Z_1_N_COLONNE_FOURNISSEUR_STANDARD" localSheetId="12">#REF!</definedName>
    <definedName name="P_Z_1_N_COLONNE_FOURNISSEUR_STANDARD">#REF!</definedName>
    <definedName name="P_Z_1_N_COLONNE_JUSTIFICATIF_INDICATION" localSheetId="8">#REF!</definedName>
    <definedName name="P_Z_1_N_COLONNE_JUSTIFICATIF_INDICATION" localSheetId="10">#REF!</definedName>
    <definedName name="P_Z_1_N_COLONNE_JUSTIFICATIF_INDICATION" localSheetId="12">#REF!</definedName>
    <definedName name="P_Z_1_N_COLONNE_JUSTIFICATIF_INDICATION">#REF!</definedName>
    <definedName name="P_Z_1_N_COLONNE_JUSTIFICATIF_INDICATION_STANDARD" localSheetId="8">#REF!</definedName>
    <definedName name="P_Z_1_N_COLONNE_JUSTIFICATIF_INDICATION_STANDARD" localSheetId="10">#REF!</definedName>
    <definedName name="P_Z_1_N_COLONNE_JUSTIFICATIF_INDICATION_STANDARD" localSheetId="12">#REF!</definedName>
    <definedName name="P_Z_1_N_COLONNE_JUSTIFICATIF_INDICATION_STANDARD">#REF!</definedName>
    <definedName name="P_Z_1_N_COLONNE_JUSTIFICATIF_SPECIFIQUE" localSheetId="8">#REF!</definedName>
    <definedName name="P_Z_1_N_COLONNE_JUSTIFICATIF_SPECIFIQUE" localSheetId="10">#REF!</definedName>
    <definedName name="P_Z_1_N_COLONNE_JUSTIFICATIF_SPECIFIQUE" localSheetId="12">#REF!</definedName>
    <definedName name="P_Z_1_N_COLONNE_JUSTIFICATIF_SPECIFIQUE">#REF!</definedName>
    <definedName name="P_Z_1_N_COLONNE_JUSTIFICATIF_STANDARD" localSheetId="8">#REF!</definedName>
    <definedName name="P_Z_1_N_COLONNE_JUSTIFICATIF_STANDARD" localSheetId="10">#REF!</definedName>
    <definedName name="P_Z_1_N_COLONNE_JUSTIFICATIF_STANDARD" localSheetId="12">#REF!</definedName>
    <definedName name="P_Z_1_N_COLONNE_JUSTIFICATIF_STANDARD">#REF!</definedName>
    <definedName name="P_Z_1_N_COLONNE_MOTIFS_INELIGIBILITE_LIBELLE_DEFAUT" localSheetId="8">#REF!</definedName>
    <definedName name="P_Z_1_N_COLONNE_MOTIFS_INELIGIBILITE_LIBELLE_DEFAUT" localSheetId="10">#REF!</definedName>
    <definedName name="P_Z_1_N_COLONNE_MOTIFS_INELIGIBILITE_LIBELLE_DEFAUT" localSheetId="12">#REF!</definedName>
    <definedName name="P_Z_1_N_COLONNE_MOTIFS_INELIGIBILITE_LIBELLE_DEFAUT">#REF!</definedName>
    <definedName name="P_Z_1_N_COLONNE_MOTIFS_INELIGIBILITE_LIBELLE_STANDARD" localSheetId="8">#REF!</definedName>
    <definedName name="P_Z_1_N_COLONNE_MOTIFS_INELIGIBILITE_LIBELLE_STANDARD" localSheetId="10">#REF!</definedName>
    <definedName name="P_Z_1_N_COLONNE_MOTIFS_INELIGIBILITE_LIBELLE_STANDARD" localSheetId="12">#REF!</definedName>
    <definedName name="P_Z_1_N_COLONNE_MOTIFS_INELIGIBILITE_LIBELLE_STANDARD">#REF!</definedName>
    <definedName name="P_Z_1_N_COLONNE_MT_ELIGIBLE_LIBELLE_DEFAUT" localSheetId="8">#REF!</definedName>
    <definedName name="P_Z_1_N_COLONNE_MT_ELIGIBLE_LIBELLE_DEFAUT" localSheetId="10">#REF!</definedName>
    <definedName name="P_Z_1_N_COLONNE_MT_ELIGIBLE_LIBELLE_DEFAUT" localSheetId="12">#REF!</definedName>
    <definedName name="P_Z_1_N_COLONNE_MT_ELIGIBLE_LIBELLE_DEFAUT">#REF!</definedName>
    <definedName name="P_Z_1_N_COLONNE_MT_ELIGIBLE_LIBELLE_STANDARD" localSheetId="8">#REF!</definedName>
    <definedName name="P_Z_1_N_COLONNE_MT_ELIGIBLE_LIBELLE_STANDARD" localSheetId="10">#REF!</definedName>
    <definedName name="P_Z_1_N_COLONNE_MT_ELIGIBLE_LIBELLE_STANDARD" localSheetId="12">#REF!</definedName>
    <definedName name="P_Z_1_N_COLONNE_MT_ELIGIBLE_LIBELLE_STANDARD">#REF!</definedName>
    <definedName name="P_Z_1_N_COLONNE_MT_INELIGIBLE_LIBELLE_DEFAUT" localSheetId="8">#REF!</definedName>
    <definedName name="P_Z_1_N_COLONNE_MT_INELIGIBLE_LIBELLE_DEFAUT" localSheetId="10">#REF!</definedName>
    <definedName name="P_Z_1_N_COLONNE_MT_INELIGIBLE_LIBELLE_DEFAUT" localSheetId="12">#REF!</definedName>
    <definedName name="P_Z_1_N_COLONNE_MT_INELIGIBLE_LIBELLE_DEFAUT">#REF!</definedName>
    <definedName name="P_Z_1_N_COLONNE_MT_INELIGIBLE_LIBELLE_STANDARD" localSheetId="8">#REF!</definedName>
    <definedName name="P_Z_1_N_COLONNE_MT_INELIGIBLE_LIBELLE_STANDARD" localSheetId="10">#REF!</definedName>
    <definedName name="P_Z_1_N_COLONNE_MT_INELIGIBLE_LIBELLE_STANDARD" localSheetId="12">#REF!</definedName>
    <definedName name="P_Z_1_N_COLONNE_MT_INELIGIBLE_LIBELLE_STANDARD">#REF!</definedName>
    <definedName name="P_Z_1_N_COLONNE_MT_MAX_LIBELLE_DEFAUT" localSheetId="8">#REF!</definedName>
    <definedName name="P_Z_1_N_COLONNE_MT_MAX_LIBELLE_DEFAUT" localSheetId="10">#REF!</definedName>
    <definedName name="P_Z_1_N_COLONNE_MT_MAX_LIBELLE_DEFAUT" localSheetId="12">#REF!</definedName>
    <definedName name="P_Z_1_N_COLONNE_MT_MAX_LIBELLE_DEFAUT">#REF!</definedName>
    <definedName name="P_Z_1_N_COLONNE_MT_MAX_LIBELLE_STANDARD" localSheetId="8">#REF!</definedName>
    <definedName name="P_Z_1_N_COLONNE_MT_MAX_LIBELLE_STANDARD" localSheetId="10">#REF!</definedName>
    <definedName name="P_Z_1_N_COLONNE_MT_MAX_LIBELLE_STANDARD" localSheetId="12">#REF!</definedName>
    <definedName name="P_Z_1_N_COLONNE_MT_MAX_LIBELLE_STANDARD">#REF!</definedName>
    <definedName name="P_Z_1_N_COLONNE_MT_PRESENTE_HT_INDICATION" localSheetId="8">#REF!</definedName>
    <definedName name="P_Z_1_N_COLONNE_MT_PRESENTE_HT_INDICATION" localSheetId="10">#REF!</definedName>
    <definedName name="P_Z_1_N_COLONNE_MT_PRESENTE_HT_INDICATION" localSheetId="12">#REF!</definedName>
    <definedName name="P_Z_1_N_COLONNE_MT_PRESENTE_HT_INDICATION">#REF!</definedName>
    <definedName name="P_Z_1_N_COLONNE_MT_PRESENTE_HT_INDICATION_STANDARD" localSheetId="8">#REF!</definedName>
    <definedName name="P_Z_1_N_COLONNE_MT_PRESENTE_HT_INDICATION_STANDARD" localSheetId="10">#REF!</definedName>
    <definedName name="P_Z_1_N_COLONNE_MT_PRESENTE_HT_INDICATION_STANDARD" localSheetId="12">#REF!</definedName>
    <definedName name="P_Z_1_N_COLONNE_MT_PRESENTE_HT_INDICATION_STANDARD">#REF!</definedName>
    <definedName name="P_Z_1_N_COLONNE_MT_PRESENTE_HT_SPECIFIQUE" localSheetId="8">#REF!</definedName>
    <definedName name="P_Z_1_N_COLONNE_MT_PRESENTE_HT_SPECIFIQUE" localSheetId="10">#REF!</definedName>
    <definedName name="P_Z_1_N_COLONNE_MT_PRESENTE_HT_SPECIFIQUE" localSheetId="12">#REF!</definedName>
    <definedName name="P_Z_1_N_COLONNE_MT_PRESENTE_HT_SPECIFIQUE">#REF!</definedName>
    <definedName name="P_Z_1_N_COLONNE_MT_PRESENTE_HT_STANDARD" localSheetId="8">#REF!</definedName>
    <definedName name="P_Z_1_N_COLONNE_MT_PRESENTE_HT_STANDARD" localSheetId="10">#REF!</definedName>
    <definedName name="P_Z_1_N_COLONNE_MT_PRESENTE_HT_STANDARD" localSheetId="12">#REF!</definedName>
    <definedName name="P_Z_1_N_COLONNE_MT_PRESENTE_HT_STANDARD">#REF!</definedName>
    <definedName name="P_Z_1_N_COLONNE_MT_PRESENTE_TVA_INDICATION" localSheetId="8">#REF!</definedName>
    <definedName name="P_Z_1_N_COLONNE_MT_PRESENTE_TVA_INDICATION" localSheetId="10">#REF!</definedName>
    <definedName name="P_Z_1_N_COLONNE_MT_PRESENTE_TVA_INDICATION" localSheetId="12">#REF!</definedName>
    <definedName name="P_Z_1_N_COLONNE_MT_PRESENTE_TVA_INDICATION">#REF!</definedName>
    <definedName name="P_Z_1_N_COLONNE_MT_PRESENTE_TVA_INDICATION_STANDARD" localSheetId="8">#REF!</definedName>
    <definedName name="P_Z_1_N_COLONNE_MT_PRESENTE_TVA_INDICATION_STANDARD" localSheetId="10">#REF!</definedName>
    <definedName name="P_Z_1_N_COLONNE_MT_PRESENTE_TVA_INDICATION_STANDARD" localSheetId="12">#REF!</definedName>
    <definedName name="P_Z_1_N_COLONNE_MT_PRESENTE_TVA_INDICATION_STANDARD">#REF!</definedName>
    <definedName name="P_Z_1_N_COLONNE_MT_PRESENTE_TVA_SPECIFIQUE" localSheetId="8">#REF!</definedName>
    <definedName name="P_Z_1_N_COLONNE_MT_PRESENTE_TVA_SPECIFIQUE" localSheetId="10">#REF!</definedName>
    <definedName name="P_Z_1_N_COLONNE_MT_PRESENTE_TVA_SPECIFIQUE" localSheetId="12">#REF!</definedName>
    <definedName name="P_Z_1_N_COLONNE_MT_PRESENTE_TVA_SPECIFIQUE">#REF!</definedName>
    <definedName name="P_Z_1_N_COLONNE_MT_PRESENTE_TVA_STANDARD" localSheetId="8">#REF!</definedName>
    <definedName name="P_Z_1_N_COLONNE_MT_PRESENTE_TVA_STANDARD" localSheetId="10">#REF!</definedName>
    <definedName name="P_Z_1_N_COLONNE_MT_PRESENTE_TVA_STANDARD" localSheetId="12">#REF!</definedName>
    <definedName name="P_Z_1_N_COLONNE_MT_PRESENTE_TVA_STANDARD">#REF!</definedName>
    <definedName name="P_Z_1_N_COLONNE_MT_RAISONNABLE_DEFAUT" localSheetId="8">#REF!</definedName>
    <definedName name="P_Z_1_N_COLONNE_MT_RAISONNABLE_DEFAUT" localSheetId="10">#REF!</definedName>
    <definedName name="P_Z_1_N_COLONNE_MT_RAISONNABLE_DEFAUT" localSheetId="12">#REF!</definedName>
    <definedName name="P_Z_1_N_COLONNE_MT_RAISONNABLE_DEFAUT">#REF!</definedName>
    <definedName name="P_Z_1_N_COLONNE_MT_RAISONNABLE_STANDARD" localSheetId="8">#REF!</definedName>
    <definedName name="P_Z_1_N_COLONNE_MT_RAISONNABLE_STANDARD" localSheetId="10">#REF!</definedName>
    <definedName name="P_Z_1_N_COLONNE_MT_RAISONNABLE_STANDARD" localSheetId="12">#REF!</definedName>
    <definedName name="P_Z_1_N_COLONNE_MT_RAISONNABLE_STANDARD">#REF!</definedName>
    <definedName name="P_Z_1_N_COLONNE_POSTE_INDICATION" localSheetId="8">#REF!</definedName>
    <definedName name="P_Z_1_N_COLONNE_POSTE_INDICATION" localSheetId="10">#REF!</definedName>
    <definedName name="P_Z_1_N_COLONNE_POSTE_INDICATION" localSheetId="12">#REF!</definedName>
    <definedName name="P_Z_1_N_COLONNE_POSTE_INDICATION">#REF!</definedName>
    <definedName name="P_Z_1_N_COLONNE_POSTE_INDICATION_STANDARD" localSheetId="8">#REF!</definedName>
    <definedName name="P_Z_1_N_COLONNE_POSTE_INDICATION_STANDARD" localSheetId="10">#REF!</definedName>
    <definedName name="P_Z_1_N_COLONNE_POSTE_INDICATION_STANDARD" localSheetId="12">#REF!</definedName>
    <definedName name="P_Z_1_N_COLONNE_POSTE_INDICATION_STANDARD">#REF!</definedName>
    <definedName name="P_Z_1_N_COLONNE_POSTE_SPECIFIQUE" localSheetId="8">#REF!</definedName>
    <definedName name="P_Z_1_N_COLONNE_POSTE_SPECIFIQUE" localSheetId="10">#REF!</definedName>
    <definedName name="P_Z_1_N_COLONNE_POSTE_SPECIFIQUE" localSheetId="12">#REF!</definedName>
    <definedName name="P_Z_1_N_COLONNE_POSTE_SPECIFIQUE">#REF!</definedName>
    <definedName name="P_Z_1_N_COLONNE_POSTE_STANDARD" localSheetId="8">#REF!</definedName>
    <definedName name="P_Z_1_N_COLONNE_POSTE_STANDARD" localSheetId="10">#REF!</definedName>
    <definedName name="P_Z_1_N_COLONNE_POSTE_STANDARD" localSheetId="12">#REF!</definedName>
    <definedName name="P_Z_1_N_COLONNE_POSTE_STANDARD">#REF!</definedName>
    <definedName name="P_Z_1_N_COLONNE_QUANTITE_INDICATION" localSheetId="8">#REF!</definedName>
    <definedName name="P_Z_1_N_COLONNE_QUANTITE_INDICATION" localSheetId="10">#REF!</definedName>
    <definedName name="P_Z_1_N_COLONNE_QUANTITE_INDICATION" localSheetId="12">#REF!</definedName>
    <definedName name="P_Z_1_N_COLONNE_QUANTITE_INDICATION">#REF!</definedName>
    <definedName name="P_Z_1_N_COLONNE_QUANTITE_INDICATION_STANDARD" localSheetId="8">#REF!</definedName>
    <definedName name="P_Z_1_N_COLONNE_QUANTITE_INDICATION_STANDARD" localSheetId="10">#REF!</definedName>
    <definedName name="P_Z_1_N_COLONNE_QUANTITE_INDICATION_STANDARD" localSheetId="12">#REF!</definedName>
    <definedName name="P_Z_1_N_COLONNE_QUANTITE_INDICATION_STANDARD">#REF!</definedName>
    <definedName name="P_Z_1_N_COLONNE_QUANTITE_SPECIFIQUE" localSheetId="8">#REF!</definedName>
    <definedName name="P_Z_1_N_COLONNE_QUANTITE_SPECIFIQUE" localSheetId="10">#REF!</definedName>
    <definedName name="P_Z_1_N_COLONNE_QUANTITE_SPECIFIQUE" localSheetId="12">#REF!</definedName>
    <definedName name="P_Z_1_N_COLONNE_QUANTITE_SPECIFIQUE">#REF!</definedName>
    <definedName name="P_Z_1_N_COLONNE_QUANTITE_STANDARD" localSheetId="8">#REF!</definedName>
    <definedName name="P_Z_1_N_COLONNE_QUANTITE_STANDARD" localSheetId="10">#REF!</definedName>
    <definedName name="P_Z_1_N_COLONNE_QUANTITE_STANDARD" localSheetId="12">#REF!</definedName>
    <definedName name="P_Z_1_N_COLONNE_QUANTITE_STANDARD">#REF!</definedName>
    <definedName name="P_Z_1_N_COLONNE_SOUS_OPERATION_INDICATION" localSheetId="8">#REF!</definedName>
    <definedName name="P_Z_1_N_COLONNE_SOUS_OPERATION_INDICATION" localSheetId="10">#REF!</definedName>
    <definedName name="P_Z_1_N_COLONNE_SOUS_OPERATION_INDICATION" localSheetId="12">#REF!</definedName>
    <definedName name="P_Z_1_N_COLONNE_SOUS_OPERATION_INDICATION">#REF!</definedName>
    <definedName name="P_Z_1_N_COLONNE_SOUS_OPERATION_INDICATION_STANDARD" localSheetId="8">#REF!</definedName>
    <definedName name="P_Z_1_N_COLONNE_SOUS_OPERATION_INDICATION_STANDARD" localSheetId="10">#REF!</definedName>
    <definedName name="P_Z_1_N_COLONNE_SOUS_OPERATION_INDICATION_STANDARD" localSheetId="12">#REF!</definedName>
    <definedName name="P_Z_1_N_COLONNE_SOUS_OPERATION_INDICATION_STANDARD">#REF!</definedName>
    <definedName name="P_Z_1_N_COLONNE_SOUS_OPERATION_SPECIFIQUE" localSheetId="8">#REF!</definedName>
    <definedName name="P_Z_1_N_COLONNE_SOUS_OPERATION_SPECIFIQUE" localSheetId="10">#REF!</definedName>
    <definedName name="P_Z_1_N_COLONNE_SOUS_OPERATION_SPECIFIQUE" localSheetId="12">#REF!</definedName>
    <definedName name="P_Z_1_N_COLONNE_SOUS_OPERATION_SPECIFIQUE">#REF!</definedName>
    <definedName name="P_Z_1_N_COLONNE_SOUS_OPERATION_STANDARD" localSheetId="8">#REF!</definedName>
    <definedName name="P_Z_1_N_COLONNE_SOUS_OPERATION_STANDARD" localSheetId="10">#REF!</definedName>
    <definedName name="P_Z_1_N_COLONNE_SOUS_OPERATION_STANDARD" localSheetId="12">#REF!</definedName>
    <definedName name="P_Z_1_N_COLONNE_SOUS_OPERATION_STANDARD">#REF!</definedName>
    <definedName name="P_Z_1_N_COLONNE_UNITE_INDICATION" localSheetId="8">#REF!</definedName>
    <definedName name="P_Z_1_N_COLONNE_UNITE_INDICATION" localSheetId="10">#REF!</definedName>
    <definedName name="P_Z_1_N_COLONNE_UNITE_INDICATION" localSheetId="12">#REF!</definedName>
    <definedName name="P_Z_1_N_COLONNE_UNITE_INDICATION">#REF!</definedName>
    <definedName name="P_Z_1_N_COLONNE_UNITE_INDICATION_STANDARD" localSheetId="8">#REF!</definedName>
    <definedName name="P_Z_1_N_COLONNE_UNITE_INDICATION_STANDARD" localSheetId="10">#REF!</definedName>
    <definedName name="P_Z_1_N_COLONNE_UNITE_INDICATION_STANDARD" localSheetId="12">#REF!</definedName>
    <definedName name="P_Z_1_N_COLONNE_UNITE_INDICATION_STANDARD">#REF!</definedName>
    <definedName name="P_Z_1_N_COLONNE_UNITE_SPECIFIQUE" localSheetId="8">#REF!</definedName>
    <definedName name="P_Z_1_N_COLONNE_UNITE_SPECIFIQUE" localSheetId="10">#REF!</definedName>
    <definedName name="P_Z_1_N_COLONNE_UNITE_SPECIFIQUE" localSheetId="12">#REF!</definedName>
    <definedName name="P_Z_1_N_COLONNE_UNITE_SPECIFIQUE">#REF!</definedName>
    <definedName name="P_Z_1_N_COLONNE_UNITE_STANDARD" localSheetId="8">#REF!</definedName>
    <definedName name="P_Z_1_N_COLONNE_UNITE_STANDARD" localSheetId="10">#REF!</definedName>
    <definedName name="P_Z_1_N_COLONNE_UNITE_STANDARD" localSheetId="12">#REF!</definedName>
    <definedName name="P_Z_1_N_COLONNE_UNITE_STANDARD">#REF!</definedName>
    <definedName name="P_Z_1_N_CONSIGNE_DEPENSES_DEVIS" localSheetId="8">#REF!</definedName>
    <definedName name="P_Z_1_N_CONSIGNE_DEPENSES_DEVIS" localSheetId="10">#REF!</definedName>
    <definedName name="P_Z_1_N_CONSIGNE_DEPENSES_DEVIS" localSheetId="12">#REF!</definedName>
    <definedName name="P_Z_1_N_CONSIGNE_DEPENSES_DEVIS">#REF!</definedName>
    <definedName name="P_Z_1_N_EXEMPLE_COMMENTAIRE" localSheetId="8">#REF!</definedName>
    <definedName name="P_Z_1_N_EXEMPLE_COMMENTAIRE" localSheetId="10">#REF!</definedName>
    <definedName name="P_Z_1_N_EXEMPLE_COMMENTAIRE" localSheetId="12">#REF!</definedName>
    <definedName name="P_Z_1_N_EXEMPLE_COMMENTAIRE">#REF!</definedName>
    <definedName name="P_Z_1_N_EXEMPLE_CT_RAISONNABLE_FOURNISSEUR_2" localSheetId="8">#REF!</definedName>
    <definedName name="P_Z_1_N_EXEMPLE_CT_RAISONNABLE_FOURNISSEUR_2" localSheetId="10">#REF!</definedName>
    <definedName name="P_Z_1_N_EXEMPLE_CT_RAISONNABLE_FOURNISSEUR_2" localSheetId="12">#REF!</definedName>
    <definedName name="P_Z_1_N_EXEMPLE_CT_RAISONNABLE_FOURNISSEUR_2">#REF!</definedName>
    <definedName name="P_Z_1_N_EXEMPLE_CT_RAISONNABLE_FOURNISSEUR_3" localSheetId="8">#REF!</definedName>
    <definedName name="P_Z_1_N_EXEMPLE_CT_RAISONNABLE_FOURNISSEUR_3" localSheetId="10">#REF!</definedName>
    <definedName name="P_Z_1_N_EXEMPLE_CT_RAISONNABLE_FOURNISSEUR_3" localSheetId="12">#REF!</definedName>
    <definedName name="P_Z_1_N_EXEMPLE_CT_RAISONNABLE_FOURNISSEUR_3">#REF!</definedName>
    <definedName name="P_Z_1_N_EXEMPLE_CT_RAISONNABLE_JUSTIFICATIF_2" localSheetId="8">#REF!</definedName>
    <definedName name="P_Z_1_N_EXEMPLE_CT_RAISONNABLE_JUSTIFICATIF_2" localSheetId="10">#REF!</definedName>
    <definedName name="P_Z_1_N_EXEMPLE_CT_RAISONNABLE_JUSTIFICATIF_2" localSheetId="12">#REF!</definedName>
    <definedName name="P_Z_1_N_EXEMPLE_CT_RAISONNABLE_JUSTIFICATIF_2">#REF!</definedName>
    <definedName name="P_Z_1_N_EXEMPLE_CT_RAISONNABLE_JUSTIFICATIF_3" localSheetId="8">#REF!</definedName>
    <definedName name="P_Z_1_N_EXEMPLE_CT_RAISONNABLE_JUSTIFICATIF_3" localSheetId="10">#REF!</definedName>
    <definedName name="P_Z_1_N_EXEMPLE_CT_RAISONNABLE_JUSTIFICATIF_3" localSheetId="12">#REF!</definedName>
    <definedName name="P_Z_1_N_EXEMPLE_CT_RAISONNABLE_JUSTIFICATIF_3">#REF!</definedName>
    <definedName name="P_Z_1_N_EXEMPLE_CT_RAISONNABLE_MARCHE" localSheetId="8">#REF!</definedName>
    <definedName name="P_Z_1_N_EXEMPLE_CT_RAISONNABLE_MARCHE" localSheetId="10">#REF!</definedName>
    <definedName name="P_Z_1_N_EXEMPLE_CT_RAISONNABLE_MARCHE" localSheetId="12">#REF!</definedName>
    <definedName name="P_Z_1_N_EXEMPLE_CT_RAISONNABLE_MARCHE">#REF!</definedName>
    <definedName name="P_Z_1_N_EXEMPLE_CT_RAISONNABLE_MT_HT_2" localSheetId="8">#REF!</definedName>
    <definedName name="P_Z_1_N_EXEMPLE_CT_RAISONNABLE_MT_HT_2" localSheetId="10">#REF!</definedName>
    <definedName name="P_Z_1_N_EXEMPLE_CT_RAISONNABLE_MT_HT_2" localSheetId="12">#REF!</definedName>
    <definedName name="P_Z_1_N_EXEMPLE_CT_RAISONNABLE_MT_HT_2">#REF!</definedName>
    <definedName name="P_Z_1_N_EXEMPLE_CT_RAISONNABLE_MT_HT_3" localSheetId="8">#REF!</definedName>
    <definedName name="P_Z_1_N_EXEMPLE_CT_RAISONNABLE_MT_HT_3" localSheetId="10">#REF!</definedName>
    <definedName name="P_Z_1_N_EXEMPLE_CT_RAISONNABLE_MT_HT_3" localSheetId="12">#REF!</definedName>
    <definedName name="P_Z_1_N_EXEMPLE_CT_RAISONNABLE_MT_HT_3">#REF!</definedName>
    <definedName name="P_Z_1_N_EXEMPLE_CT_RAISONNABLE_MT_TVA_2" localSheetId="8">#REF!</definedName>
    <definedName name="P_Z_1_N_EXEMPLE_CT_RAISONNABLE_MT_TVA_2" localSheetId="10">#REF!</definedName>
    <definedName name="P_Z_1_N_EXEMPLE_CT_RAISONNABLE_MT_TVA_2" localSheetId="12">#REF!</definedName>
    <definedName name="P_Z_1_N_EXEMPLE_CT_RAISONNABLE_MT_TVA_2">#REF!</definedName>
    <definedName name="P_Z_1_N_EXEMPLE_CT_RAISONNABLE_MT_TVA_3" localSheetId="8">#REF!</definedName>
    <definedName name="P_Z_1_N_EXEMPLE_CT_RAISONNABLE_MT_TVA_3" localSheetId="10">#REF!</definedName>
    <definedName name="P_Z_1_N_EXEMPLE_CT_RAISONNABLE_MT_TVA_3" localSheetId="12">#REF!</definedName>
    <definedName name="P_Z_1_N_EXEMPLE_CT_RAISONNABLE_MT_TVA_3">#REF!</definedName>
    <definedName name="P_Z_1_N_EXEMPLE_DESCRIPTION" localSheetId="8">#REF!</definedName>
    <definedName name="P_Z_1_N_EXEMPLE_DESCRIPTION" localSheetId="10">#REF!</definedName>
    <definedName name="P_Z_1_N_EXEMPLE_DESCRIPTION" localSheetId="12">#REF!</definedName>
    <definedName name="P_Z_1_N_EXEMPLE_DESCRIPTION">#REF!</definedName>
    <definedName name="P_Z_1_N_EXEMPLE_FOURNISSEUR" localSheetId="8">#REF!</definedName>
    <definedName name="P_Z_1_N_EXEMPLE_FOURNISSEUR" localSheetId="10">#REF!</definedName>
    <definedName name="P_Z_1_N_EXEMPLE_FOURNISSEUR" localSheetId="12">#REF!</definedName>
    <definedName name="P_Z_1_N_EXEMPLE_FOURNISSEUR">#REF!</definedName>
    <definedName name="P_Z_1_N_EXEMPLE_JUSTIFICATIF" localSheetId="8">#REF!</definedName>
    <definedName name="P_Z_1_N_EXEMPLE_JUSTIFICATIF" localSheetId="10">#REF!</definedName>
    <definedName name="P_Z_1_N_EXEMPLE_JUSTIFICATIF" localSheetId="12">#REF!</definedName>
    <definedName name="P_Z_1_N_EXEMPLE_JUSTIFICATIF">#REF!</definedName>
    <definedName name="P_Z_1_N_EXEMPLE_MT_PRESENTE_HT" localSheetId="8">#REF!</definedName>
    <definedName name="P_Z_1_N_EXEMPLE_MT_PRESENTE_HT" localSheetId="10">#REF!</definedName>
    <definedName name="P_Z_1_N_EXEMPLE_MT_PRESENTE_HT" localSheetId="12">#REF!</definedName>
    <definedName name="P_Z_1_N_EXEMPLE_MT_PRESENTE_HT">#REF!</definedName>
    <definedName name="P_Z_1_N_EXEMPLE_MT_PRESENTE_TVA" localSheetId="8">#REF!</definedName>
    <definedName name="P_Z_1_N_EXEMPLE_MT_PRESENTE_TVA" localSheetId="10">#REF!</definedName>
    <definedName name="P_Z_1_N_EXEMPLE_MT_PRESENTE_TVA" localSheetId="12">#REF!</definedName>
    <definedName name="P_Z_1_N_EXEMPLE_MT_PRESENTE_TVA">#REF!</definedName>
    <definedName name="P_Z_1_N_EXEMPLE_POSTE" localSheetId="8">#REF!</definedName>
    <definedName name="P_Z_1_N_EXEMPLE_POSTE" localSheetId="10">#REF!</definedName>
    <definedName name="P_Z_1_N_EXEMPLE_POSTE" localSheetId="12">#REF!</definedName>
    <definedName name="P_Z_1_N_EXEMPLE_POSTE">#REF!</definedName>
    <definedName name="P_Z_1_N_EXEMPLE_QUANTITE" localSheetId="8">#REF!</definedName>
    <definedName name="P_Z_1_N_EXEMPLE_QUANTITE" localSheetId="10">#REF!</definedName>
    <definedName name="P_Z_1_N_EXEMPLE_QUANTITE" localSheetId="12">#REF!</definedName>
    <definedName name="P_Z_1_N_EXEMPLE_QUANTITE">#REF!</definedName>
    <definedName name="P_Z_1_N_EXEMPLE_SOUS_OPERATION" localSheetId="8">#REF!</definedName>
    <definedName name="P_Z_1_N_EXEMPLE_SOUS_OPERATION" localSheetId="10">#REF!</definedName>
    <definedName name="P_Z_1_N_EXEMPLE_SOUS_OPERATION" localSheetId="12">#REF!</definedName>
    <definedName name="P_Z_1_N_EXEMPLE_SOUS_OPERATION">#REF!</definedName>
    <definedName name="P_Z_1_N_EXEMPLE_UNITE" localSheetId="8">#REF!</definedName>
    <definedName name="P_Z_1_N_EXEMPLE_UNITE" localSheetId="10">#REF!</definedName>
    <definedName name="P_Z_1_N_EXEMPLE_UNITE" localSheetId="12">#REF!</definedName>
    <definedName name="P_Z_1_N_EXEMPLE_UNITE">#REF!</definedName>
    <definedName name="P_Z_1_N_INTITULE_DEPENSES_DEVIS_DEFAUT" localSheetId="8">#REF!</definedName>
    <definedName name="P_Z_1_N_INTITULE_DEPENSES_DEVIS_DEFAUT" localSheetId="10">#REF!</definedName>
    <definedName name="P_Z_1_N_INTITULE_DEPENSES_DEVIS_DEFAUT" localSheetId="12">#REF!</definedName>
    <definedName name="P_Z_1_N_INTITULE_DEPENSES_DEVIS_DEFAUT">#REF!</definedName>
    <definedName name="P_Z_1_N_INTITULE_DEPENSES_DEVIS_STANDARD" localSheetId="8">#REF!</definedName>
    <definedName name="P_Z_1_N_INTITULE_DEPENSES_DEVIS_STANDARD" localSheetId="10">#REF!</definedName>
    <definedName name="P_Z_1_N_INTITULE_DEPENSES_DEVIS_STANDARD" localSheetId="12">#REF!</definedName>
    <definedName name="P_Z_1_N_INTITULE_DEPENSES_DEVIS_STANDARD">#REF!</definedName>
    <definedName name="P_Z_1_R_LIBELLES_DESCRIPTIONS" localSheetId="8">#REF!</definedName>
    <definedName name="P_Z_1_R_LIBELLES_DESCRIPTIONS" localSheetId="10">#REF!</definedName>
    <definedName name="P_Z_1_R_LIBELLES_DESCRIPTIONS" localSheetId="12">#REF!</definedName>
    <definedName name="P_Z_1_R_LIBELLES_DESCRIPTIONS">#REF!</definedName>
    <definedName name="P_Z_1_R_LIBELLES_DESCRIPTIONS_1" localSheetId="8">#REF!</definedName>
    <definedName name="P_Z_1_R_LIBELLES_DESCRIPTIONS_1" localSheetId="10">#REF!</definedName>
    <definedName name="P_Z_1_R_LIBELLES_DESCRIPTIONS_1" localSheetId="12">#REF!</definedName>
    <definedName name="P_Z_1_R_LIBELLES_DESCRIPTIONS_1">#REF!</definedName>
    <definedName name="P_Z_1_R_LIBELLES_DESCRIPTIONS_10" localSheetId="8">#REF!</definedName>
    <definedName name="P_Z_1_R_LIBELLES_DESCRIPTIONS_10" localSheetId="10">#REF!</definedName>
    <definedName name="P_Z_1_R_LIBELLES_DESCRIPTIONS_10" localSheetId="12">#REF!</definedName>
    <definedName name="P_Z_1_R_LIBELLES_DESCRIPTIONS_10">#REF!</definedName>
    <definedName name="P_Z_1_R_LIBELLES_DESCRIPTIONS_11" localSheetId="8">#REF!</definedName>
    <definedName name="P_Z_1_R_LIBELLES_DESCRIPTIONS_11" localSheetId="10">#REF!</definedName>
    <definedName name="P_Z_1_R_LIBELLES_DESCRIPTIONS_11" localSheetId="12">#REF!</definedName>
    <definedName name="P_Z_1_R_LIBELLES_DESCRIPTIONS_11">#REF!</definedName>
    <definedName name="P_Z_1_R_LIBELLES_DESCRIPTIONS_12" localSheetId="8">#REF!</definedName>
    <definedName name="P_Z_1_R_LIBELLES_DESCRIPTIONS_12" localSheetId="10">#REF!</definedName>
    <definedName name="P_Z_1_R_LIBELLES_DESCRIPTIONS_12" localSheetId="12">#REF!</definedName>
    <definedName name="P_Z_1_R_LIBELLES_DESCRIPTIONS_12">#REF!</definedName>
    <definedName name="P_Z_1_R_LIBELLES_DESCRIPTIONS_13" localSheetId="8">#REF!</definedName>
    <definedName name="P_Z_1_R_LIBELLES_DESCRIPTIONS_13" localSheetId="10">#REF!</definedName>
    <definedName name="P_Z_1_R_LIBELLES_DESCRIPTIONS_13" localSheetId="12">#REF!</definedName>
    <definedName name="P_Z_1_R_LIBELLES_DESCRIPTIONS_13">#REF!</definedName>
    <definedName name="P_Z_1_R_LIBELLES_DESCRIPTIONS_14" localSheetId="8">#REF!</definedName>
    <definedName name="P_Z_1_R_LIBELLES_DESCRIPTIONS_14" localSheetId="10">#REF!</definedName>
    <definedName name="P_Z_1_R_LIBELLES_DESCRIPTIONS_14" localSheetId="12">#REF!</definedName>
    <definedName name="P_Z_1_R_LIBELLES_DESCRIPTIONS_14">#REF!</definedName>
    <definedName name="P_Z_1_R_LIBELLES_DESCRIPTIONS_15" localSheetId="8">#REF!</definedName>
    <definedName name="P_Z_1_R_LIBELLES_DESCRIPTIONS_15" localSheetId="10">#REF!</definedName>
    <definedName name="P_Z_1_R_LIBELLES_DESCRIPTIONS_15" localSheetId="12">#REF!</definedName>
    <definedName name="P_Z_1_R_LIBELLES_DESCRIPTIONS_15">#REF!</definedName>
    <definedName name="P_Z_1_R_LIBELLES_DESCRIPTIONS_16" localSheetId="8">#REF!</definedName>
    <definedName name="P_Z_1_R_LIBELLES_DESCRIPTIONS_16" localSheetId="10">#REF!</definedName>
    <definedName name="P_Z_1_R_LIBELLES_DESCRIPTIONS_16" localSheetId="12">#REF!</definedName>
    <definedName name="P_Z_1_R_LIBELLES_DESCRIPTIONS_16">#REF!</definedName>
    <definedName name="P_Z_1_R_LIBELLES_DESCRIPTIONS_17" localSheetId="8">#REF!</definedName>
    <definedName name="P_Z_1_R_LIBELLES_DESCRIPTIONS_17" localSheetId="10">#REF!</definedName>
    <definedName name="P_Z_1_R_LIBELLES_DESCRIPTIONS_17" localSheetId="12">#REF!</definedName>
    <definedName name="P_Z_1_R_LIBELLES_DESCRIPTIONS_17">#REF!</definedName>
    <definedName name="P_Z_1_R_LIBELLES_DESCRIPTIONS_18" localSheetId="8">#REF!</definedName>
    <definedName name="P_Z_1_R_LIBELLES_DESCRIPTIONS_18" localSheetId="10">#REF!</definedName>
    <definedName name="P_Z_1_R_LIBELLES_DESCRIPTIONS_18" localSheetId="12">#REF!</definedName>
    <definedName name="P_Z_1_R_LIBELLES_DESCRIPTIONS_18">#REF!</definedName>
    <definedName name="P_Z_1_R_LIBELLES_DESCRIPTIONS_19" localSheetId="8">#REF!</definedName>
    <definedName name="P_Z_1_R_LIBELLES_DESCRIPTIONS_19" localSheetId="10">#REF!</definedName>
    <definedName name="P_Z_1_R_LIBELLES_DESCRIPTIONS_19" localSheetId="12">#REF!</definedName>
    <definedName name="P_Z_1_R_LIBELLES_DESCRIPTIONS_19">#REF!</definedName>
    <definedName name="P_Z_1_R_LIBELLES_DESCRIPTIONS_2" localSheetId="8">#REF!</definedName>
    <definedName name="P_Z_1_R_LIBELLES_DESCRIPTIONS_2" localSheetId="10">#REF!</definedName>
    <definedName name="P_Z_1_R_LIBELLES_DESCRIPTIONS_2" localSheetId="12">#REF!</definedName>
    <definedName name="P_Z_1_R_LIBELLES_DESCRIPTIONS_2">#REF!</definedName>
    <definedName name="P_Z_1_R_LIBELLES_DESCRIPTIONS_20" localSheetId="8">#REF!</definedName>
    <definedName name="P_Z_1_R_LIBELLES_DESCRIPTIONS_20" localSheetId="10">#REF!</definedName>
    <definedName name="P_Z_1_R_LIBELLES_DESCRIPTIONS_20" localSheetId="12">#REF!</definedName>
    <definedName name="P_Z_1_R_LIBELLES_DESCRIPTIONS_20">#REF!</definedName>
    <definedName name="P_Z_1_R_LIBELLES_DESCRIPTIONS_3" localSheetId="8">#REF!</definedName>
    <definedName name="P_Z_1_R_LIBELLES_DESCRIPTIONS_3" localSheetId="10">#REF!</definedName>
    <definedName name="P_Z_1_R_LIBELLES_DESCRIPTIONS_3" localSheetId="12">#REF!</definedName>
    <definedName name="P_Z_1_R_LIBELLES_DESCRIPTIONS_3">#REF!</definedName>
    <definedName name="P_Z_1_R_LIBELLES_DESCRIPTIONS_4" localSheetId="8">#REF!</definedName>
    <definedName name="P_Z_1_R_LIBELLES_DESCRIPTIONS_4" localSheetId="10">#REF!</definedName>
    <definedName name="P_Z_1_R_LIBELLES_DESCRIPTIONS_4" localSheetId="12">#REF!</definedName>
    <definedName name="P_Z_1_R_LIBELLES_DESCRIPTIONS_4">#REF!</definedName>
    <definedName name="P_Z_1_R_LIBELLES_DESCRIPTIONS_5" localSheetId="8">#REF!</definedName>
    <definedName name="P_Z_1_R_LIBELLES_DESCRIPTIONS_5" localSheetId="10">#REF!</definedName>
    <definedName name="P_Z_1_R_LIBELLES_DESCRIPTIONS_5" localSheetId="12">#REF!</definedName>
    <definedName name="P_Z_1_R_LIBELLES_DESCRIPTIONS_5">#REF!</definedName>
    <definedName name="P_Z_1_R_LIBELLES_DESCRIPTIONS_6" localSheetId="8">#REF!</definedName>
    <definedName name="P_Z_1_R_LIBELLES_DESCRIPTIONS_6" localSheetId="10">#REF!</definedName>
    <definedName name="P_Z_1_R_LIBELLES_DESCRIPTIONS_6" localSheetId="12">#REF!</definedName>
    <definedName name="P_Z_1_R_LIBELLES_DESCRIPTIONS_6">#REF!</definedName>
    <definedName name="P_Z_1_R_LIBELLES_DESCRIPTIONS_7" localSheetId="8">#REF!</definedName>
    <definedName name="P_Z_1_R_LIBELLES_DESCRIPTIONS_7" localSheetId="10">#REF!</definedName>
    <definedName name="P_Z_1_R_LIBELLES_DESCRIPTIONS_7" localSheetId="12">#REF!</definedName>
    <definedName name="P_Z_1_R_LIBELLES_DESCRIPTIONS_7">#REF!</definedName>
    <definedName name="P_Z_1_R_LIBELLES_DESCRIPTIONS_8" localSheetId="8">#REF!</definedName>
    <definedName name="P_Z_1_R_LIBELLES_DESCRIPTIONS_8" localSheetId="10">#REF!</definedName>
    <definedName name="P_Z_1_R_LIBELLES_DESCRIPTIONS_8" localSheetId="12">#REF!</definedName>
    <definedName name="P_Z_1_R_LIBELLES_DESCRIPTIONS_8">#REF!</definedName>
    <definedName name="P_Z_1_R_LIBELLES_DESCRIPTIONS_9" localSheetId="8">#REF!</definedName>
    <definedName name="P_Z_1_R_LIBELLES_DESCRIPTIONS_9" localSheetId="10">#REF!</definedName>
    <definedName name="P_Z_1_R_LIBELLES_DESCRIPTIONS_9" localSheetId="12">#REF!</definedName>
    <definedName name="P_Z_1_R_LIBELLES_DESCRIPTIONS_9">#REF!</definedName>
    <definedName name="P_Z_1_R_LIBELLES_POSTES" localSheetId="8">#REF!</definedName>
    <definedName name="P_Z_1_R_LIBELLES_POSTES" localSheetId="10">#REF!</definedName>
    <definedName name="P_Z_1_R_LIBELLES_POSTES" localSheetId="12">#REF!</definedName>
    <definedName name="P_Z_1_R_LIBELLES_POSTES">#REF!</definedName>
    <definedName name="P_Z_1_R_LIBELLES_POSTES_1" localSheetId="8">#REF!</definedName>
    <definedName name="P_Z_1_R_LIBELLES_POSTES_1" localSheetId="10">#REF!</definedName>
    <definedName name="P_Z_1_R_LIBELLES_POSTES_1" localSheetId="12">#REF!</definedName>
    <definedName name="P_Z_1_R_LIBELLES_POSTES_1">#REF!</definedName>
    <definedName name="P_Z_1_R_LIBELLES_POSTES_10" localSheetId="8">#REF!</definedName>
    <definedName name="P_Z_1_R_LIBELLES_POSTES_10" localSheetId="10">#REF!</definedName>
    <definedName name="P_Z_1_R_LIBELLES_POSTES_10" localSheetId="12">#REF!</definedName>
    <definedName name="P_Z_1_R_LIBELLES_POSTES_10">#REF!</definedName>
    <definedName name="P_Z_1_R_LIBELLES_POSTES_11" localSheetId="8">#REF!</definedName>
    <definedName name="P_Z_1_R_LIBELLES_POSTES_11" localSheetId="10">#REF!</definedName>
    <definedName name="P_Z_1_R_LIBELLES_POSTES_11" localSheetId="12">#REF!</definedName>
    <definedName name="P_Z_1_R_LIBELLES_POSTES_11">#REF!</definedName>
    <definedName name="P_Z_1_R_LIBELLES_POSTES_12" localSheetId="8">#REF!</definedName>
    <definedName name="P_Z_1_R_LIBELLES_POSTES_12" localSheetId="10">#REF!</definedName>
    <definedName name="P_Z_1_R_LIBELLES_POSTES_12" localSheetId="12">#REF!</definedName>
    <definedName name="P_Z_1_R_LIBELLES_POSTES_12">#REF!</definedName>
    <definedName name="P_Z_1_R_LIBELLES_POSTES_13" localSheetId="8">#REF!</definedName>
    <definedName name="P_Z_1_R_LIBELLES_POSTES_13" localSheetId="10">#REF!</definedName>
    <definedName name="P_Z_1_R_LIBELLES_POSTES_13" localSheetId="12">#REF!</definedName>
    <definedName name="P_Z_1_R_LIBELLES_POSTES_13">#REF!</definedName>
    <definedName name="P_Z_1_R_LIBELLES_POSTES_14" localSheetId="8">#REF!</definedName>
    <definedName name="P_Z_1_R_LIBELLES_POSTES_14" localSheetId="10">#REF!</definedName>
    <definedName name="P_Z_1_R_LIBELLES_POSTES_14" localSheetId="12">#REF!</definedName>
    <definedName name="P_Z_1_R_LIBELLES_POSTES_14">#REF!</definedName>
    <definedName name="P_Z_1_R_LIBELLES_POSTES_15" localSheetId="8">#REF!</definedName>
    <definedName name="P_Z_1_R_LIBELLES_POSTES_15" localSheetId="10">#REF!</definedName>
    <definedName name="P_Z_1_R_LIBELLES_POSTES_15" localSheetId="12">#REF!</definedName>
    <definedName name="P_Z_1_R_LIBELLES_POSTES_15">#REF!</definedName>
    <definedName name="P_Z_1_R_LIBELLES_POSTES_16" localSheetId="8">#REF!</definedName>
    <definedName name="P_Z_1_R_LIBELLES_POSTES_16" localSheetId="10">#REF!</definedName>
    <definedName name="P_Z_1_R_LIBELLES_POSTES_16" localSheetId="12">#REF!</definedName>
    <definedName name="P_Z_1_R_LIBELLES_POSTES_16">#REF!</definedName>
    <definedName name="P_Z_1_R_LIBELLES_POSTES_17" localSheetId="8">#REF!</definedName>
    <definedName name="P_Z_1_R_LIBELLES_POSTES_17" localSheetId="10">#REF!</definedName>
    <definedName name="P_Z_1_R_LIBELLES_POSTES_17" localSheetId="12">#REF!</definedName>
    <definedName name="P_Z_1_R_LIBELLES_POSTES_17">#REF!</definedName>
    <definedName name="P_Z_1_R_LIBELLES_POSTES_18" localSheetId="8">#REF!</definedName>
    <definedName name="P_Z_1_R_LIBELLES_POSTES_18" localSheetId="10">#REF!</definedName>
    <definedName name="P_Z_1_R_LIBELLES_POSTES_18" localSheetId="12">#REF!</definedName>
    <definedName name="P_Z_1_R_LIBELLES_POSTES_18">#REF!</definedName>
    <definedName name="P_Z_1_R_LIBELLES_POSTES_19" localSheetId="8">#REF!</definedName>
    <definedName name="P_Z_1_R_LIBELLES_POSTES_19" localSheetId="10">#REF!</definedName>
    <definedName name="P_Z_1_R_LIBELLES_POSTES_19" localSheetId="12">#REF!</definedName>
    <definedName name="P_Z_1_R_LIBELLES_POSTES_19">#REF!</definedName>
    <definedName name="P_Z_1_R_LIBELLES_POSTES_2" localSheetId="8">#REF!</definedName>
    <definedName name="P_Z_1_R_LIBELLES_POSTES_2" localSheetId="10">#REF!</definedName>
    <definedName name="P_Z_1_R_LIBELLES_POSTES_2" localSheetId="12">#REF!</definedName>
    <definedName name="P_Z_1_R_LIBELLES_POSTES_2">#REF!</definedName>
    <definedName name="P_Z_1_R_LIBELLES_POSTES_20" localSheetId="8">#REF!</definedName>
    <definedName name="P_Z_1_R_LIBELLES_POSTES_20" localSheetId="10">#REF!</definedName>
    <definedName name="P_Z_1_R_LIBELLES_POSTES_20" localSheetId="12">#REF!</definedName>
    <definedName name="P_Z_1_R_LIBELLES_POSTES_20">#REF!</definedName>
    <definedName name="P_Z_1_R_LIBELLES_POSTES_3" localSheetId="8">#REF!</definedName>
    <definedName name="P_Z_1_R_LIBELLES_POSTES_3" localSheetId="10">#REF!</definedName>
    <definedName name="P_Z_1_R_LIBELLES_POSTES_3" localSheetId="12">#REF!</definedName>
    <definedName name="P_Z_1_R_LIBELLES_POSTES_3">#REF!</definedName>
    <definedName name="P_Z_1_R_LIBELLES_POSTES_4" localSheetId="8">#REF!</definedName>
    <definedName name="P_Z_1_R_LIBELLES_POSTES_4" localSheetId="10">#REF!</definedName>
    <definedName name="P_Z_1_R_LIBELLES_POSTES_4" localSheetId="12">#REF!</definedName>
    <definedName name="P_Z_1_R_LIBELLES_POSTES_4">#REF!</definedName>
    <definedName name="P_Z_1_R_LIBELLES_POSTES_5" localSheetId="8">#REF!</definedName>
    <definedName name="P_Z_1_R_LIBELLES_POSTES_5" localSheetId="10">#REF!</definedName>
    <definedName name="P_Z_1_R_LIBELLES_POSTES_5" localSheetId="12">#REF!</definedName>
    <definedName name="P_Z_1_R_LIBELLES_POSTES_5">#REF!</definedName>
    <definedName name="P_Z_1_R_LIBELLES_POSTES_6" localSheetId="8">#REF!</definedName>
    <definedName name="P_Z_1_R_LIBELLES_POSTES_6" localSheetId="10">#REF!</definedName>
    <definedName name="P_Z_1_R_LIBELLES_POSTES_6" localSheetId="12">#REF!</definedName>
    <definedName name="P_Z_1_R_LIBELLES_POSTES_6">#REF!</definedName>
    <definedName name="P_Z_1_R_LIBELLES_POSTES_7" localSheetId="8">#REF!</definedName>
    <definedName name="P_Z_1_R_LIBELLES_POSTES_7" localSheetId="10">#REF!</definedName>
    <definedName name="P_Z_1_R_LIBELLES_POSTES_7" localSheetId="12">#REF!</definedName>
    <definedName name="P_Z_1_R_LIBELLES_POSTES_7">#REF!</definedName>
    <definedName name="P_Z_1_R_LIBELLES_POSTES_8" localSheetId="8">#REF!</definedName>
    <definedName name="P_Z_1_R_LIBELLES_POSTES_8" localSheetId="10">#REF!</definedName>
    <definedName name="P_Z_1_R_LIBELLES_POSTES_8" localSheetId="12">#REF!</definedName>
    <definedName name="P_Z_1_R_LIBELLES_POSTES_8">#REF!</definedName>
    <definedName name="P_Z_1_R_LIBELLES_POSTES_9" localSheetId="8">#REF!</definedName>
    <definedName name="P_Z_1_R_LIBELLES_POSTES_9" localSheetId="10">#REF!</definedName>
    <definedName name="P_Z_1_R_LIBELLES_POSTES_9" localSheetId="12">#REF!</definedName>
    <definedName name="P_Z_1_R_LIBELLES_POSTES_9">#REF!</definedName>
    <definedName name="P_Z_1_R_LIBELLES_SOUS_OPERATIONS" localSheetId="8">#REF!</definedName>
    <definedName name="P_Z_1_R_LIBELLES_SOUS_OPERATIONS" localSheetId="10">#REF!</definedName>
    <definedName name="P_Z_1_R_LIBELLES_SOUS_OPERATIONS" localSheetId="12">#REF!</definedName>
    <definedName name="P_Z_1_R_LIBELLES_SOUS_OPERATIONS">#REF!</definedName>
    <definedName name="P_Z_1_R_LIBELLES_SOUS_OPERATIONS_1" localSheetId="8">#REF!</definedName>
    <definedName name="P_Z_1_R_LIBELLES_SOUS_OPERATIONS_1" localSheetId="10">#REF!</definedName>
    <definedName name="P_Z_1_R_LIBELLES_SOUS_OPERATIONS_1" localSheetId="12">#REF!</definedName>
    <definedName name="P_Z_1_R_LIBELLES_SOUS_OPERATIONS_1">#REF!</definedName>
    <definedName name="P_Z_1_R_LIBELLES_SOUS_OPERATIONS_10" localSheetId="8">#REF!</definedName>
    <definedName name="P_Z_1_R_LIBELLES_SOUS_OPERATIONS_10" localSheetId="10">#REF!</definedName>
    <definedName name="P_Z_1_R_LIBELLES_SOUS_OPERATIONS_10" localSheetId="12">#REF!</definedName>
    <definedName name="P_Z_1_R_LIBELLES_SOUS_OPERATIONS_10">#REF!</definedName>
    <definedName name="P_Z_1_R_LIBELLES_SOUS_OPERATIONS_11" localSheetId="8">#REF!</definedName>
    <definedName name="P_Z_1_R_LIBELLES_SOUS_OPERATIONS_11" localSheetId="10">#REF!</definedName>
    <definedName name="P_Z_1_R_LIBELLES_SOUS_OPERATIONS_11" localSheetId="12">#REF!</definedName>
    <definedName name="P_Z_1_R_LIBELLES_SOUS_OPERATIONS_11">#REF!</definedName>
    <definedName name="P_Z_1_R_LIBELLES_SOUS_OPERATIONS_12" localSheetId="8">#REF!</definedName>
    <definedName name="P_Z_1_R_LIBELLES_SOUS_OPERATIONS_12" localSheetId="10">#REF!</definedName>
    <definedName name="P_Z_1_R_LIBELLES_SOUS_OPERATIONS_12" localSheetId="12">#REF!</definedName>
    <definedName name="P_Z_1_R_LIBELLES_SOUS_OPERATIONS_12">#REF!</definedName>
    <definedName name="P_Z_1_R_LIBELLES_SOUS_OPERATIONS_13" localSheetId="8">#REF!</definedName>
    <definedName name="P_Z_1_R_LIBELLES_SOUS_OPERATIONS_13" localSheetId="10">#REF!</definedName>
    <definedName name="P_Z_1_R_LIBELLES_SOUS_OPERATIONS_13" localSheetId="12">#REF!</definedName>
    <definedName name="P_Z_1_R_LIBELLES_SOUS_OPERATIONS_13">#REF!</definedName>
    <definedName name="P_Z_1_R_LIBELLES_SOUS_OPERATIONS_14" localSheetId="8">#REF!</definedName>
    <definedName name="P_Z_1_R_LIBELLES_SOUS_OPERATIONS_14" localSheetId="10">#REF!</definedName>
    <definedName name="P_Z_1_R_LIBELLES_SOUS_OPERATIONS_14" localSheetId="12">#REF!</definedName>
    <definedName name="P_Z_1_R_LIBELLES_SOUS_OPERATIONS_14">#REF!</definedName>
    <definedName name="P_Z_1_R_LIBELLES_SOUS_OPERATIONS_15" localSheetId="8">#REF!</definedName>
    <definedName name="P_Z_1_R_LIBELLES_SOUS_OPERATIONS_15" localSheetId="10">#REF!</definedName>
    <definedName name="P_Z_1_R_LIBELLES_SOUS_OPERATIONS_15" localSheetId="12">#REF!</definedName>
    <definedName name="P_Z_1_R_LIBELLES_SOUS_OPERATIONS_15">#REF!</definedName>
    <definedName name="P_Z_1_R_LIBELLES_SOUS_OPERATIONS_16" localSheetId="8">#REF!</definedName>
    <definedName name="P_Z_1_R_LIBELLES_SOUS_OPERATIONS_16" localSheetId="10">#REF!</definedName>
    <definedName name="P_Z_1_R_LIBELLES_SOUS_OPERATIONS_16" localSheetId="12">#REF!</definedName>
    <definedName name="P_Z_1_R_LIBELLES_SOUS_OPERATIONS_16">#REF!</definedName>
    <definedName name="P_Z_1_R_LIBELLES_SOUS_OPERATIONS_17" localSheetId="8">#REF!</definedName>
    <definedName name="P_Z_1_R_LIBELLES_SOUS_OPERATIONS_17" localSheetId="10">#REF!</definedName>
    <definedName name="P_Z_1_R_LIBELLES_SOUS_OPERATIONS_17" localSheetId="12">#REF!</definedName>
    <definedName name="P_Z_1_R_LIBELLES_SOUS_OPERATIONS_17">#REF!</definedName>
    <definedName name="P_Z_1_R_LIBELLES_SOUS_OPERATIONS_18" localSheetId="8">#REF!</definedName>
    <definedName name="P_Z_1_R_LIBELLES_SOUS_OPERATIONS_18" localSheetId="10">#REF!</definedName>
    <definedName name="P_Z_1_R_LIBELLES_SOUS_OPERATIONS_18" localSheetId="12">#REF!</definedName>
    <definedName name="P_Z_1_R_LIBELLES_SOUS_OPERATIONS_18">#REF!</definedName>
    <definedName name="P_Z_1_R_LIBELLES_SOUS_OPERATIONS_19" localSheetId="8">#REF!</definedName>
    <definedName name="P_Z_1_R_LIBELLES_SOUS_OPERATIONS_19" localSheetId="10">#REF!</definedName>
    <definedName name="P_Z_1_R_LIBELLES_SOUS_OPERATIONS_19" localSheetId="12">#REF!</definedName>
    <definedName name="P_Z_1_R_LIBELLES_SOUS_OPERATIONS_19">#REF!</definedName>
    <definedName name="P_Z_1_R_LIBELLES_SOUS_OPERATIONS_2" localSheetId="8">#REF!</definedName>
    <definedName name="P_Z_1_R_LIBELLES_SOUS_OPERATIONS_2" localSheetId="10">#REF!</definedName>
    <definedName name="P_Z_1_R_LIBELLES_SOUS_OPERATIONS_2" localSheetId="12">#REF!</definedName>
    <definedName name="P_Z_1_R_LIBELLES_SOUS_OPERATIONS_2">#REF!</definedName>
    <definedName name="P_Z_1_R_LIBELLES_SOUS_OPERATIONS_20" localSheetId="8">#REF!</definedName>
    <definedName name="P_Z_1_R_LIBELLES_SOUS_OPERATIONS_20" localSheetId="10">#REF!</definedName>
    <definedName name="P_Z_1_R_LIBELLES_SOUS_OPERATIONS_20" localSheetId="12">#REF!</definedName>
    <definedName name="P_Z_1_R_LIBELLES_SOUS_OPERATIONS_20">#REF!</definedName>
    <definedName name="P_Z_1_R_LIBELLES_SOUS_OPERATIONS_3" localSheetId="8">#REF!</definedName>
    <definedName name="P_Z_1_R_LIBELLES_SOUS_OPERATIONS_3" localSheetId="10">#REF!</definedName>
    <definedName name="P_Z_1_R_LIBELLES_SOUS_OPERATIONS_3" localSheetId="12">#REF!</definedName>
    <definedName name="P_Z_1_R_LIBELLES_SOUS_OPERATIONS_3">#REF!</definedName>
    <definedName name="P_Z_1_R_LIBELLES_SOUS_OPERATIONS_4" localSheetId="8">#REF!</definedName>
    <definedName name="P_Z_1_R_LIBELLES_SOUS_OPERATIONS_4" localSheetId="10">#REF!</definedName>
    <definedName name="P_Z_1_R_LIBELLES_SOUS_OPERATIONS_4" localSheetId="12">#REF!</definedName>
    <definedName name="P_Z_1_R_LIBELLES_SOUS_OPERATIONS_4">#REF!</definedName>
    <definedName name="P_Z_1_R_LIBELLES_SOUS_OPERATIONS_5" localSheetId="8">#REF!</definedName>
    <definedName name="P_Z_1_R_LIBELLES_SOUS_OPERATIONS_5" localSheetId="10">#REF!</definedName>
    <definedName name="P_Z_1_R_LIBELLES_SOUS_OPERATIONS_5" localSheetId="12">#REF!</definedName>
    <definedName name="P_Z_1_R_LIBELLES_SOUS_OPERATIONS_5">#REF!</definedName>
    <definedName name="P_Z_1_R_LIBELLES_SOUS_OPERATIONS_6" localSheetId="8">#REF!</definedName>
    <definedName name="P_Z_1_R_LIBELLES_SOUS_OPERATIONS_6" localSheetId="10">#REF!</definedName>
    <definedName name="P_Z_1_R_LIBELLES_SOUS_OPERATIONS_6" localSheetId="12">#REF!</definedName>
    <definedName name="P_Z_1_R_LIBELLES_SOUS_OPERATIONS_6">#REF!</definedName>
    <definedName name="P_Z_1_R_LIBELLES_SOUS_OPERATIONS_7" localSheetId="8">#REF!</definedName>
    <definedName name="P_Z_1_R_LIBELLES_SOUS_OPERATIONS_7" localSheetId="10">#REF!</definedName>
    <definedName name="P_Z_1_R_LIBELLES_SOUS_OPERATIONS_7" localSheetId="12">#REF!</definedName>
    <definedName name="P_Z_1_R_LIBELLES_SOUS_OPERATIONS_7">#REF!</definedName>
    <definedName name="P_Z_1_R_LIBELLES_SOUS_OPERATIONS_8" localSheetId="8">#REF!</definedName>
    <definedName name="P_Z_1_R_LIBELLES_SOUS_OPERATIONS_8" localSheetId="10">#REF!</definedName>
    <definedName name="P_Z_1_R_LIBELLES_SOUS_OPERATIONS_8" localSheetId="12">#REF!</definedName>
    <definedName name="P_Z_1_R_LIBELLES_SOUS_OPERATIONS_8">#REF!</definedName>
    <definedName name="P_Z_1_R_LIBELLES_SOUS_OPERATIONS_9" localSheetId="8">#REF!</definedName>
    <definedName name="P_Z_1_R_LIBELLES_SOUS_OPERATIONS_9" localSheetId="10">#REF!</definedName>
    <definedName name="P_Z_1_R_LIBELLES_SOUS_OPERATIONS_9" localSheetId="12">#REF!</definedName>
    <definedName name="P_Z_1_R_LIBELLES_SOUS_OPERATIONS_9">#REF!</definedName>
    <definedName name="P_Z_1_R_LIBELLES_UNITES" localSheetId="8">#REF!</definedName>
    <definedName name="P_Z_1_R_LIBELLES_UNITES" localSheetId="10">#REF!</definedName>
    <definedName name="P_Z_1_R_LIBELLES_UNITES" localSheetId="12">#REF!</definedName>
    <definedName name="P_Z_1_R_LIBELLES_UNITES">#REF!</definedName>
    <definedName name="P_Z_1_R_LIBELLES_UNITES_1" localSheetId="8">#REF!</definedName>
    <definedName name="P_Z_1_R_LIBELLES_UNITES_1" localSheetId="10">#REF!</definedName>
    <definedName name="P_Z_1_R_LIBELLES_UNITES_1" localSheetId="12">#REF!</definedName>
    <definedName name="P_Z_1_R_LIBELLES_UNITES_1">#REF!</definedName>
    <definedName name="P_Z_1_R_LIBELLES_UNITES_10" localSheetId="8">#REF!</definedName>
    <definedName name="P_Z_1_R_LIBELLES_UNITES_10" localSheetId="10">#REF!</definedName>
    <definedName name="P_Z_1_R_LIBELLES_UNITES_10" localSheetId="12">#REF!</definedName>
    <definedName name="P_Z_1_R_LIBELLES_UNITES_10">#REF!</definedName>
    <definedName name="P_Z_1_R_LIBELLES_UNITES_11" localSheetId="8">#REF!</definedName>
    <definedName name="P_Z_1_R_LIBELLES_UNITES_11" localSheetId="10">#REF!</definedName>
    <definedName name="P_Z_1_R_LIBELLES_UNITES_11" localSheetId="12">#REF!</definedName>
    <definedName name="P_Z_1_R_LIBELLES_UNITES_11">#REF!</definedName>
    <definedName name="P_Z_1_R_LIBELLES_UNITES_12" localSheetId="8">#REF!</definedName>
    <definedName name="P_Z_1_R_LIBELLES_UNITES_12" localSheetId="10">#REF!</definedName>
    <definedName name="P_Z_1_R_LIBELLES_UNITES_12" localSheetId="12">#REF!</definedName>
    <definedName name="P_Z_1_R_LIBELLES_UNITES_12">#REF!</definedName>
    <definedName name="P_Z_1_R_LIBELLES_UNITES_13" localSheetId="8">#REF!</definedName>
    <definedName name="P_Z_1_R_LIBELLES_UNITES_13" localSheetId="10">#REF!</definedName>
    <definedName name="P_Z_1_R_LIBELLES_UNITES_13" localSheetId="12">#REF!</definedName>
    <definedName name="P_Z_1_R_LIBELLES_UNITES_13">#REF!</definedName>
    <definedName name="P_Z_1_R_LIBELLES_UNITES_14" localSheetId="8">#REF!</definedName>
    <definedName name="P_Z_1_R_LIBELLES_UNITES_14" localSheetId="10">#REF!</definedName>
    <definedName name="P_Z_1_R_LIBELLES_UNITES_14" localSheetId="12">#REF!</definedName>
    <definedName name="P_Z_1_R_LIBELLES_UNITES_14">#REF!</definedName>
    <definedName name="P_Z_1_R_LIBELLES_UNITES_15" localSheetId="8">#REF!</definedName>
    <definedName name="P_Z_1_R_LIBELLES_UNITES_15" localSheetId="10">#REF!</definedName>
    <definedName name="P_Z_1_R_LIBELLES_UNITES_15" localSheetId="12">#REF!</definedName>
    <definedName name="P_Z_1_R_LIBELLES_UNITES_15">#REF!</definedName>
    <definedName name="P_Z_1_R_LIBELLES_UNITES_16" localSheetId="8">#REF!</definedName>
    <definedName name="P_Z_1_R_LIBELLES_UNITES_16" localSheetId="10">#REF!</definedName>
    <definedName name="P_Z_1_R_LIBELLES_UNITES_16" localSheetId="12">#REF!</definedName>
    <definedName name="P_Z_1_R_LIBELLES_UNITES_16">#REF!</definedName>
    <definedName name="P_Z_1_R_LIBELLES_UNITES_17" localSheetId="8">#REF!</definedName>
    <definedName name="P_Z_1_R_LIBELLES_UNITES_17" localSheetId="10">#REF!</definedName>
    <definedName name="P_Z_1_R_LIBELLES_UNITES_17" localSheetId="12">#REF!</definedName>
    <definedName name="P_Z_1_R_LIBELLES_UNITES_17">#REF!</definedName>
    <definedName name="P_Z_1_R_LIBELLES_UNITES_18" localSheetId="8">#REF!</definedName>
    <definedName name="P_Z_1_R_LIBELLES_UNITES_18" localSheetId="10">#REF!</definedName>
    <definedName name="P_Z_1_R_LIBELLES_UNITES_18" localSheetId="12">#REF!</definedName>
    <definedName name="P_Z_1_R_LIBELLES_UNITES_18">#REF!</definedName>
    <definedName name="P_Z_1_R_LIBELLES_UNITES_19" localSheetId="8">#REF!</definedName>
    <definedName name="P_Z_1_R_LIBELLES_UNITES_19" localSheetId="10">#REF!</definedName>
    <definedName name="P_Z_1_R_LIBELLES_UNITES_19" localSheetId="12">#REF!</definedName>
    <definedName name="P_Z_1_R_LIBELLES_UNITES_19">#REF!</definedName>
    <definedName name="P_Z_1_R_LIBELLES_UNITES_2" localSheetId="8">#REF!</definedName>
    <definedName name="P_Z_1_R_LIBELLES_UNITES_2" localSheetId="10">#REF!</definedName>
    <definedName name="P_Z_1_R_LIBELLES_UNITES_2" localSheetId="12">#REF!</definedName>
    <definedName name="P_Z_1_R_LIBELLES_UNITES_2">#REF!</definedName>
    <definedName name="P_Z_1_R_LIBELLES_UNITES_20" localSheetId="8">#REF!</definedName>
    <definedName name="P_Z_1_R_LIBELLES_UNITES_20" localSheetId="10">#REF!</definedName>
    <definedName name="P_Z_1_R_LIBELLES_UNITES_20" localSheetId="12">#REF!</definedName>
    <definedName name="P_Z_1_R_LIBELLES_UNITES_20">#REF!</definedName>
    <definedName name="P_Z_1_R_LIBELLES_UNITES_3" localSheetId="8">#REF!</definedName>
    <definedName name="P_Z_1_R_LIBELLES_UNITES_3" localSheetId="10">#REF!</definedName>
    <definedName name="P_Z_1_R_LIBELLES_UNITES_3" localSheetId="12">#REF!</definedName>
    <definedName name="P_Z_1_R_LIBELLES_UNITES_3">#REF!</definedName>
    <definedName name="P_Z_1_R_LIBELLES_UNITES_4" localSheetId="8">#REF!</definedName>
    <definedName name="P_Z_1_R_LIBELLES_UNITES_4" localSheetId="10">#REF!</definedName>
    <definedName name="P_Z_1_R_LIBELLES_UNITES_4" localSheetId="12">#REF!</definedName>
    <definedName name="P_Z_1_R_LIBELLES_UNITES_4">#REF!</definedName>
    <definedName name="P_Z_1_R_LIBELLES_UNITES_5" localSheetId="8">#REF!</definedName>
    <definedName name="P_Z_1_R_LIBELLES_UNITES_5" localSheetId="10">#REF!</definedName>
    <definedName name="P_Z_1_R_LIBELLES_UNITES_5" localSheetId="12">#REF!</definedName>
    <definedName name="P_Z_1_R_LIBELLES_UNITES_5">#REF!</definedName>
    <definedName name="P_Z_1_R_LIBELLES_UNITES_6" localSheetId="8">#REF!</definedName>
    <definedName name="P_Z_1_R_LIBELLES_UNITES_6" localSheetId="10">#REF!</definedName>
    <definedName name="P_Z_1_R_LIBELLES_UNITES_6" localSheetId="12">#REF!</definedName>
    <definedName name="P_Z_1_R_LIBELLES_UNITES_6">#REF!</definedName>
    <definedName name="P_Z_1_R_LIBELLES_UNITES_7" localSheetId="8">#REF!</definedName>
    <definedName name="P_Z_1_R_LIBELLES_UNITES_7" localSheetId="10">#REF!</definedName>
    <definedName name="P_Z_1_R_LIBELLES_UNITES_7" localSheetId="12">#REF!</definedName>
    <definedName name="P_Z_1_R_LIBELLES_UNITES_7">#REF!</definedName>
    <definedName name="P_Z_1_R_LIBELLES_UNITES_8" localSheetId="8">#REF!</definedName>
    <definedName name="P_Z_1_R_LIBELLES_UNITES_8" localSheetId="10">#REF!</definedName>
    <definedName name="P_Z_1_R_LIBELLES_UNITES_8" localSheetId="12">#REF!</definedName>
    <definedName name="P_Z_1_R_LIBELLES_UNITES_8">#REF!</definedName>
    <definedName name="P_Z_1_R_LIBELLES_UNITES_9" localSheetId="8">#REF!</definedName>
    <definedName name="P_Z_1_R_LIBELLES_UNITES_9" localSheetId="10">#REF!</definedName>
    <definedName name="P_Z_1_R_LIBELLES_UNITES_9" localSheetId="12">#REF!</definedName>
    <definedName name="P_Z_1_R_LIBELLES_UNITES_9">#REF!</definedName>
    <definedName name="P_Z_4_B_COLONNE_COMMENTAIRE" localSheetId="8">#REF!</definedName>
    <definedName name="P_Z_4_B_COLONNE_COMMENTAIRE" localSheetId="10">#REF!</definedName>
    <definedName name="P_Z_4_B_COLONNE_COMMENTAIRE" localSheetId="12">#REF!</definedName>
    <definedName name="P_Z_4_B_COLONNE_COMMENTAIRE">#REF!</definedName>
    <definedName name="P_Z_4_B_COLONNE_COMMENTAIRE_ACTIVE" localSheetId="8">#REF!</definedName>
    <definedName name="P_Z_4_B_COLONNE_COMMENTAIRE_ACTIVE" localSheetId="10">#REF!</definedName>
    <definedName name="P_Z_4_B_COLONNE_COMMENTAIRE_ACTIVE" localSheetId="12">#REF!</definedName>
    <definedName name="P_Z_4_B_COLONNE_COMMENTAIRE_ACTIVE">#REF!</definedName>
    <definedName name="P_Z_4_B_COLONNE_COMMENTAIRE_INDICATION" localSheetId="8">#REF!</definedName>
    <definedName name="P_Z_4_B_COLONNE_COMMENTAIRE_INDICATION" localSheetId="10">#REF!</definedName>
    <definedName name="P_Z_4_B_COLONNE_COMMENTAIRE_INDICATION" localSheetId="12">#REF!</definedName>
    <definedName name="P_Z_4_B_COLONNE_COMMENTAIRE_INDICATION">#REF!</definedName>
    <definedName name="P_Z_4_B_COLONNE_COMMENTAIRE_OBLIGATOIRE" localSheetId="8">#REF!</definedName>
    <definedName name="P_Z_4_B_COLONNE_COMMENTAIRE_OBLIGATOIRE" localSheetId="10">#REF!</definedName>
    <definedName name="P_Z_4_B_COLONNE_COMMENTAIRE_OBLIGATOIRE" localSheetId="12">#REF!</definedName>
    <definedName name="P_Z_4_B_COLONNE_COMMENTAIRE_OBLIGATOIRE">#REF!</definedName>
    <definedName name="P_Z_4_B_COLONNE_COMMENTAIRE_SI_LIBELLE_STANDARD" localSheetId="8">#REF!</definedName>
    <definedName name="P_Z_4_B_COLONNE_COMMENTAIRE_SI_LIBELLE_STANDARD" localSheetId="10">#REF!</definedName>
    <definedName name="P_Z_4_B_COLONNE_COMMENTAIRE_SI_LIBELLE_STANDARD" localSheetId="12">#REF!</definedName>
    <definedName name="P_Z_4_B_COLONNE_COMMENTAIRE_SI_LIBELLE_STANDARD">#REF!</definedName>
    <definedName name="P_Z_4_B_COLONNE_COUT" localSheetId="8">#REF!</definedName>
    <definedName name="P_Z_4_B_COLONNE_COUT" localSheetId="10">#REF!</definedName>
    <definedName name="P_Z_4_B_COLONNE_COUT" localSheetId="12">#REF!</definedName>
    <definedName name="P_Z_4_B_COLONNE_COUT">#REF!</definedName>
    <definedName name="P_Z_4_B_COLONNE_COUT_ELIGIBLE_LIBELLE_STANDARD" localSheetId="8">#REF!</definedName>
    <definedName name="P_Z_4_B_COLONNE_COUT_ELIGIBLE_LIBELLE_STANDARD" localSheetId="10">#REF!</definedName>
    <definedName name="P_Z_4_B_COLONNE_COUT_ELIGIBLE_LIBELLE_STANDARD" localSheetId="12">#REF!</definedName>
    <definedName name="P_Z_4_B_COLONNE_COUT_ELIGIBLE_LIBELLE_STANDARD">#REF!</definedName>
    <definedName name="P_Z_4_B_COLONNE_COUT_INDICATION" localSheetId="8">#REF!</definedName>
    <definedName name="P_Z_4_B_COLONNE_COUT_INDICATION" localSheetId="10">#REF!</definedName>
    <definedName name="P_Z_4_B_COLONNE_COUT_INDICATION" localSheetId="12">#REF!</definedName>
    <definedName name="P_Z_4_B_COLONNE_COUT_INDICATION">#REF!</definedName>
    <definedName name="P_Z_4_B_COLONNE_COUT_RAISONNABLE_LIBELLE_STANDARD" localSheetId="8">#REF!</definedName>
    <definedName name="P_Z_4_B_COLONNE_COUT_RAISONNABLE_LIBELLE_STANDARD" localSheetId="10">#REF!</definedName>
    <definedName name="P_Z_4_B_COLONNE_COUT_RAISONNABLE_LIBELLE_STANDARD" localSheetId="12">#REF!</definedName>
    <definedName name="P_Z_4_B_COLONNE_COUT_RAISONNABLE_LIBELLE_STANDARD">#REF!</definedName>
    <definedName name="P_Z_4_B_COLONNE_DESCRIPTION" localSheetId="8">#REF!</definedName>
    <definedName name="P_Z_4_B_COLONNE_DESCRIPTION" localSheetId="10">#REF!</definedName>
    <definedName name="P_Z_4_B_COLONNE_DESCRIPTION" localSheetId="12">#REF!</definedName>
    <definedName name="P_Z_4_B_COLONNE_DESCRIPTION">#REF!</definedName>
    <definedName name="P_Z_4_B_COLONNE_DESCRIPTION_INDICATION" localSheetId="8">#REF!</definedName>
    <definedName name="P_Z_4_B_COLONNE_DESCRIPTION_INDICATION" localSheetId="10">#REF!</definedName>
    <definedName name="P_Z_4_B_COLONNE_DESCRIPTION_INDICATION" localSheetId="12">#REF!</definedName>
    <definedName name="P_Z_4_B_COLONNE_DESCRIPTION_INDICATION">#REF!</definedName>
    <definedName name="P_Z_4_B_COLONNE_INTERVENANT" localSheetId="8">#REF!</definedName>
    <definedName name="P_Z_4_B_COLONNE_INTERVENANT" localSheetId="10">#REF!</definedName>
    <definedName name="P_Z_4_B_COLONNE_INTERVENANT" localSheetId="12">#REF!</definedName>
    <definedName name="P_Z_4_B_COLONNE_INTERVENANT">#REF!</definedName>
    <definedName name="P_Z_4_B_COLONNE_INTERVENANT_INDICATION" localSheetId="8">#REF!</definedName>
    <definedName name="P_Z_4_B_COLONNE_INTERVENANT_INDICATION" localSheetId="10">#REF!</definedName>
    <definedName name="P_Z_4_B_COLONNE_INTERVENANT_INDICATION" localSheetId="12">#REF!</definedName>
    <definedName name="P_Z_4_B_COLONNE_INTERVENANT_INDICATION">#REF!</definedName>
    <definedName name="P_Z_4_B_COLONNE_JUSTIFICATIF" localSheetId="8">#REF!</definedName>
    <definedName name="P_Z_4_B_COLONNE_JUSTIFICATIF" localSheetId="10">#REF!</definedName>
    <definedName name="P_Z_4_B_COLONNE_JUSTIFICATIF" localSheetId="12">#REF!</definedName>
    <definedName name="P_Z_4_B_COLONNE_JUSTIFICATIF">#REF!</definedName>
    <definedName name="P_Z_4_B_COLONNE_JUSTIFICATIF_INDICATION" localSheetId="8">#REF!</definedName>
    <definedName name="P_Z_4_B_COLONNE_JUSTIFICATIF_INDICATION" localSheetId="10">#REF!</definedName>
    <definedName name="P_Z_4_B_COLONNE_JUSTIFICATIF_INDICATION" localSheetId="12">#REF!</definedName>
    <definedName name="P_Z_4_B_COLONNE_JUSTIFICATIF_INDICATION">#REF!</definedName>
    <definedName name="P_Z_4_B_COLONNE_MOTIFS_INELIGIBILITE_LIBELLE_STANDARD" localSheetId="8">#REF!</definedName>
    <definedName name="P_Z_4_B_COLONNE_MOTIFS_INELIGIBILITE_LIBELLE_STANDARD" localSheetId="10">#REF!</definedName>
    <definedName name="P_Z_4_B_COLONNE_MOTIFS_INELIGIBILITE_LIBELLE_STANDARD" localSheetId="12">#REF!</definedName>
    <definedName name="P_Z_4_B_COLONNE_MOTIFS_INELIGIBILITE_LIBELLE_STANDARD">#REF!</definedName>
    <definedName name="P_Z_4_B_COLONNE_MT_ELIGIBLE_LIBELLE_STANDARD" localSheetId="8">#REF!</definedName>
    <definedName name="P_Z_4_B_COLONNE_MT_ELIGIBLE_LIBELLE_STANDARD" localSheetId="10">#REF!</definedName>
    <definedName name="P_Z_4_B_COLONNE_MT_ELIGIBLE_LIBELLE_STANDARD" localSheetId="12">#REF!</definedName>
    <definedName name="P_Z_4_B_COLONNE_MT_ELIGIBLE_LIBELLE_STANDARD">#REF!</definedName>
    <definedName name="P_Z_4_B_COLONNE_MT_MAX_ACTIVE" localSheetId="8">#REF!</definedName>
    <definedName name="P_Z_4_B_COLONNE_MT_MAX_ACTIVE" localSheetId="10">#REF!</definedName>
    <definedName name="P_Z_4_B_COLONNE_MT_MAX_ACTIVE" localSheetId="12">#REF!</definedName>
    <definedName name="P_Z_4_B_COLONNE_MT_MAX_ACTIVE">#REF!</definedName>
    <definedName name="P_Z_4_B_COLONNE_MT_MAX_LIBELLE_STANDARD" localSheetId="8">#REF!</definedName>
    <definedName name="P_Z_4_B_COLONNE_MT_MAX_LIBELLE_STANDARD" localSheetId="10">#REF!</definedName>
    <definedName name="P_Z_4_B_COLONNE_MT_MAX_LIBELLE_STANDARD" localSheetId="12">#REF!</definedName>
    <definedName name="P_Z_4_B_COLONNE_MT_MAX_LIBELLE_STANDARD">#REF!</definedName>
    <definedName name="P_Z_4_B_COLONNE_MT_PRESENTE" localSheetId="8">#REF!</definedName>
    <definedName name="P_Z_4_B_COLONNE_MT_PRESENTE" localSheetId="10">#REF!</definedName>
    <definedName name="P_Z_4_B_COLONNE_MT_PRESENTE" localSheetId="12">#REF!</definedName>
    <definedName name="P_Z_4_B_COLONNE_MT_PRESENTE">#REF!</definedName>
    <definedName name="P_Z_4_B_COLONNE_MT_PRESENTE_INDICATION" localSheetId="8">#REF!</definedName>
    <definedName name="P_Z_4_B_COLONNE_MT_PRESENTE_INDICATION" localSheetId="10">#REF!</definedName>
    <definedName name="P_Z_4_B_COLONNE_MT_PRESENTE_INDICATION" localSheetId="12">#REF!</definedName>
    <definedName name="P_Z_4_B_COLONNE_MT_PRESENTE_INDICATION">#REF!</definedName>
    <definedName name="P_Z_4_B_COLONNE_MT_RAISONNABLE_LIBELLE_STANDARD" localSheetId="8">#REF!</definedName>
    <definedName name="P_Z_4_B_COLONNE_MT_RAISONNABLE_LIBELLE_STANDARD" localSheetId="10">#REF!</definedName>
    <definedName name="P_Z_4_B_COLONNE_MT_RAISONNABLE_LIBELLE_STANDARD" localSheetId="12">#REF!</definedName>
    <definedName name="P_Z_4_B_COLONNE_MT_RAISONNABLE_LIBELLE_STANDARD">#REF!</definedName>
    <definedName name="P_Z_4_B_COLONNE_POSTE" localSheetId="8">#REF!</definedName>
    <definedName name="P_Z_4_B_COLONNE_POSTE" localSheetId="10">#REF!</definedName>
    <definedName name="P_Z_4_B_COLONNE_POSTE" localSheetId="12">#REF!</definedName>
    <definedName name="P_Z_4_B_COLONNE_POSTE">#REF!</definedName>
    <definedName name="P_Z_4_B_COLONNE_POSTE_INDICATION" localSheetId="8">#REF!</definedName>
    <definedName name="P_Z_4_B_COLONNE_POSTE_INDICATION" localSheetId="10">#REF!</definedName>
    <definedName name="P_Z_4_B_COLONNE_POSTE_INDICATION" localSheetId="12">#REF!</definedName>
    <definedName name="P_Z_4_B_COLONNE_POSTE_INDICATION">#REF!</definedName>
    <definedName name="P_Z_4_B_COLONNE_QUALIFICATION" localSheetId="8">#REF!</definedName>
    <definedName name="P_Z_4_B_COLONNE_QUALIFICATION" localSheetId="10">#REF!</definedName>
    <definedName name="P_Z_4_B_COLONNE_QUALIFICATION" localSheetId="12">#REF!</definedName>
    <definedName name="P_Z_4_B_COLONNE_QUALIFICATION">#REF!</definedName>
    <definedName name="P_Z_4_B_COLONNE_QUALIFICATION_ACTIVE" localSheetId="8">#REF!</definedName>
    <definedName name="P_Z_4_B_COLONNE_QUALIFICATION_ACTIVE" localSheetId="10">#REF!</definedName>
    <definedName name="P_Z_4_B_COLONNE_QUALIFICATION_ACTIVE" localSheetId="12">#REF!</definedName>
    <definedName name="P_Z_4_B_COLONNE_QUALIFICATION_ACTIVE">#REF!</definedName>
    <definedName name="P_Z_4_B_COLONNE_QUALIFICATION_INDICATION" localSheetId="8">#REF!</definedName>
    <definedName name="P_Z_4_B_COLONNE_QUALIFICATION_INDICATION" localSheetId="10">#REF!</definedName>
    <definedName name="P_Z_4_B_COLONNE_QUALIFICATION_INDICATION" localSheetId="12">#REF!</definedName>
    <definedName name="P_Z_4_B_COLONNE_QUALIFICATION_INDICATION">#REF!</definedName>
    <definedName name="P_Z_4_B_COLONNE_QUALIFICATION_OBLIGATOIRE" localSheetId="8">#REF!</definedName>
    <definedName name="P_Z_4_B_COLONNE_QUALIFICATION_OBLIGATOIRE" localSheetId="10">#REF!</definedName>
    <definedName name="P_Z_4_B_COLONNE_QUALIFICATION_OBLIGATOIRE" localSheetId="12">#REF!</definedName>
    <definedName name="P_Z_4_B_COLONNE_QUALIFICATION_OBLIGATOIRE">#REF!</definedName>
    <definedName name="P_Z_4_B_COLONNE_SOUS_OPERATION" localSheetId="8">#REF!</definedName>
    <definedName name="P_Z_4_B_COLONNE_SOUS_OPERATION" localSheetId="10">#REF!</definedName>
    <definedName name="P_Z_4_B_COLONNE_SOUS_OPERATION" localSheetId="12">#REF!</definedName>
    <definedName name="P_Z_4_B_COLONNE_SOUS_OPERATION">#REF!</definedName>
    <definedName name="P_Z_4_B_COLONNE_SOUS_OPERATION_INDICATION" localSheetId="8">#REF!</definedName>
    <definedName name="P_Z_4_B_COLONNE_SOUS_OPERATION_INDICATION" localSheetId="10">#REF!</definedName>
    <definedName name="P_Z_4_B_COLONNE_SOUS_OPERATION_INDICATION" localSheetId="12">#REF!</definedName>
    <definedName name="P_Z_4_B_COLONNE_SOUS_OPERATION_INDICATION">#REF!</definedName>
    <definedName name="P_Z_4_B_COLONNE_TEMPS_OPERATION" localSheetId="8">#REF!</definedName>
    <definedName name="P_Z_4_B_COLONNE_TEMPS_OPERATION" localSheetId="10">#REF!</definedName>
    <definedName name="P_Z_4_B_COLONNE_TEMPS_OPERATION" localSheetId="12">#REF!</definedName>
    <definedName name="P_Z_4_B_COLONNE_TEMPS_OPERATION">#REF!</definedName>
    <definedName name="P_Z_4_B_COLONNE_TEMPS_OPERATION_ELIGIBLE_LIBELLE_STANDARD" localSheetId="8">#REF!</definedName>
    <definedName name="P_Z_4_B_COLONNE_TEMPS_OPERATION_ELIGIBLE_LIBELLE_STANDARD" localSheetId="10">#REF!</definedName>
    <definedName name="P_Z_4_B_COLONNE_TEMPS_OPERATION_ELIGIBLE_LIBELLE_STANDARD" localSheetId="12">#REF!</definedName>
    <definedName name="P_Z_4_B_COLONNE_TEMPS_OPERATION_ELIGIBLE_LIBELLE_STANDARD">#REF!</definedName>
    <definedName name="P_Z_4_B_COLONNE_TEMPS_OPERATION_INDICATION" localSheetId="8">#REF!</definedName>
    <definedName name="P_Z_4_B_COLONNE_TEMPS_OPERATION_INDICATION" localSheetId="10">#REF!</definedName>
    <definedName name="P_Z_4_B_COLONNE_TEMPS_OPERATION_INDICATION" localSheetId="12">#REF!</definedName>
    <definedName name="P_Z_4_B_COLONNE_TEMPS_OPERATION_INDICATION">#REF!</definedName>
    <definedName name="P_Z_4_B_COLONNE_TEMPS_OPERATION_RAISONNABLE_LIBELLE_STANDARD" localSheetId="8">#REF!</definedName>
    <definedName name="P_Z_4_B_COLONNE_TEMPS_OPERATION_RAISONNABLE_LIBELLE_STANDARD" localSheetId="10">#REF!</definedName>
    <definedName name="P_Z_4_B_COLONNE_TEMPS_OPERATION_RAISONNABLE_LIBELLE_STANDARD" localSheetId="12">#REF!</definedName>
    <definedName name="P_Z_4_B_COLONNE_TEMPS_OPERATION_RAISONNABLE_LIBELLE_STANDARD">#REF!</definedName>
    <definedName name="P_Z_4_B_COLONNE_TEMPS_PERIODE" localSheetId="8">#REF!</definedName>
    <definedName name="P_Z_4_B_COLONNE_TEMPS_PERIODE" localSheetId="10">#REF!</definedName>
    <definedName name="P_Z_4_B_COLONNE_TEMPS_PERIODE" localSheetId="12">#REF!</definedName>
    <definedName name="P_Z_4_B_COLONNE_TEMPS_PERIODE">#REF!</definedName>
    <definedName name="P_Z_4_B_COLONNE_TEMPS_PERIODE_ELIGIBLE_LIBELLE_STANDARD" localSheetId="8">#REF!</definedName>
    <definedName name="P_Z_4_B_COLONNE_TEMPS_PERIODE_ELIGIBLE_LIBELLE_STANDARD" localSheetId="10">#REF!</definedName>
    <definedName name="P_Z_4_B_COLONNE_TEMPS_PERIODE_ELIGIBLE_LIBELLE_STANDARD" localSheetId="12">#REF!</definedName>
    <definedName name="P_Z_4_B_COLONNE_TEMPS_PERIODE_ELIGIBLE_LIBELLE_STANDARD">#REF!</definedName>
    <definedName name="P_Z_4_B_COLONNE_TEMPS_PERIODE_INDICATION" localSheetId="8">#REF!</definedName>
    <definedName name="P_Z_4_B_COLONNE_TEMPS_PERIODE_INDICATION" localSheetId="10">#REF!</definedName>
    <definedName name="P_Z_4_B_COLONNE_TEMPS_PERIODE_INDICATION" localSheetId="12">#REF!</definedName>
    <definedName name="P_Z_4_B_COLONNE_TEMPS_PERIODE_INDICATION">#REF!</definedName>
    <definedName name="P_Z_4_B_COLONNE_TEMPS_PERIODE_RAISONNABLE_LIBELLE_STANDARD" localSheetId="8">#REF!</definedName>
    <definedName name="P_Z_4_B_COLONNE_TEMPS_PERIODE_RAISONNABLE_LIBELLE_STANDARD" localSheetId="10">#REF!</definedName>
    <definedName name="P_Z_4_B_COLONNE_TEMPS_PERIODE_RAISONNABLE_LIBELLE_STANDARD" localSheetId="12">#REF!</definedName>
    <definedName name="P_Z_4_B_COLONNE_TEMPS_PERIODE_RAISONNABLE_LIBELLE_STANDARD">#REF!</definedName>
    <definedName name="P_Z_4_B_COLONNE_UNITE" localSheetId="8">#REF!</definedName>
    <definedName name="P_Z_4_B_COLONNE_UNITE" localSheetId="10">#REF!</definedName>
    <definedName name="P_Z_4_B_COLONNE_UNITE" localSheetId="12">#REF!</definedName>
    <definedName name="P_Z_4_B_COLONNE_UNITE">#REF!</definedName>
    <definedName name="P_Z_4_B_COLONNE_UNITE_ELIGIBLE_LIBELLE_STANDARD" localSheetId="8">#REF!</definedName>
    <definedName name="P_Z_4_B_COLONNE_UNITE_ELIGIBLE_LIBELLE_STANDARD" localSheetId="10">#REF!</definedName>
    <definedName name="P_Z_4_B_COLONNE_UNITE_ELIGIBLE_LIBELLE_STANDARD" localSheetId="12">#REF!</definedName>
    <definedName name="P_Z_4_B_COLONNE_UNITE_ELIGIBLE_LIBELLE_STANDARD">#REF!</definedName>
    <definedName name="P_Z_4_B_COLONNE_UNITE_INDICATION" localSheetId="8">#REF!</definedName>
    <definedName name="P_Z_4_B_COLONNE_UNITE_INDICATION" localSheetId="10">#REF!</definedName>
    <definedName name="P_Z_4_B_COLONNE_UNITE_INDICATION" localSheetId="12">#REF!</definedName>
    <definedName name="P_Z_4_B_COLONNE_UNITE_INDICATION">#REF!</definedName>
    <definedName name="P_Z_4_B_EXEMPLE_UTILISATION" localSheetId="8">#REF!</definedName>
    <definedName name="P_Z_4_B_EXEMPLE_UTILISATION" localSheetId="10">#REF!</definedName>
    <definedName name="P_Z_4_B_EXEMPLE_UTILISATION" localSheetId="12">#REF!</definedName>
    <definedName name="P_Z_4_B_EXEMPLE_UTILISATION">#REF!</definedName>
    <definedName name="P_Z_4_B_INTITULE_DEPENSES_REMUNERATION_STANDARD" localSheetId="8">#REF!</definedName>
    <definedName name="P_Z_4_B_INTITULE_DEPENSES_REMUNERATION_STANDARD" localSheetId="10">#REF!</definedName>
    <definedName name="P_Z_4_B_INTITULE_DEPENSES_REMUNERATION_STANDARD" localSheetId="12">#REF!</definedName>
    <definedName name="P_Z_4_B_INTITULE_DEPENSES_REMUNERATION_STANDARD">#REF!</definedName>
    <definedName name="P_Z_4_B_UFD" localSheetId="8">#REF!</definedName>
    <definedName name="P_Z_4_B_UFD" localSheetId="10">#REF!</definedName>
    <definedName name="P_Z_4_B_UFD" localSheetId="12">#REF!</definedName>
    <definedName name="P_Z_4_B_UFD">#REF!</definedName>
    <definedName name="P_Z_4_B_ULD" localSheetId="8">#REF!</definedName>
    <definedName name="P_Z_4_B_ULD" localSheetId="10">#REF!</definedName>
    <definedName name="P_Z_4_B_ULD" localSheetId="12">#REF!</definedName>
    <definedName name="P_Z_4_B_ULD">#REF!</definedName>
    <definedName name="P_Z_4_B_UTILISATION_FILTRE_POSTES" localSheetId="8">#REF!</definedName>
    <definedName name="P_Z_4_B_UTILISATION_FILTRE_POSTES" localSheetId="10">#REF!</definedName>
    <definedName name="P_Z_4_B_UTILISATION_FILTRE_POSTES" localSheetId="12">#REF!</definedName>
    <definedName name="P_Z_4_B_UTILISATION_FILTRE_POSTES">#REF!</definedName>
    <definedName name="P_Z_4_B_UTILISATION_FILTRE_SOUS_OPERATIONS" localSheetId="8">#REF!</definedName>
    <definedName name="P_Z_4_B_UTILISATION_FILTRE_SOUS_OPERATIONS" localSheetId="10">#REF!</definedName>
    <definedName name="P_Z_4_B_UTILISATION_FILTRE_SOUS_OPERATIONS" localSheetId="12">#REF!</definedName>
    <definedName name="P_Z_4_B_UTILISATION_FILTRE_SOUS_OPERATIONS">#REF!</definedName>
    <definedName name="P_Z_4_B_UTILISATION_FILTRE_UNITES" localSheetId="8">#REF!</definedName>
    <definedName name="P_Z_4_B_UTILISATION_FILTRE_UNITES" localSheetId="10">#REF!</definedName>
    <definedName name="P_Z_4_B_UTILISATION_FILTRE_UNITES" localSheetId="12">#REF!</definedName>
    <definedName name="P_Z_4_B_UTILISATION_FILTRE_UNITES">#REF!</definedName>
    <definedName name="P_Z_4_N_COLONNE_COMMENTAIRE_INDICATION_SPECIFIQUE" localSheetId="8">#REF!</definedName>
    <definedName name="P_Z_4_N_COLONNE_COMMENTAIRE_INDICATION_SPECIFIQUE" localSheetId="10">#REF!</definedName>
    <definedName name="P_Z_4_N_COLONNE_COMMENTAIRE_INDICATION_SPECIFIQUE" localSheetId="12">#REF!</definedName>
    <definedName name="P_Z_4_N_COLONNE_COMMENTAIRE_INDICATION_SPECIFIQUE">#REF!</definedName>
    <definedName name="P_Z_4_N_COLONNE_COMMENTAIRE_INDICATION_STANDARD" localSheetId="8">#REF!</definedName>
    <definedName name="P_Z_4_N_COLONNE_COMMENTAIRE_INDICATION_STANDARD" localSheetId="10">#REF!</definedName>
    <definedName name="P_Z_4_N_COLONNE_COMMENTAIRE_INDICATION_STANDARD" localSheetId="12">#REF!</definedName>
    <definedName name="P_Z_4_N_COLONNE_COMMENTAIRE_INDICATION_STANDARD">#REF!</definedName>
    <definedName name="P_Z_4_N_COLONNE_COMMENTAIRE_SI_LIBELLE_DEFAUT" localSheetId="8">#REF!</definedName>
    <definedName name="P_Z_4_N_COLONNE_COMMENTAIRE_SI_LIBELLE_DEFAUT" localSheetId="10">#REF!</definedName>
    <definedName name="P_Z_4_N_COLONNE_COMMENTAIRE_SI_LIBELLE_DEFAUT" localSheetId="12">#REF!</definedName>
    <definedName name="P_Z_4_N_COLONNE_COMMENTAIRE_SI_LIBELLE_DEFAUT">#REF!</definedName>
    <definedName name="P_Z_4_N_COLONNE_COMMENTAIRE_SI_LIBELLE_SPECIFIQUE" localSheetId="8">#REF!</definedName>
    <definedName name="P_Z_4_N_COLONNE_COMMENTAIRE_SI_LIBELLE_SPECIFIQUE" localSheetId="10">#REF!</definedName>
    <definedName name="P_Z_4_N_COLONNE_COMMENTAIRE_SI_LIBELLE_SPECIFIQUE" localSheetId="12">#REF!</definedName>
    <definedName name="P_Z_4_N_COLONNE_COMMENTAIRE_SI_LIBELLE_SPECIFIQUE">#REF!</definedName>
    <definedName name="P_Z_4_N_COLONNE_COMMENTAIRE_SPECIFIQUE" localSheetId="8">#REF!</definedName>
    <definedName name="P_Z_4_N_COLONNE_COMMENTAIRE_SPECIFIQUE" localSheetId="10">#REF!</definedName>
    <definedName name="P_Z_4_N_COLONNE_COMMENTAIRE_SPECIFIQUE" localSheetId="12">#REF!</definedName>
    <definedName name="P_Z_4_N_COLONNE_COMMENTAIRE_SPECIFIQUE">#REF!</definedName>
    <definedName name="P_Z_4_N_COLONNE_COMMENTAIRE_STANDARD" localSheetId="8">#REF!</definedName>
    <definedName name="P_Z_4_N_COLONNE_COMMENTAIRE_STANDARD" localSheetId="10">#REF!</definedName>
    <definedName name="P_Z_4_N_COLONNE_COMMENTAIRE_STANDARD" localSheetId="12">#REF!</definedName>
    <definedName name="P_Z_4_N_COLONNE_COMMENTAIRE_STANDARD">#REF!</definedName>
    <definedName name="P_Z_4_N_COLONNE_COUT_ELIGIBLE_LIBELLE_DEFAUT" localSheetId="8">#REF!</definedName>
    <definedName name="P_Z_4_N_COLONNE_COUT_ELIGIBLE_LIBELLE_DEFAUT" localSheetId="10">#REF!</definedName>
    <definedName name="P_Z_4_N_COLONNE_COUT_ELIGIBLE_LIBELLE_DEFAUT" localSheetId="12">#REF!</definedName>
    <definedName name="P_Z_4_N_COLONNE_COUT_ELIGIBLE_LIBELLE_DEFAUT">#REF!</definedName>
    <definedName name="P_Z_4_N_COLONNE_COUT_ELIGIBLE_LIBELLE_SPECIFIQUE" localSheetId="8">#REF!</definedName>
    <definedName name="P_Z_4_N_COLONNE_COUT_ELIGIBLE_LIBELLE_SPECIFIQUE" localSheetId="10">#REF!</definedName>
    <definedName name="P_Z_4_N_COLONNE_COUT_ELIGIBLE_LIBELLE_SPECIFIQUE" localSheetId="12">#REF!</definedName>
    <definedName name="P_Z_4_N_COLONNE_COUT_ELIGIBLE_LIBELLE_SPECIFIQUE">#REF!</definedName>
    <definedName name="P_Z_4_N_COLONNE_COUT_INDICATION_SPECIFIQUE" localSheetId="8">#REF!</definedName>
    <definedName name="P_Z_4_N_COLONNE_COUT_INDICATION_SPECIFIQUE" localSheetId="10">#REF!</definedName>
    <definedName name="P_Z_4_N_COLONNE_COUT_INDICATION_SPECIFIQUE" localSheetId="12">#REF!</definedName>
    <definedName name="P_Z_4_N_COLONNE_COUT_INDICATION_SPECIFIQUE">#REF!</definedName>
    <definedName name="P_Z_4_N_COLONNE_COUT_INDICATION_STANDARD" localSheetId="8">#REF!</definedName>
    <definedName name="P_Z_4_N_COLONNE_COUT_INDICATION_STANDARD" localSheetId="10">#REF!</definedName>
    <definedName name="P_Z_4_N_COLONNE_COUT_INDICATION_STANDARD" localSheetId="12">#REF!</definedName>
    <definedName name="P_Z_4_N_COLONNE_COUT_INDICATION_STANDARD">#REF!</definedName>
    <definedName name="P_Z_4_N_COLONNE_COUT_RAISONNABLE_LIBELLE_DEFAUT" localSheetId="8">#REF!</definedName>
    <definedName name="P_Z_4_N_COLONNE_COUT_RAISONNABLE_LIBELLE_DEFAUT" localSheetId="10">#REF!</definedName>
    <definedName name="P_Z_4_N_COLONNE_COUT_RAISONNABLE_LIBELLE_DEFAUT" localSheetId="12">#REF!</definedName>
    <definedName name="P_Z_4_N_COLONNE_COUT_RAISONNABLE_LIBELLE_DEFAUT">#REF!</definedName>
    <definedName name="P_Z_4_N_COLONNE_COUT_RAISONNABLE_LIBELLE_SPECIFIQUE" localSheetId="8">#REF!</definedName>
    <definedName name="P_Z_4_N_COLONNE_COUT_RAISONNABLE_LIBELLE_SPECIFIQUE" localSheetId="10">#REF!</definedName>
    <definedName name="P_Z_4_N_COLONNE_COUT_RAISONNABLE_LIBELLE_SPECIFIQUE" localSheetId="12">#REF!</definedName>
    <definedName name="P_Z_4_N_COLONNE_COUT_RAISONNABLE_LIBELLE_SPECIFIQUE">#REF!</definedName>
    <definedName name="P_Z_4_N_COLONNE_COUT_SPECIFIQUE" localSheetId="8">#REF!</definedName>
    <definedName name="P_Z_4_N_COLONNE_COUT_SPECIFIQUE" localSheetId="10">#REF!</definedName>
    <definedName name="P_Z_4_N_COLONNE_COUT_SPECIFIQUE" localSheetId="12">#REF!</definedName>
    <definedName name="P_Z_4_N_COLONNE_COUT_SPECIFIQUE">#REF!</definedName>
    <definedName name="P_Z_4_N_COLONNE_COUT_STANDARD" localSheetId="8">#REF!</definedName>
    <definedName name="P_Z_4_N_COLONNE_COUT_STANDARD" localSheetId="10">#REF!</definedName>
    <definedName name="P_Z_4_N_COLONNE_COUT_STANDARD" localSheetId="12">#REF!</definedName>
    <definedName name="P_Z_4_N_COLONNE_COUT_STANDARD">#REF!</definedName>
    <definedName name="P_Z_4_N_COLONNE_DESCRIPTION_INDICATION_SPECIFIQUE" localSheetId="8">#REF!</definedName>
    <definedName name="P_Z_4_N_COLONNE_DESCRIPTION_INDICATION_SPECIFIQUE" localSheetId="10">#REF!</definedName>
    <definedName name="P_Z_4_N_COLONNE_DESCRIPTION_INDICATION_SPECIFIQUE" localSheetId="12">#REF!</definedName>
    <definedName name="P_Z_4_N_COLONNE_DESCRIPTION_INDICATION_SPECIFIQUE">#REF!</definedName>
    <definedName name="P_Z_4_N_COLONNE_DESCRIPTION_INDICATION_STANDARD" localSheetId="8">#REF!</definedName>
    <definedName name="P_Z_4_N_COLONNE_DESCRIPTION_INDICATION_STANDARD" localSheetId="10">#REF!</definedName>
    <definedName name="P_Z_4_N_COLONNE_DESCRIPTION_INDICATION_STANDARD" localSheetId="12">#REF!</definedName>
    <definedName name="P_Z_4_N_COLONNE_DESCRIPTION_INDICATION_STANDARD">#REF!</definedName>
    <definedName name="P_Z_4_N_COLONNE_DESCRIPTION_SPECIFIQUE" localSheetId="8">#REF!</definedName>
    <definedName name="P_Z_4_N_COLONNE_DESCRIPTION_SPECIFIQUE" localSheetId="10">#REF!</definedName>
    <definedName name="P_Z_4_N_COLONNE_DESCRIPTION_SPECIFIQUE" localSheetId="12">#REF!</definedName>
    <definedName name="P_Z_4_N_COLONNE_DESCRIPTION_SPECIFIQUE">#REF!</definedName>
    <definedName name="P_Z_4_N_COLONNE_DESCRIPTION_STANDARD" localSheetId="8">#REF!</definedName>
    <definedName name="P_Z_4_N_COLONNE_DESCRIPTION_STANDARD" localSheetId="10">#REF!</definedName>
    <definedName name="P_Z_4_N_COLONNE_DESCRIPTION_STANDARD" localSheetId="12">#REF!</definedName>
    <definedName name="P_Z_4_N_COLONNE_DESCRIPTION_STANDARD">#REF!</definedName>
    <definedName name="P_Z_4_N_COLONNE_INTERVENANT_INDICATION_SPECIFIQUE" localSheetId="8">#REF!</definedName>
    <definedName name="P_Z_4_N_COLONNE_INTERVENANT_INDICATION_SPECIFIQUE" localSheetId="10">#REF!</definedName>
    <definedName name="P_Z_4_N_COLONNE_INTERVENANT_INDICATION_SPECIFIQUE" localSheetId="12">#REF!</definedName>
    <definedName name="P_Z_4_N_COLONNE_INTERVENANT_INDICATION_SPECIFIQUE">#REF!</definedName>
    <definedName name="P_Z_4_N_COLONNE_INTERVENANT_INDICATION_STANDARD" localSheetId="8">#REF!</definedName>
    <definedName name="P_Z_4_N_COLONNE_INTERVENANT_INDICATION_STANDARD" localSheetId="10">#REF!</definedName>
    <definedName name="P_Z_4_N_COLONNE_INTERVENANT_INDICATION_STANDARD" localSheetId="12">#REF!</definedName>
    <definedName name="P_Z_4_N_COLONNE_INTERVENANT_INDICATION_STANDARD">#REF!</definedName>
    <definedName name="P_Z_4_N_COLONNE_INTERVENANT_SPECIFIQUE" localSheetId="8">#REF!</definedName>
    <definedName name="P_Z_4_N_COLONNE_INTERVENANT_SPECIFIQUE" localSheetId="10">#REF!</definedName>
    <definedName name="P_Z_4_N_COLONNE_INTERVENANT_SPECIFIQUE" localSheetId="12">#REF!</definedName>
    <definedName name="P_Z_4_N_COLONNE_INTERVENANT_SPECIFIQUE">#REF!</definedName>
    <definedName name="P_Z_4_N_COLONNE_INTERVENANT_STANDARD" localSheetId="8">#REF!</definedName>
    <definedName name="P_Z_4_N_COLONNE_INTERVENANT_STANDARD" localSheetId="10">#REF!</definedName>
    <definedName name="P_Z_4_N_COLONNE_INTERVENANT_STANDARD" localSheetId="12">#REF!</definedName>
    <definedName name="P_Z_4_N_COLONNE_INTERVENANT_STANDARD">#REF!</definedName>
    <definedName name="P_Z_4_N_COLONNE_JUSTIFICATIF_INDICATION_SPECIFIQUE" localSheetId="8">#REF!</definedName>
    <definedName name="P_Z_4_N_COLONNE_JUSTIFICATIF_INDICATION_SPECIFIQUE" localSheetId="10">#REF!</definedName>
    <definedName name="P_Z_4_N_COLONNE_JUSTIFICATIF_INDICATION_SPECIFIQUE" localSheetId="12">#REF!</definedName>
    <definedName name="P_Z_4_N_COLONNE_JUSTIFICATIF_INDICATION_SPECIFIQUE">#REF!</definedName>
    <definedName name="P_Z_4_N_COLONNE_JUSTIFICATIF_INDICATION_STANDARD" localSheetId="8">#REF!</definedName>
    <definedName name="P_Z_4_N_COLONNE_JUSTIFICATIF_INDICATION_STANDARD" localSheetId="10">#REF!</definedName>
    <definedName name="P_Z_4_N_COLONNE_JUSTIFICATIF_INDICATION_STANDARD" localSheetId="12">#REF!</definedName>
    <definedName name="P_Z_4_N_COLONNE_JUSTIFICATIF_INDICATION_STANDARD">#REF!</definedName>
    <definedName name="P_Z_4_N_COLONNE_JUSTIFICATIF_SPECIFIQUE" localSheetId="8">#REF!</definedName>
    <definedName name="P_Z_4_N_COLONNE_JUSTIFICATIF_SPECIFIQUE" localSheetId="10">#REF!</definedName>
    <definedName name="P_Z_4_N_COLONNE_JUSTIFICATIF_SPECIFIQUE" localSheetId="12">#REF!</definedName>
    <definedName name="P_Z_4_N_COLONNE_JUSTIFICATIF_SPECIFIQUE">#REF!</definedName>
    <definedName name="P_Z_4_N_COLONNE_JUSTIFICATIF_STANDARD" localSheetId="8">#REF!</definedName>
    <definedName name="P_Z_4_N_COLONNE_JUSTIFICATIF_STANDARD" localSheetId="10">#REF!</definedName>
    <definedName name="P_Z_4_N_COLONNE_JUSTIFICATIF_STANDARD" localSheetId="12">#REF!</definedName>
    <definedName name="P_Z_4_N_COLONNE_JUSTIFICATIF_STANDARD">#REF!</definedName>
    <definedName name="P_Z_4_N_COLONNE_MOTIFS_INELIGIBILITE_LIBELLE_DEFAUT" localSheetId="8">#REF!</definedName>
    <definedName name="P_Z_4_N_COLONNE_MOTIFS_INELIGIBILITE_LIBELLE_DEFAUT" localSheetId="10">#REF!</definedName>
    <definedName name="P_Z_4_N_COLONNE_MOTIFS_INELIGIBILITE_LIBELLE_DEFAUT" localSheetId="12">#REF!</definedName>
    <definedName name="P_Z_4_N_COLONNE_MOTIFS_INELIGIBILITE_LIBELLE_DEFAUT">#REF!</definedName>
    <definedName name="P_Z_4_N_COLONNE_MOTIFS_INELIGIBILITE_LIBELLE_SPECIFIQUE" localSheetId="8">#REF!</definedName>
    <definedName name="P_Z_4_N_COLONNE_MOTIFS_INELIGIBILITE_LIBELLE_SPECIFIQUE" localSheetId="10">#REF!</definedName>
    <definedName name="P_Z_4_N_COLONNE_MOTIFS_INELIGIBILITE_LIBELLE_SPECIFIQUE" localSheetId="12">#REF!</definedName>
    <definedName name="P_Z_4_N_COLONNE_MOTIFS_INELIGIBILITE_LIBELLE_SPECIFIQUE">#REF!</definedName>
    <definedName name="P_Z_4_N_COLONNE_MT_ELIGIBLE_LIBELLE_DEFAUT" localSheetId="8">#REF!</definedName>
    <definedName name="P_Z_4_N_COLONNE_MT_ELIGIBLE_LIBELLE_DEFAUT" localSheetId="10">#REF!</definedName>
    <definedName name="P_Z_4_N_COLONNE_MT_ELIGIBLE_LIBELLE_DEFAUT" localSheetId="12">#REF!</definedName>
    <definedName name="P_Z_4_N_COLONNE_MT_ELIGIBLE_LIBELLE_DEFAUT">#REF!</definedName>
    <definedName name="P_Z_4_N_COLONNE_MT_ELIGIBLE_LIBELLE_SPECIFIQUE" localSheetId="8">#REF!</definedName>
    <definedName name="P_Z_4_N_COLONNE_MT_ELIGIBLE_LIBELLE_SPECIFIQUE" localSheetId="10">#REF!</definedName>
    <definedName name="P_Z_4_N_COLONNE_MT_ELIGIBLE_LIBELLE_SPECIFIQUE" localSheetId="12">#REF!</definedName>
    <definedName name="P_Z_4_N_COLONNE_MT_ELIGIBLE_LIBELLE_SPECIFIQUE">#REF!</definedName>
    <definedName name="P_Z_4_N_COLONNE_MT_MAX_LIBELLE_DEFAUT" localSheetId="8">#REF!</definedName>
    <definedName name="P_Z_4_N_COLONNE_MT_MAX_LIBELLE_DEFAUT" localSheetId="10">#REF!</definedName>
    <definedName name="P_Z_4_N_COLONNE_MT_MAX_LIBELLE_DEFAUT" localSheetId="12">#REF!</definedName>
    <definedName name="P_Z_4_N_COLONNE_MT_MAX_LIBELLE_DEFAUT">#REF!</definedName>
    <definedName name="P_Z_4_N_COLONNE_MT_MAX_LIBELLE_SPECIFIQUE" localSheetId="8">#REF!</definedName>
    <definedName name="P_Z_4_N_COLONNE_MT_MAX_LIBELLE_SPECIFIQUE" localSheetId="10">#REF!</definedName>
    <definedName name="P_Z_4_N_COLONNE_MT_MAX_LIBELLE_SPECIFIQUE" localSheetId="12">#REF!</definedName>
    <definedName name="P_Z_4_N_COLONNE_MT_MAX_LIBELLE_SPECIFIQUE">#REF!</definedName>
    <definedName name="P_Z_4_N_COLONNE_MT_PRESENTE_INDICATION_SPECIFIQUE" localSheetId="8">#REF!</definedName>
    <definedName name="P_Z_4_N_COLONNE_MT_PRESENTE_INDICATION_SPECIFIQUE" localSheetId="10">#REF!</definedName>
    <definedName name="P_Z_4_N_COLONNE_MT_PRESENTE_INDICATION_SPECIFIQUE" localSheetId="12">#REF!</definedName>
    <definedName name="P_Z_4_N_COLONNE_MT_PRESENTE_INDICATION_SPECIFIQUE">#REF!</definedName>
    <definedName name="P_Z_4_N_COLONNE_MT_PRESENTE_INDICATION_STANDARD" localSheetId="8">#REF!</definedName>
    <definedName name="P_Z_4_N_COLONNE_MT_PRESENTE_INDICATION_STANDARD" localSheetId="10">#REF!</definedName>
    <definedName name="P_Z_4_N_COLONNE_MT_PRESENTE_INDICATION_STANDARD" localSheetId="12">#REF!</definedName>
    <definedName name="P_Z_4_N_COLONNE_MT_PRESENTE_INDICATION_STANDARD">#REF!</definedName>
    <definedName name="P_Z_4_N_COLONNE_MT_PRESENTE_SPECIFIQUE" localSheetId="8">#REF!</definedName>
    <definedName name="P_Z_4_N_COLONNE_MT_PRESENTE_SPECIFIQUE" localSheetId="10">#REF!</definedName>
    <definedName name="P_Z_4_N_COLONNE_MT_PRESENTE_SPECIFIQUE" localSheetId="12">#REF!</definedName>
    <definedName name="P_Z_4_N_COLONNE_MT_PRESENTE_SPECIFIQUE">#REF!</definedName>
    <definedName name="P_Z_4_N_COLONNE_MT_PRESENTE_STANDARD" localSheetId="8">#REF!</definedName>
    <definedName name="P_Z_4_N_COLONNE_MT_PRESENTE_STANDARD" localSheetId="10">#REF!</definedName>
    <definedName name="P_Z_4_N_COLONNE_MT_PRESENTE_STANDARD" localSheetId="12">#REF!</definedName>
    <definedName name="P_Z_4_N_COLONNE_MT_PRESENTE_STANDARD">#REF!</definedName>
    <definedName name="P_Z_4_N_COLONNE_MT_RAISONNABLE_LIBELLE_DEFAUT" localSheetId="8">#REF!</definedName>
    <definedName name="P_Z_4_N_COLONNE_MT_RAISONNABLE_LIBELLE_DEFAUT" localSheetId="10">#REF!</definedName>
    <definedName name="P_Z_4_N_COLONNE_MT_RAISONNABLE_LIBELLE_DEFAUT" localSheetId="12">#REF!</definedName>
    <definedName name="P_Z_4_N_COLONNE_MT_RAISONNABLE_LIBELLE_DEFAUT">#REF!</definedName>
    <definedName name="P_Z_4_N_COLONNE_MT_RAISONNABLE_LIBELLE_SPECIFIQUE" localSheetId="8">#REF!</definedName>
    <definedName name="P_Z_4_N_COLONNE_MT_RAISONNABLE_LIBELLE_SPECIFIQUE" localSheetId="10">#REF!</definedName>
    <definedName name="P_Z_4_N_COLONNE_MT_RAISONNABLE_LIBELLE_SPECIFIQUE" localSheetId="12">#REF!</definedName>
    <definedName name="P_Z_4_N_COLONNE_MT_RAISONNABLE_LIBELLE_SPECIFIQUE">#REF!</definedName>
    <definedName name="P_Z_4_N_COLONNE_POSTE_INDICATION_SPECIFIQUE" localSheetId="8">#REF!</definedName>
    <definedName name="P_Z_4_N_COLONNE_POSTE_INDICATION_SPECIFIQUE" localSheetId="10">#REF!</definedName>
    <definedName name="P_Z_4_N_COLONNE_POSTE_INDICATION_SPECIFIQUE" localSheetId="12">#REF!</definedName>
    <definedName name="P_Z_4_N_COLONNE_POSTE_INDICATION_SPECIFIQUE">#REF!</definedName>
    <definedName name="P_Z_4_N_COLONNE_POSTE_INDICATION_STANDARD" localSheetId="8">#REF!</definedName>
    <definedName name="P_Z_4_N_COLONNE_POSTE_INDICATION_STANDARD" localSheetId="10">#REF!</definedName>
    <definedName name="P_Z_4_N_COLONNE_POSTE_INDICATION_STANDARD" localSheetId="12">#REF!</definedName>
    <definedName name="P_Z_4_N_COLONNE_POSTE_INDICATION_STANDARD">#REF!</definedName>
    <definedName name="P_Z_4_N_COLONNE_POSTE_SPECIFIQUE" localSheetId="8">#REF!</definedName>
    <definedName name="P_Z_4_N_COLONNE_POSTE_SPECIFIQUE" localSheetId="10">#REF!</definedName>
    <definedName name="P_Z_4_N_COLONNE_POSTE_SPECIFIQUE" localSheetId="12">#REF!</definedName>
    <definedName name="P_Z_4_N_COLONNE_POSTE_SPECIFIQUE">#REF!</definedName>
    <definedName name="P_Z_4_N_COLONNE_POSTE_STANDARD" localSheetId="8">#REF!</definedName>
    <definedName name="P_Z_4_N_COLONNE_POSTE_STANDARD" localSheetId="10">#REF!</definedName>
    <definedName name="P_Z_4_N_COLONNE_POSTE_STANDARD" localSheetId="12">#REF!</definedName>
    <definedName name="P_Z_4_N_COLONNE_POSTE_STANDARD">#REF!</definedName>
    <definedName name="P_Z_4_N_COLONNE_QUALIFICATION_INDICATION_SPECIFIQUE" localSheetId="8">#REF!</definedName>
    <definedName name="P_Z_4_N_COLONNE_QUALIFICATION_INDICATION_SPECIFIQUE" localSheetId="10">#REF!</definedName>
    <definedName name="P_Z_4_N_COLONNE_QUALIFICATION_INDICATION_SPECIFIQUE" localSheetId="12">#REF!</definedName>
    <definedName name="P_Z_4_N_COLONNE_QUALIFICATION_INDICATION_SPECIFIQUE">#REF!</definedName>
    <definedName name="P_Z_4_N_COLONNE_QUALIFICATION_INDICATION_STANDARD" localSheetId="8">#REF!</definedName>
    <definedName name="P_Z_4_N_COLONNE_QUALIFICATION_INDICATION_STANDARD" localSheetId="10">#REF!</definedName>
    <definedName name="P_Z_4_N_COLONNE_QUALIFICATION_INDICATION_STANDARD" localSheetId="12">#REF!</definedName>
    <definedName name="P_Z_4_N_COLONNE_QUALIFICATION_INDICATION_STANDARD">#REF!</definedName>
    <definedName name="P_Z_4_N_COLONNE_QUALIFICATION_SPECIFIQUE" localSheetId="8">#REF!</definedName>
    <definedName name="P_Z_4_N_COLONNE_QUALIFICATION_SPECIFIQUE" localSheetId="10">#REF!</definedName>
    <definedName name="P_Z_4_N_COLONNE_QUALIFICATION_SPECIFIQUE" localSheetId="12">#REF!</definedName>
    <definedName name="P_Z_4_N_COLONNE_QUALIFICATION_SPECIFIQUE">#REF!</definedName>
    <definedName name="P_Z_4_N_COLONNE_QUALIFICATION_STANDARD" localSheetId="8">#REF!</definedName>
    <definedName name="P_Z_4_N_COLONNE_QUALIFICATION_STANDARD" localSheetId="10">#REF!</definedName>
    <definedName name="P_Z_4_N_COLONNE_QUALIFICATION_STANDARD" localSheetId="12">#REF!</definedName>
    <definedName name="P_Z_4_N_COLONNE_QUALIFICATION_STANDARD">#REF!</definedName>
    <definedName name="P_Z_4_N_COLONNE_SOUS_OPERATION_INDICATION_SPECIFIQUE" localSheetId="8">#REF!</definedName>
    <definedName name="P_Z_4_N_COLONNE_SOUS_OPERATION_INDICATION_SPECIFIQUE" localSheetId="10">#REF!</definedName>
    <definedName name="P_Z_4_N_COLONNE_SOUS_OPERATION_INDICATION_SPECIFIQUE" localSheetId="12">#REF!</definedName>
    <definedName name="P_Z_4_N_COLONNE_SOUS_OPERATION_INDICATION_SPECIFIQUE">#REF!</definedName>
    <definedName name="P_Z_4_N_COLONNE_SOUS_OPERATION_INDICATION_STANDARD" localSheetId="8">#REF!</definedName>
    <definedName name="P_Z_4_N_COLONNE_SOUS_OPERATION_INDICATION_STANDARD" localSheetId="10">#REF!</definedName>
    <definedName name="P_Z_4_N_COLONNE_SOUS_OPERATION_INDICATION_STANDARD" localSheetId="12">#REF!</definedName>
    <definedName name="P_Z_4_N_COLONNE_SOUS_OPERATION_INDICATION_STANDARD">#REF!</definedName>
    <definedName name="P_Z_4_N_COLONNE_SOUS_OPERATION_SPECIFIQUE" localSheetId="8">#REF!</definedName>
    <definedName name="P_Z_4_N_COLONNE_SOUS_OPERATION_SPECIFIQUE" localSheetId="10">#REF!</definedName>
    <definedName name="P_Z_4_N_COLONNE_SOUS_OPERATION_SPECIFIQUE" localSheetId="12">#REF!</definedName>
    <definedName name="P_Z_4_N_COLONNE_SOUS_OPERATION_SPECIFIQUE">#REF!</definedName>
    <definedName name="P_Z_4_N_COLONNE_SOUS_OPERATION_STANDARD" localSheetId="8">#REF!</definedName>
    <definedName name="P_Z_4_N_COLONNE_SOUS_OPERATION_STANDARD" localSheetId="10">#REF!</definedName>
    <definedName name="P_Z_4_N_COLONNE_SOUS_OPERATION_STANDARD" localSheetId="12">#REF!</definedName>
    <definedName name="P_Z_4_N_COLONNE_SOUS_OPERATION_STANDARD">#REF!</definedName>
    <definedName name="P_Z_4_N_COLONNE_TEMPS_OPERATION_ELIGIBLE_LIBELLE_DEFAUT" localSheetId="8">#REF!</definedName>
    <definedName name="P_Z_4_N_COLONNE_TEMPS_OPERATION_ELIGIBLE_LIBELLE_DEFAUT" localSheetId="10">#REF!</definedName>
    <definedName name="P_Z_4_N_COLONNE_TEMPS_OPERATION_ELIGIBLE_LIBELLE_DEFAUT" localSheetId="12">#REF!</definedName>
    <definedName name="P_Z_4_N_COLONNE_TEMPS_OPERATION_ELIGIBLE_LIBELLE_DEFAUT">#REF!</definedName>
    <definedName name="P_Z_4_N_COLONNE_TEMPS_OPERATION_ELIGIBLE_LIBELLE_SPECIFIQUE" localSheetId="8">#REF!</definedName>
    <definedName name="P_Z_4_N_COLONNE_TEMPS_OPERATION_ELIGIBLE_LIBELLE_SPECIFIQUE" localSheetId="10">#REF!</definedName>
    <definedName name="P_Z_4_N_COLONNE_TEMPS_OPERATION_ELIGIBLE_LIBELLE_SPECIFIQUE" localSheetId="12">#REF!</definedName>
    <definedName name="P_Z_4_N_COLONNE_TEMPS_OPERATION_ELIGIBLE_LIBELLE_SPECIFIQUE">#REF!</definedName>
    <definedName name="P_Z_4_N_COLONNE_TEMPS_OPERATION_INDICATION_SPECIFIQUE" localSheetId="8">#REF!</definedName>
    <definedName name="P_Z_4_N_COLONNE_TEMPS_OPERATION_INDICATION_SPECIFIQUE" localSheetId="10">#REF!</definedName>
    <definedName name="P_Z_4_N_COLONNE_TEMPS_OPERATION_INDICATION_SPECIFIQUE" localSheetId="12">#REF!</definedName>
    <definedName name="P_Z_4_N_COLONNE_TEMPS_OPERATION_INDICATION_SPECIFIQUE">#REF!</definedName>
    <definedName name="P_Z_4_N_COLONNE_TEMPS_OPERATION_INDICATION_STANDARD" localSheetId="8">#REF!</definedName>
    <definedName name="P_Z_4_N_COLONNE_TEMPS_OPERATION_INDICATION_STANDARD" localSheetId="10">#REF!</definedName>
    <definedName name="P_Z_4_N_COLONNE_TEMPS_OPERATION_INDICATION_STANDARD" localSheetId="12">#REF!</definedName>
    <definedName name="P_Z_4_N_COLONNE_TEMPS_OPERATION_INDICATION_STANDARD">#REF!</definedName>
    <definedName name="P_Z_4_N_COLONNE_TEMPS_OPERATION_RAISONNABLE_LIBELLE_DEFAUT" localSheetId="8">#REF!</definedName>
    <definedName name="P_Z_4_N_COLONNE_TEMPS_OPERATION_RAISONNABLE_LIBELLE_DEFAUT" localSheetId="10">#REF!</definedName>
    <definedName name="P_Z_4_N_COLONNE_TEMPS_OPERATION_RAISONNABLE_LIBELLE_DEFAUT" localSheetId="12">#REF!</definedName>
    <definedName name="P_Z_4_N_COLONNE_TEMPS_OPERATION_RAISONNABLE_LIBELLE_DEFAUT">#REF!</definedName>
    <definedName name="P_Z_4_N_COLONNE_TEMPS_OPERATION_RAISONNABLE_LIBELLE_SPECIFIQUE" localSheetId="8">#REF!</definedName>
    <definedName name="P_Z_4_N_COLONNE_TEMPS_OPERATION_RAISONNABLE_LIBELLE_SPECIFIQUE" localSheetId="10">#REF!</definedName>
    <definedName name="P_Z_4_N_COLONNE_TEMPS_OPERATION_RAISONNABLE_LIBELLE_SPECIFIQUE" localSheetId="12">#REF!</definedName>
    <definedName name="P_Z_4_N_COLONNE_TEMPS_OPERATION_RAISONNABLE_LIBELLE_SPECIFIQUE">#REF!</definedName>
    <definedName name="P_Z_4_N_COLONNE_TEMPS_OPERATION_SPECIFIQUE" localSheetId="8">#REF!</definedName>
    <definedName name="P_Z_4_N_COLONNE_TEMPS_OPERATION_SPECIFIQUE" localSheetId="10">#REF!</definedName>
    <definedName name="P_Z_4_N_COLONNE_TEMPS_OPERATION_SPECIFIQUE" localSheetId="12">#REF!</definedName>
    <definedName name="P_Z_4_N_COLONNE_TEMPS_OPERATION_SPECIFIQUE">#REF!</definedName>
    <definedName name="P_Z_4_N_COLONNE_TEMPS_OPERATION_STANDARD" localSheetId="8">#REF!</definedName>
    <definedName name="P_Z_4_N_COLONNE_TEMPS_OPERATION_STANDARD" localSheetId="10">#REF!</definedName>
    <definedName name="P_Z_4_N_COLONNE_TEMPS_OPERATION_STANDARD" localSheetId="12">#REF!</definedName>
    <definedName name="P_Z_4_N_COLONNE_TEMPS_OPERATION_STANDARD">#REF!</definedName>
    <definedName name="P_Z_4_N_COLONNE_TEMPS_PERIODE_ELIGIBLE_LIBELLE_DEFAUT" localSheetId="8">#REF!</definedName>
    <definedName name="P_Z_4_N_COLONNE_TEMPS_PERIODE_ELIGIBLE_LIBELLE_DEFAUT" localSheetId="10">#REF!</definedName>
    <definedName name="P_Z_4_N_COLONNE_TEMPS_PERIODE_ELIGIBLE_LIBELLE_DEFAUT" localSheetId="12">#REF!</definedName>
    <definedName name="P_Z_4_N_COLONNE_TEMPS_PERIODE_ELIGIBLE_LIBELLE_DEFAUT">#REF!</definedName>
    <definedName name="P_Z_4_N_COLONNE_TEMPS_PERIODE_ELIGIBLE_LIBELLE_SPECIFIQUE" localSheetId="8">#REF!</definedName>
    <definedName name="P_Z_4_N_COLONNE_TEMPS_PERIODE_ELIGIBLE_LIBELLE_SPECIFIQUE" localSheetId="10">#REF!</definedName>
    <definedName name="P_Z_4_N_COLONNE_TEMPS_PERIODE_ELIGIBLE_LIBELLE_SPECIFIQUE" localSheetId="12">#REF!</definedName>
    <definedName name="P_Z_4_N_COLONNE_TEMPS_PERIODE_ELIGIBLE_LIBELLE_SPECIFIQUE">#REF!</definedName>
    <definedName name="P_Z_4_N_COLONNE_TEMPS_PERIODE_INDICATION_SPECIFIQUE" localSheetId="8">#REF!</definedName>
    <definedName name="P_Z_4_N_COLONNE_TEMPS_PERIODE_INDICATION_SPECIFIQUE" localSheetId="10">#REF!</definedName>
    <definedName name="P_Z_4_N_COLONNE_TEMPS_PERIODE_INDICATION_SPECIFIQUE" localSheetId="12">#REF!</definedName>
    <definedName name="P_Z_4_N_COLONNE_TEMPS_PERIODE_INDICATION_SPECIFIQUE">#REF!</definedName>
    <definedName name="P_Z_4_N_COLONNE_TEMPS_PERIODE_INDICATION_STANDARD" localSheetId="8">#REF!</definedName>
    <definedName name="P_Z_4_N_COLONNE_TEMPS_PERIODE_INDICATION_STANDARD" localSheetId="10">#REF!</definedName>
    <definedName name="P_Z_4_N_COLONNE_TEMPS_PERIODE_INDICATION_STANDARD" localSheetId="12">#REF!</definedName>
    <definedName name="P_Z_4_N_COLONNE_TEMPS_PERIODE_INDICATION_STANDARD">#REF!</definedName>
    <definedName name="P_Z_4_N_COLONNE_TEMPS_PERIODE_RAISONNABLE_LIBELLE_DEFAUT" localSheetId="8">#REF!</definedName>
    <definedName name="P_Z_4_N_COLONNE_TEMPS_PERIODE_RAISONNABLE_LIBELLE_DEFAUT" localSheetId="10">#REF!</definedName>
    <definedName name="P_Z_4_N_COLONNE_TEMPS_PERIODE_RAISONNABLE_LIBELLE_DEFAUT" localSheetId="12">#REF!</definedName>
    <definedName name="P_Z_4_N_COLONNE_TEMPS_PERIODE_RAISONNABLE_LIBELLE_DEFAUT">#REF!</definedName>
    <definedName name="P_Z_4_N_COLONNE_TEMPS_PERIODE_RAISONNABLE_LIBELLE_SPECIFIQUE" localSheetId="8">#REF!</definedName>
    <definedName name="P_Z_4_N_COLONNE_TEMPS_PERIODE_RAISONNABLE_LIBELLE_SPECIFIQUE" localSheetId="10">#REF!</definedName>
    <definedName name="P_Z_4_N_COLONNE_TEMPS_PERIODE_RAISONNABLE_LIBELLE_SPECIFIQUE" localSheetId="12">#REF!</definedName>
    <definedName name="P_Z_4_N_COLONNE_TEMPS_PERIODE_RAISONNABLE_LIBELLE_SPECIFIQUE">#REF!</definedName>
    <definedName name="P_Z_4_N_COLONNE_TEMPS_PERIODE_SPECIFIQUE" localSheetId="8">#REF!</definedName>
    <definedName name="P_Z_4_N_COLONNE_TEMPS_PERIODE_SPECIFIQUE" localSheetId="10">#REF!</definedName>
    <definedName name="P_Z_4_N_COLONNE_TEMPS_PERIODE_SPECIFIQUE" localSheetId="12">#REF!</definedName>
    <definedName name="P_Z_4_N_COLONNE_TEMPS_PERIODE_SPECIFIQUE">#REF!</definedName>
    <definedName name="P_Z_4_N_COLONNE_TEMPS_PERIODE_STANDARD" localSheetId="8">#REF!</definedName>
    <definedName name="P_Z_4_N_COLONNE_TEMPS_PERIODE_STANDARD" localSheetId="10">#REF!</definedName>
    <definedName name="P_Z_4_N_COLONNE_TEMPS_PERIODE_STANDARD" localSheetId="12">#REF!</definedName>
    <definedName name="P_Z_4_N_COLONNE_TEMPS_PERIODE_STANDARD">#REF!</definedName>
    <definedName name="P_Z_4_N_COLONNE_UNITE_ELIGIBLE_LIBELLE_DEFAUT" localSheetId="8">#REF!</definedName>
    <definedName name="P_Z_4_N_COLONNE_UNITE_ELIGIBLE_LIBELLE_DEFAUT" localSheetId="10">#REF!</definedName>
    <definedName name="P_Z_4_N_COLONNE_UNITE_ELIGIBLE_LIBELLE_DEFAUT" localSheetId="12">#REF!</definedName>
    <definedName name="P_Z_4_N_COLONNE_UNITE_ELIGIBLE_LIBELLE_DEFAUT">#REF!</definedName>
    <definedName name="P_Z_4_N_COLONNE_UNITE_ELIGIBLE_LIBELLE_SPECIFIQUE" localSheetId="8">#REF!</definedName>
    <definedName name="P_Z_4_N_COLONNE_UNITE_ELIGIBLE_LIBELLE_SPECIFIQUE" localSheetId="10">#REF!</definedName>
    <definedName name="P_Z_4_N_COLONNE_UNITE_ELIGIBLE_LIBELLE_SPECIFIQUE" localSheetId="12">#REF!</definedName>
    <definedName name="P_Z_4_N_COLONNE_UNITE_ELIGIBLE_LIBELLE_SPECIFIQUE">#REF!</definedName>
    <definedName name="P_Z_4_N_COLONNE_UNITE_INDICATION_SPECIFIQUE" localSheetId="8">#REF!</definedName>
    <definedName name="P_Z_4_N_COLONNE_UNITE_INDICATION_SPECIFIQUE" localSheetId="10">#REF!</definedName>
    <definedName name="P_Z_4_N_COLONNE_UNITE_INDICATION_SPECIFIQUE" localSheetId="12">#REF!</definedName>
    <definedName name="P_Z_4_N_COLONNE_UNITE_INDICATION_SPECIFIQUE">#REF!</definedName>
    <definedName name="P_Z_4_N_COLONNE_UNITE_INDICATION_STANDARD" localSheetId="8">#REF!</definedName>
    <definedName name="P_Z_4_N_COLONNE_UNITE_INDICATION_STANDARD" localSheetId="10">#REF!</definedName>
    <definedName name="P_Z_4_N_COLONNE_UNITE_INDICATION_STANDARD" localSheetId="12">#REF!</definedName>
    <definedName name="P_Z_4_N_COLONNE_UNITE_INDICATION_STANDARD">#REF!</definedName>
    <definedName name="P_Z_4_N_COLONNE_UNITE_SPECIFIQUE" localSheetId="8">#REF!</definedName>
    <definedName name="P_Z_4_N_COLONNE_UNITE_SPECIFIQUE" localSheetId="10">#REF!</definedName>
    <definedName name="P_Z_4_N_COLONNE_UNITE_SPECIFIQUE" localSheetId="12">#REF!</definedName>
    <definedName name="P_Z_4_N_COLONNE_UNITE_SPECIFIQUE">#REF!</definedName>
    <definedName name="P_Z_4_N_COLONNE_UNITE_STANDARD" localSheetId="8">#REF!</definedName>
    <definedName name="P_Z_4_N_COLONNE_UNITE_STANDARD" localSheetId="10">#REF!</definedName>
    <definedName name="P_Z_4_N_COLONNE_UNITE_STANDARD" localSheetId="12">#REF!</definedName>
    <definedName name="P_Z_4_N_COLONNE_UNITE_STANDARD">#REF!</definedName>
    <definedName name="P_Z_4_N_CONSIGNE_DEPENSES_REMUNERATION" localSheetId="8">#REF!</definedName>
    <definedName name="P_Z_4_N_CONSIGNE_DEPENSES_REMUNERATION" localSheetId="10">#REF!</definedName>
    <definedName name="P_Z_4_N_CONSIGNE_DEPENSES_REMUNERATION" localSheetId="12">#REF!</definedName>
    <definedName name="P_Z_4_N_CONSIGNE_DEPENSES_REMUNERATION">#REF!</definedName>
    <definedName name="P_Z_4_N_EXEMPLE_COMMENTAIRE" localSheetId="8">#REF!</definedName>
    <definedName name="P_Z_4_N_EXEMPLE_COMMENTAIRE" localSheetId="10">#REF!</definedName>
    <definedName name="P_Z_4_N_EXEMPLE_COMMENTAIRE" localSheetId="12">#REF!</definedName>
    <definedName name="P_Z_4_N_EXEMPLE_COMMENTAIRE">#REF!</definedName>
    <definedName name="P_Z_4_N_EXEMPLE_COUT" localSheetId="8">#REF!</definedName>
    <definedName name="P_Z_4_N_EXEMPLE_COUT" localSheetId="10">#REF!</definedName>
    <definedName name="P_Z_4_N_EXEMPLE_COUT" localSheetId="12">#REF!</definedName>
    <definedName name="P_Z_4_N_EXEMPLE_COUT">#REF!</definedName>
    <definedName name="P_Z_4_N_EXEMPLE_DESCRIPTION" localSheetId="8">#REF!</definedName>
    <definedName name="P_Z_4_N_EXEMPLE_DESCRIPTION" localSheetId="10">#REF!</definedName>
    <definedName name="P_Z_4_N_EXEMPLE_DESCRIPTION" localSheetId="12">#REF!</definedName>
    <definedName name="P_Z_4_N_EXEMPLE_DESCRIPTION">#REF!</definedName>
    <definedName name="P_Z_4_N_EXEMPLE_INTERVENANT" localSheetId="8">#REF!</definedName>
    <definedName name="P_Z_4_N_EXEMPLE_INTERVENANT" localSheetId="10">#REF!</definedName>
    <definedName name="P_Z_4_N_EXEMPLE_INTERVENANT" localSheetId="12">#REF!</definedName>
    <definedName name="P_Z_4_N_EXEMPLE_INTERVENANT">#REF!</definedName>
    <definedName name="P_Z_4_N_EXEMPLE_JUSTIFICATIF" localSheetId="8">#REF!</definedName>
    <definedName name="P_Z_4_N_EXEMPLE_JUSTIFICATIF" localSheetId="10">#REF!</definedName>
    <definedName name="P_Z_4_N_EXEMPLE_JUSTIFICATIF" localSheetId="12">#REF!</definedName>
    <definedName name="P_Z_4_N_EXEMPLE_JUSTIFICATIF">#REF!</definedName>
    <definedName name="P_Z_4_N_EXEMPLE_MT_PRESENTE" localSheetId="8">#REF!</definedName>
    <definedName name="P_Z_4_N_EXEMPLE_MT_PRESENTE" localSheetId="10">#REF!</definedName>
    <definedName name="P_Z_4_N_EXEMPLE_MT_PRESENTE" localSheetId="12">#REF!</definedName>
    <definedName name="P_Z_4_N_EXEMPLE_MT_PRESENTE">#REF!</definedName>
    <definedName name="P_Z_4_N_EXEMPLE_POSTE" localSheetId="8">#REF!</definedName>
    <definedName name="P_Z_4_N_EXEMPLE_POSTE" localSheetId="10">#REF!</definedName>
    <definedName name="P_Z_4_N_EXEMPLE_POSTE" localSheetId="12">#REF!</definedName>
    <definedName name="P_Z_4_N_EXEMPLE_POSTE">#REF!</definedName>
    <definedName name="P_Z_4_N_EXEMPLE_QUALIFICATION" localSheetId="8">#REF!</definedName>
    <definedName name="P_Z_4_N_EXEMPLE_QUALIFICATION" localSheetId="10">#REF!</definedName>
    <definedName name="P_Z_4_N_EXEMPLE_QUALIFICATION" localSheetId="12">#REF!</definedName>
    <definedName name="P_Z_4_N_EXEMPLE_QUALIFICATION">#REF!</definedName>
    <definedName name="P_Z_4_N_EXEMPLE_SOUS_OPERATION" localSheetId="8">#REF!</definedName>
    <definedName name="P_Z_4_N_EXEMPLE_SOUS_OPERATION" localSheetId="10">#REF!</definedName>
    <definedName name="P_Z_4_N_EXEMPLE_SOUS_OPERATION" localSheetId="12">#REF!</definedName>
    <definedName name="P_Z_4_N_EXEMPLE_SOUS_OPERATION">#REF!</definedName>
    <definedName name="P_Z_4_N_EXEMPLE_TEMPS_OPERATION" localSheetId="8">#REF!</definedName>
    <definedName name="P_Z_4_N_EXEMPLE_TEMPS_OPERATION" localSheetId="10">#REF!</definedName>
    <definedName name="P_Z_4_N_EXEMPLE_TEMPS_OPERATION" localSheetId="12">#REF!</definedName>
    <definedName name="P_Z_4_N_EXEMPLE_TEMPS_OPERATION">#REF!</definedName>
    <definedName name="P_Z_4_N_EXEMPLE_TEMPS_PERIODE" localSheetId="8">#REF!</definedName>
    <definedName name="P_Z_4_N_EXEMPLE_TEMPS_PERIODE" localSheetId="10">#REF!</definedName>
    <definedName name="P_Z_4_N_EXEMPLE_TEMPS_PERIODE" localSheetId="12">#REF!</definedName>
    <definedName name="P_Z_4_N_EXEMPLE_TEMPS_PERIODE">#REF!</definedName>
    <definedName name="P_Z_4_N_EXEMPLE_UNITE" localSheetId="8">#REF!</definedName>
    <definedName name="P_Z_4_N_EXEMPLE_UNITE" localSheetId="10">#REF!</definedName>
    <definedName name="P_Z_4_N_EXEMPLE_UNITE" localSheetId="12">#REF!</definedName>
    <definedName name="P_Z_4_N_EXEMPLE_UNITE">#REF!</definedName>
    <definedName name="P_Z_4_N_INTITULE_DEPENSES_REMUNERATION_DEFAUT" localSheetId="8">#REF!</definedName>
    <definedName name="P_Z_4_N_INTITULE_DEPENSES_REMUNERATION_DEFAUT" localSheetId="10">#REF!</definedName>
    <definedName name="P_Z_4_N_INTITULE_DEPENSES_REMUNERATION_DEFAUT" localSheetId="12">#REF!</definedName>
    <definedName name="P_Z_4_N_INTITULE_DEPENSES_REMUNERATION_DEFAUT">#REF!</definedName>
    <definedName name="P_Z_4_N_INTITULE_DEPENSES_REMUNERATION_STANDARD" localSheetId="8">#REF!</definedName>
    <definedName name="P_Z_4_N_INTITULE_DEPENSES_REMUNERATION_STANDARD" localSheetId="10">#REF!</definedName>
    <definedName name="P_Z_4_N_INTITULE_DEPENSES_REMUNERATION_STANDARD" localSheetId="12">#REF!</definedName>
    <definedName name="P_Z_4_N_INTITULE_DEPENSES_REMUNERATION_STANDARD">#REF!</definedName>
    <definedName name="P_Z_4_R_LIBELLES_DESCRIPTIONS" localSheetId="8">#REF!</definedName>
    <definedName name="P_Z_4_R_LIBELLES_DESCRIPTIONS" localSheetId="10">#REF!</definedName>
    <definedName name="P_Z_4_R_LIBELLES_DESCRIPTIONS" localSheetId="12">#REF!</definedName>
    <definedName name="P_Z_4_R_LIBELLES_DESCRIPTIONS">#REF!</definedName>
    <definedName name="P_Z_4_R_LIBELLES_DESCRIPTIONS_1" localSheetId="8">#REF!</definedName>
    <definedName name="P_Z_4_R_LIBELLES_DESCRIPTIONS_1" localSheetId="10">#REF!</definedName>
    <definedName name="P_Z_4_R_LIBELLES_DESCRIPTIONS_1" localSheetId="12">#REF!</definedName>
    <definedName name="P_Z_4_R_LIBELLES_DESCRIPTIONS_1">#REF!</definedName>
    <definedName name="P_Z_4_R_LIBELLES_DESCRIPTIONS_10" localSheetId="8">#REF!</definedName>
    <definedName name="P_Z_4_R_LIBELLES_DESCRIPTIONS_10" localSheetId="10">#REF!</definedName>
    <definedName name="P_Z_4_R_LIBELLES_DESCRIPTIONS_10" localSheetId="12">#REF!</definedName>
    <definedName name="P_Z_4_R_LIBELLES_DESCRIPTIONS_10">#REF!</definedName>
    <definedName name="P_Z_4_R_LIBELLES_DESCRIPTIONS_11" localSheetId="8">#REF!</definedName>
    <definedName name="P_Z_4_R_LIBELLES_DESCRIPTIONS_11" localSheetId="10">#REF!</definedName>
    <definedName name="P_Z_4_R_LIBELLES_DESCRIPTIONS_11" localSheetId="12">#REF!</definedName>
    <definedName name="P_Z_4_R_LIBELLES_DESCRIPTIONS_11">#REF!</definedName>
    <definedName name="P_Z_4_R_LIBELLES_DESCRIPTIONS_12" localSheetId="8">#REF!</definedName>
    <definedName name="P_Z_4_R_LIBELLES_DESCRIPTIONS_12" localSheetId="10">#REF!</definedName>
    <definedName name="P_Z_4_R_LIBELLES_DESCRIPTIONS_12" localSheetId="12">#REF!</definedName>
    <definedName name="P_Z_4_R_LIBELLES_DESCRIPTIONS_12">#REF!</definedName>
    <definedName name="P_Z_4_R_LIBELLES_DESCRIPTIONS_13" localSheetId="8">#REF!</definedName>
    <definedName name="P_Z_4_R_LIBELLES_DESCRIPTIONS_13" localSheetId="10">#REF!</definedName>
    <definedName name="P_Z_4_R_LIBELLES_DESCRIPTIONS_13" localSheetId="12">#REF!</definedName>
    <definedName name="P_Z_4_R_LIBELLES_DESCRIPTIONS_13">#REF!</definedName>
    <definedName name="P_Z_4_R_LIBELLES_DESCRIPTIONS_14" localSheetId="8">#REF!</definedName>
    <definedName name="P_Z_4_R_LIBELLES_DESCRIPTIONS_14" localSheetId="10">#REF!</definedName>
    <definedName name="P_Z_4_R_LIBELLES_DESCRIPTIONS_14" localSheetId="12">#REF!</definedName>
    <definedName name="P_Z_4_R_LIBELLES_DESCRIPTIONS_14">#REF!</definedName>
    <definedName name="P_Z_4_R_LIBELLES_DESCRIPTIONS_15" localSheetId="8">#REF!</definedName>
    <definedName name="P_Z_4_R_LIBELLES_DESCRIPTIONS_15" localSheetId="10">#REF!</definedName>
    <definedName name="P_Z_4_R_LIBELLES_DESCRIPTIONS_15" localSheetId="12">#REF!</definedName>
    <definedName name="P_Z_4_R_LIBELLES_DESCRIPTIONS_15">#REF!</definedName>
    <definedName name="P_Z_4_R_LIBELLES_DESCRIPTIONS_16" localSheetId="8">#REF!</definedName>
    <definedName name="P_Z_4_R_LIBELLES_DESCRIPTIONS_16" localSheetId="10">#REF!</definedName>
    <definedName name="P_Z_4_R_LIBELLES_DESCRIPTIONS_16" localSheetId="12">#REF!</definedName>
    <definedName name="P_Z_4_R_LIBELLES_DESCRIPTIONS_16">#REF!</definedName>
    <definedName name="P_Z_4_R_LIBELLES_DESCRIPTIONS_17" localSheetId="8">#REF!</definedName>
    <definedName name="P_Z_4_R_LIBELLES_DESCRIPTIONS_17" localSheetId="10">#REF!</definedName>
    <definedName name="P_Z_4_R_LIBELLES_DESCRIPTIONS_17" localSheetId="12">#REF!</definedName>
    <definedName name="P_Z_4_R_LIBELLES_DESCRIPTIONS_17">#REF!</definedName>
    <definedName name="P_Z_4_R_LIBELLES_DESCRIPTIONS_18" localSheetId="8">#REF!</definedName>
    <definedName name="P_Z_4_R_LIBELLES_DESCRIPTIONS_18" localSheetId="10">#REF!</definedName>
    <definedName name="P_Z_4_R_LIBELLES_DESCRIPTIONS_18" localSheetId="12">#REF!</definedName>
    <definedName name="P_Z_4_R_LIBELLES_DESCRIPTIONS_18">#REF!</definedName>
    <definedName name="P_Z_4_R_LIBELLES_DESCRIPTIONS_19" localSheetId="8">#REF!</definedName>
    <definedName name="P_Z_4_R_LIBELLES_DESCRIPTIONS_19" localSheetId="10">#REF!</definedName>
    <definedName name="P_Z_4_R_LIBELLES_DESCRIPTIONS_19" localSheetId="12">#REF!</definedName>
    <definedName name="P_Z_4_R_LIBELLES_DESCRIPTIONS_19">#REF!</definedName>
    <definedName name="P_Z_4_R_LIBELLES_DESCRIPTIONS_2" localSheetId="8">#REF!</definedName>
    <definedName name="P_Z_4_R_LIBELLES_DESCRIPTIONS_2" localSheetId="10">#REF!</definedName>
    <definedName name="P_Z_4_R_LIBELLES_DESCRIPTIONS_2" localSheetId="12">#REF!</definedName>
    <definedName name="P_Z_4_R_LIBELLES_DESCRIPTIONS_2">#REF!</definedName>
    <definedName name="P_Z_4_R_LIBELLES_DESCRIPTIONS_20" localSheetId="8">#REF!</definedName>
    <definedName name="P_Z_4_R_LIBELLES_DESCRIPTIONS_20" localSheetId="10">#REF!</definedName>
    <definedName name="P_Z_4_R_LIBELLES_DESCRIPTIONS_20" localSheetId="12">#REF!</definedName>
    <definedName name="P_Z_4_R_LIBELLES_DESCRIPTIONS_20">#REF!</definedName>
    <definedName name="P_Z_4_R_LIBELLES_DESCRIPTIONS_3" localSheetId="8">#REF!</definedName>
    <definedName name="P_Z_4_R_LIBELLES_DESCRIPTIONS_3" localSheetId="10">#REF!</definedName>
    <definedName name="P_Z_4_R_LIBELLES_DESCRIPTIONS_3" localSheetId="12">#REF!</definedName>
    <definedName name="P_Z_4_R_LIBELLES_DESCRIPTIONS_3">#REF!</definedName>
    <definedName name="P_Z_4_R_LIBELLES_DESCRIPTIONS_4" localSheetId="8">#REF!</definedName>
    <definedName name="P_Z_4_R_LIBELLES_DESCRIPTIONS_4" localSheetId="10">#REF!</definedName>
    <definedName name="P_Z_4_R_LIBELLES_DESCRIPTIONS_4" localSheetId="12">#REF!</definedName>
    <definedName name="P_Z_4_R_LIBELLES_DESCRIPTIONS_4">#REF!</definedName>
    <definedName name="P_Z_4_R_LIBELLES_DESCRIPTIONS_5" localSheetId="8">#REF!</definedName>
    <definedName name="P_Z_4_R_LIBELLES_DESCRIPTIONS_5" localSheetId="10">#REF!</definedName>
    <definedName name="P_Z_4_R_LIBELLES_DESCRIPTIONS_5" localSheetId="12">#REF!</definedName>
    <definedName name="P_Z_4_R_LIBELLES_DESCRIPTIONS_5">#REF!</definedName>
    <definedName name="P_Z_4_R_LIBELLES_DESCRIPTIONS_6" localSheetId="8">#REF!</definedName>
    <definedName name="P_Z_4_R_LIBELLES_DESCRIPTIONS_6" localSheetId="10">#REF!</definedName>
    <definedName name="P_Z_4_R_LIBELLES_DESCRIPTIONS_6" localSheetId="12">#REF!</definedName>
    <definedName name="P_Z_4_R_LIBELLES_DESCRIPTIONS_6">#REF!</definedName>
    <definedName name="P_Z_4_R_LIBELLES_DESCRIPTIONS_7" localSheetId="8">#REF!</definedName>
    <definedName name="P_Z_4_R_LIBELLES_DESCRIPTIONS_7" localSheetId="10">#REF!</definedName>
    <definedName name="P_Z_4_R_LIBELLES_DESCRIPTIONS_7" localSheetId="12">#REF!</definedName>
    <definedName name="P_Z_4_R_LIBELLES_DESCRIPTIONS_7">#REF!</definedName>
    <definedName name="P_Z_4_R_LIBELLES_DESCRIPTIONS_8" localSheetId="8">#REF!</definedName>
    <definedName name="P_Z_4_R_LIBELLES_DESCRIPTIONS_8" localSheetId="10">#REF!</definedName>
    <definedName name="P_Z_4_R_LIBELLES_DESCRIPTIONS_8" localSheetId="12">#REF!</definedName>
    <definedName name="P_Z_4_R_LIBELLES_DESCRIPTIONS_8">#REF!</definedName>
    <definedName name="P_Z_4_R_LIBELLES_DESCRIPTIONS_9" localSheetId="8">#REF!</definedName>
    <definedName name="P_Z_4_R_LIBELLES_DESCRIPTIONS_9" localSheetId="10">#REF!</definedName>
    <definedName name="P_Z_4_R_LIBELLES_DESCRIPTIONS_9" localSheetId="12">#REF!</definedName>
    <definedName name="P_Z_4_R_LIBELLES_DESCRIPTIONS_9">#REF!</definedName>
    <definedName name="P_Z_4_R_LIBELLES_POSTES" localSheetId="8">#REF!</definedName>
    <definedName name="P_Z_4_R_LIBELLES_POSTES" localSheetId="10">#REF!</definedName>
    <definedName name="P_Z_4_R_LIBELLES_POSTES" localSheetId="12">#REF!</definedName>
    <definedName name="P_Z_4_R_LIBELLES_POSTES">#REF!</definedName>
    <definedName name="P_Z_4_R_LIBELLES_POSTES_1" localSheetId="8">#REF!</definedName>
    <definedName name="P_Z_4_R_LIBELLES_POSTES_1" localSheetId="10">#REF!</definedName>
    <definedName name="P_Z_4_R_LIBELLES_POSTES_1" localSheetId="12">#REF!</definedName>
    <definedName name="P_Z_4_R_LIBELLES_POSTES_1">#REF!</definedName>
    <definedName name="P_Z_4_R_LIBELLES_POSTES_10" localSheetId="8">#REF!</definedName>
    <definedName name="P_Z_4_R_LIBELLES_POSTES_10" localSheetId="10">#REF!</definedName>
    <definedName name="P_Z_4_R_LIBELLES_POSTES_10" localSheetId="12">#REF!</definedName>
    <definedName name="P_Z_4_R_LIBELLES_POSTES_10">#REF!</definedName>
    <definedName name="P_Z_4_R_LIBELLES_POSTES_11" localSheetId="8">#REF!</definedName>
    <definedName name="P_Z_4_R_LIBELLES_POSTES_11" localSheetId="10">#REF!</definedName>
    <definedName name="P_Z_4_R_LIBELLES_POSTES_11" localSheetId="12">#REF!</definedName>
    <definedName name="P_Z_4_R_LIBELLES_POSTES_11">#REF!</definedName>
    <definedName name="P_Z_4_R_LIBELLES_POSTES_12" localSheetId="8">#REF!</definedName>
    <definedName name="P_Z_4_R_LIBELLES_POSTES_12" localSheetId="10">#REF!</definedName>
    <definedName name="P_Z_4_R_LIBELLES_POSTES_12" localSheetId="12">#REF!</definedName>
    <definedName name="P_Z_4_R_LIBELLES_POSTES_12">#REF!</definedName>
    <definedName name="P_Z_4_R_LIBELLES_POSTES_13" localSheetId="8">#REF!</definedName>
    <definedName name="P_Z_4_R_LIBELLES_POSTES_13" localSheetId="10">#REF!</definedName>
    <definedName name="P_Z_4_R_LIBELLES_POSTES_13" localSheetId="12">#REF!</definedName>
    <definedName name="P_Z_4_R_LIBELLES_POSTES_13">#REF!</definedName>
    <definedName name="P_Z_4_R_LIBELLES_POSTES_14" localSheetId="8">#REF!</definedName>
    <definedName name="P_Z_4_R_LIBELLES_POSTES_14" localSheetId="10">#REF!</definedName>
    <definedName name="P_Z_4_R_LIBELLES_POSTES_14" localSheetId="12">#REF!</definedName>
    <definedName name="P_Z_4_R_LIBELLES_POSTES_14">#REF!</definedName>
    <definedName name="P_Z_4_R_LIBELLES_POSTES_15" localSheetId="8">#REF!</definedName>
    <definedName name="P_Z_4_R_LIBELLES_POSTES_15" localSheetId="10">#REF!</definedName>
    <definedName name="P_Z_4_R_LIBELLES_POSTES_15" localSheetId="12">#REF!</definedName>
    <definedName name="P_Z_4_R_LIBELLES_POSTES_15">#REF!</definedName>
    <definedName name="P_Z_4_R_LIBELLES_POSTES_16" localSheetId="8">#REF!</definedName>
    <definedName name="P_Z_4_R_LIBELLES_POSTES_16" localSheetId="10">#REF!</definedName>
    <definedName name="P_Z_4_R_LIBELLES_POSTES_16" localSheetId="12">#REF!</definedName>
    <definedName name="P_Z_4_R_LIBELLES_POSTES_16">#REF!</definedName>
    <definedName name="P_Z_4_R_LIBELLES_POSTES_17" localSheetId="8">#REF!</definedName>
    <definedName name="P_Z_4_R_LIBELLES_POSTES_17" localSheetId="10">#REF!</definedName>
    <definedName name="P_Z_4_R_LIBELLES_POSTES_17" localSheetId="12">#REF!</definedName>
    <definedName name="P_Z_4_R_LIBELLES_POSTES_17">#REF!</definedName>
    <definedName name="P_Z_4_R_LIBELLES_POSTES_18" localSheetId="8">#REF!</definedName>
    <definedName name="P_Z_4_R_LIBELLES_POSTES_18" localSheetId="10">#REF!</definedName>
    <definedName name="P_Z_4_R_LIBELLES_POSTES_18" localSheetId="12">#REF!</definedName>
    <definedName name="P_Z_4_R_LIBELLES_POSTES_18">#REF!</definedName>
    <definedName name="P_Z_4_R_LIBELLES_POSTES_19" localSheetId="8">#REF!</definedName>
    <definedName name="P_Z_4_R_LIBELLES_POSTES_19" localSheetId="10">#REF!</definedName>
    <definedName name="P_Z_4_R_LIBELLES_POSTES_19" localSheetId="12">#REF!</definedName>
    <definedName name="P_Z_4_R_LIBELLES_POSTES_19">#REF!</definedName>
    <definedName name="P_Z_4_R_LIBELLES_POSTES_2" localSheetId="8">#REF!</definedName>
    <definedName name="P_Z_4_R_LIBELLES_POSTES_2" localSheetId="10">#REF!</definedName>
    <definedName name="P_Z_4_R_LIBELLES_POSTES_2" localSheetId="12">#REF!</definedName>
    <definedName name="P_Z_4_R_LIBELLES_POSTES_2">#REF!</definedName>
    <definedName name="P_Z_4_R_LIBELLES_POSTES_20" localSheetId="8">#REF!</definedName>
    <definedName name="P_Z_4_R_LIBELLES_POSTES_20" localSheetId="10">#REF!</definedName>
    <definedName name="P_Z_4_R_LIBELLES_POSTES_20" localSheetId="12">#REF!</definedName>
    <definedName name="P_Z_4_R_LIBELLES_POSTES_20">#REF!</definedName>
    <definedName name="P_Z_4_R_LIBELLES_POSTES_3" localSheetId="8">#REF!</definedName>
    <definedName name="P_Z_4_R_LIBELLES_POSTES_3" localSheetId="10">#REF!</definedName>
    <definedName name="P_Z_4_R_LIBELLES_POSTES_3" localSheetId="12">#REF!</definedName>
    <definedName name="P_Z_4_R_LIBELLES_POSTES_3">#REF!</definedName>
    <definedName name="P_Z_4_R_LIBELLES_POSTES_4" localSheetId="8">#REF!</definedName>
    <definedName name="P_Z_4_R_LIBELLES_POSTES_4" localSheetId="10">#REF!</definedName>
    <definedName name="P_Z_4_R_LIBELLES_POSTES_4" localSheetId="12">#REF!</definedName>
    <definedName name="P_Z_4_R_LIBELLES_POSTES_4">#REF!</definedName>
    <definedName name="P_Z_4_R_LIBELLES_POSTES_5" localSheetId="8">#REF!</definedName>
    <definedName name="P_Z_4_R_LIBELLES_POSTES_5" localSheetId="10">#REF!</definedName>
    <definedName name="P_Z_4_R_LIBELLES_POSTES_5" localSheetId="12">#REF!</definedName>
    <definedName name="P_Z_4_R_LIBELLES_POSTES_5">#REF!</definedName>
    <definedName name="P_Z_4_R_LIBELLES_POSTES_6" localSheetId="8">#REF!</definedName>
    <definedName name="P_Z_4_R_LIBELLES_POSTES_6" localSheetId="10">#REF!</definedName>
    <definedName name="P_Z_4_R_LIBELLES_POSTES_6" localSheetId="12">#REF!</definedName>
    <definedName name="P_Z_4_R_LIBELLES_POSTES_6">#REF!</definedName>
    <definedName name="P_Z_4_R_LIBELLES_POSTES_7" localSheetId="8">#REF!</definedName>
    <definedName name="P_Z_4_R_LIBELLES_POSTES_7" localSheetId="10">#REF!</definedName>
    <definedName name="P_Z_4_R_LIBELLES_POSTES_7" localSheetId="12">#REF!</definedName>
    <definedName name="P_Z_4_R_LIBELLES_POSTES_7">#REF!</definedName>
    <definedName name="P_Z_4_R_LIBELLES_POSTES_8" localSheetId="8">#REF!</definedName>
    <definedName name="P_Z_4_R_LIBELLES_POSTES_8" localSheetId="10">#REF!</definedName>
    <definedName name="P_Z_4_R_LIBELLES_POSTES_8" localSheetId="12">#REF!</definedName>
    <definedName name="P_Z_4_R_LIBELLES_POSTES_8">#REF!</definedName>
    <definedName name="P_Z_4_R_LIBELLES_POSTES_9" localSheetId="8">#REF!</definedName>
    <definedName name="P_Z_4_R_LIBELLES_POSTES_9" localSheetId="10">#REF!</definedName>
    <definedName name="P_Z_4_R_LIBELLES_POSTES_9" localSheetId="12">#REF!</definedName>
    <definedName name="P_Z_4_R_LIBELLES_POSTES_9">#REF!</definedName>
    <definedName name="P_Z_4_R_LIBELLES_SOUS_OPERATIONS" localSheetId="8">#REF!</definedName>
    <definedName name="P_Z_4_R_LIBELLES_SOUS_OPERATIONS" localSheetId="10">#REF!</definedName>
    <definedName name="P_Z_4_R_LIBELLES_SOUS_OPERATIONS" localSheetId="12">#REF!</definedName>
    <definedName name="P_Z_4_R_LIBELLES_SOUS_OPERATIONS">#REF!</definedName>
    <definedName name="P_Z_4_R_LIBELLES_SOUS_OPERATIONS_1" localSheetId="8">#REF!</definedName>
    <definedName name="P_Z_4_R_LIBELLES_SOUS_OPERATIONS_1" localSheetId="10">#REF!</definedName>
    <definedName name="P_Z_4_R_LIBELLES_SOUS_OPERATIONS_1" localSheetId="12">#REF!</definedName>
    <definedName name="P_Z_4_R_LIBELLES_SOUS_OPERATIONS_1">#REF!</definedName>
    <definedName name="P_Z_4_R_LIBELLES_SOUS_OPERATIONS_10" localSheetId="8">#REF!</definedName>
    <definedName name="P_Z_4_R_LIBELLES_SOUS_OPERATIONS_10" localSheetId="10">#REF!</definedName>
    <definedName name="P_Z_4_R_LIBELLES_SOUS_OPERATIONS_10" localSheetId="12">#REF!</definedName>
    <definedName name="P_Z_4_R_LIBELLES_SOUS_OPERATIONS_10">#REF!</definedName>
    <definedName name="P_Z_4_R_LIBELLES_SOUS_OPERATIONS_11" localSheetId="8">#REF!</definedName>
    <definedName name="P_Z_4_R_LIBELLES_SOUS_OPERATIONS_11" localSheetId="10">#REF!</definedName>
    <definedName name="P_Z_4_R_LIBELLES_SOUS_OPERATIONS_11" localSheetId="12">#REF!</definedName>
    <definedName name="P_Z_4_R_LIBELLES_SOUS_OPERATIONS_11">#REF!</definedName>
    <definedName name="P_Z_4_R_LIBELLES_SOUS_OPERATIONS_12" localSheetId="8">#REF!</definedName>
    <definedName name="P_Z_4_R_LIBELLES_SOUS_OPERATIONS_12" localSheetId="10">#REF!</definedName>
    <definedName name="P_Z_4_R_LIBELLES_SOUS_OPERATIONS_12" localSheetId="12">#REF!</definedName>
    <definedName name="P_Z_4_R_LIBELLES_SOUS_OPERATIONS_12">#REF!</definedName>
    <definedName name="P_Z_4_R_LIBELLES_SOUS_OPERATIONS_13" localSheetId="8">#REF!</definedName>
    <definedName name="P_Z_4_R_LIBELLES_SOUS_OPERATIONS_13" localSheetId="10">#REF!</definedName>
    <definedName name="P_Z_4_R_LIBELLES_SOUS_OPERATIONS_13" localSheetId="12">#REF!</definedName>
    <definedName name="P_Z_4_R_LIBELLES_SOUS_OPERATIONS_13">#REF!</definedName>
    <definedName name="P_Z_4_R_LIBELLES_SOUS_OPERATIONS_14" localSheetId="8">#REF!</definedName>
    <definedName name="P_Z_4_R_LIBELLES_SOUS_OPERATIONS_14" localSheetId="10">#REF!</definedName>
    <definedName name="P_Z_4_R_LIBELLES_SOUS_OPERATIONS_14" localSheetId="12">#REF!</definedName>
    <definedName name="P_Z_4_R_LIBELLES_SOUS_OPERATIONS_14">#REF!</definedName>
    <definedName name="P_Z_4_R_LIBELLES_SOUS_OPERATIONS_15" localSheetId="8">#REF!</definedName>
    <definedName name="P_Z_4_R_LIBELLES_SOUS_OPERATIONS_15" localSheetId="10">#REF!</definedName>
    <definedName name="P_Z_4_R_LIBELLES_SOUS_OPERATIONS_15" localSheetId="12">#REF!</definedName>
    <definedName name="P_Z_4_R_LIBELLES_SOUS_OPERATIONS_15">#REF!</definedName>
    <definedName name="P_Z_4_R_LIBELLES_SOUS_OPERATIONS_16" localSheetId="8">#REF!</definedName>
    <definedName name="P_Z_4_R_LIBELLES_SOUS_OPERATIONS_16" localSheetId="10">#REF!</definedName>
    <definedName name="P_Z_4_R_LIBELLES_SOUS_OPERATIONS_16" localSheetId="12">#REF!</definedName>
    <definedName name="P_Z_4_R_LIBELLES_SOUS_OPERATIONS_16">#REF!</definedName>
    <definedName name="P_Z_4_R_LIBELLES_SOUS_OPERATIONS_17" localSheetId="8">#REF!</definedName>
    <definedName name="P_Z_4_R_LIBELLES_SOUS_OPERATIONS_17" localSheetId="10">#REF!</definedName>
    <definedName name="P_Z_4_R_LIBELLES_SOUS_OPERATIONS_17" localSheetId="12">#REF!</definedName>
    <definedName name="P_Z_4_R_LIBELLES_SOUS_OPERATIONS_17">#REF!</definedName>
    <definedName name="P_Z_4_R_LIBELLES_SOUS_OPERATIONS_18" localSheetId="8">#REF!</definedName>
    <definedName name="P_Z_4_R_LIBELLES_SOUS_OPERATIONS_18" localSheetId="10">#REF!</definedName>
    <definedName name="P_Z_4_R_LIBELLES_SOUS_OPERATIONS_18" localSheetId="12">#REF!</definedName>
    <definedName name="P_Z_4_R_LIBELLES_SOUS_OPERATIONS_18">#REF!</definedName>
    <definedName name="P_Z_4_R_LIBELLES_SOUS_OPERATIONS_19" localSheetId="8">#REF!</definedName>
    <definedName name="P_Z_4_R_LIBELLES_SOUS_OPERATIONS_19" localSheetId="10">#REF!</definedName>
    <definedName name="P_Z_4_R_LIBELLES_SOUS_OPERATIONS_19" localSheetId="12">#REF!</definedName>
    <definedName name="P_Z_4_R_LIBELLES_SOUS_OPERATIONS_19">#REF!</definedName>
    <definedName name="P_Z_4_R_LIBELLES_SOUS_OPERATIONS_2" localSheetId="8">#REF!</definedName>
    <definedName name="P_Z_4_R_LIBELLES_SOUS_OPERATIONS_2" localSheetId="10">#REF!</definedName>
    <definedName name="P_Z_4_R_LIBELLES_SOUS_OPERATIONS_2" localSheetId="12">#REF!</definedName>
    <definedName name="P_Z_4_R_LIBELLES_SOUS_OPERATIONS_2">#REF!</definedName>
    <definedName name="P_Z_4_R_LIBELLES_SOUS_OPERATIONS_20" localSheetId="8">#REF!</definedName>
    <definedName name="P_Z_4_R_LIBELLES_SOUS_OPERATIONS_20" localSheetId="10">#REF!</definedName>
    <definedName name="P_Z_4_R_LIBELLES_SOUS_OPERATIONS_20" localSheetId="12">#REF!</definedName>
    <definedName name="P_Z_4_R_LIBELLES_SOUS_OPERATIONS_20">#REF!</definedName>
    <definedName name="P_Z_4_R_LIBELLES_SOUS_OPERATIONS_3" localSheetId="8">#REF!</definedName>
    <definedName name="P_Z_4_R_LIBELLES_SOUS_OPERATIONS_3" localSheetId="10">#REF!</definedName>
    <definedName name="P_Z_4_R_LIBELLES_SOUS_OPERATIONS_3" localSheetId="12">#REF!</definedName>
    <definedName name="P_Z_4_R_LIBELLES_SOUS_OPERATIONS_3">#REF!</definedName>
    <definedName name="P_Z_4_R_LIBELLES_SOUS_OPERATIONS_4" localSheetId="8">#REF!</definedName>
    <definedName name="P_Z_4_R_LIBELLES_SOUS_OPERATIONS_4" localSheetId="10">#REF!</definedName>
    <definedName name="P_Z_4_R_LIBELLES_SOUS_OPERATIONS_4" localSheetId="12">#REF!</definedName>
    <definedName name="P_Z_4_R_LIBELLES_SOUS_OPERATIONS_4">#REF!</definedName>
    <definedName name="P_Z_4_R_LIBELLES_SOUS_OPERATIONS_5" localSheetId="8">#REF!</definedName>
    <definedName name="P_Z_4_R_LIBELLES_SOUS_OPERATIONS_5" localSheetId="10">#REF!</definedName>
    <definedName name="P_Z_4_R_LIBELLES_SOUS_OPERATIONS_5" localSheetId="12">#REF!</definedName>
    <definedName name="P_Z_4_R_LIBELLES_SOUS_OPERATIONS_5">#REF!</definedName>
    <definedName name="P_Z_4_R_LIBELLES_SOUS_OPERATIONS_6" localSheetId="8">#REF!</definedName>
    <definedName name="P_Z_4_R_LIBELLES_SOUS_OPERATIONS_6" localSheetId="10">#REF!</definedName>
    <definedName name="P_Z_4_R_LIBELLES_SOUS_OPERATIONS_6" localSheetId="12">#REF!</definedName>
    <definedName name="P_Z_4_R_LIBELLES_SOUS_OPERATIONS_6">#REF!</definedName>
    <definedName name="P_Z_4_R_LIBELLES_SOUS_OPERATIONS_7" localSheetId="8">#REF!</definedName>
    <definedName name="P_Z_4_R_LIBELLES_SOUS_OPERATIONS_7" localSheetId="10">#REF!</definedName>
    <definedName name="P_Z_4_R_LIBELLES_SOUS_OPERATIONS_7" localSheetId="12">#REF!</definedName>
    <definedName name="P_Z_4_R_LIBELLES_SOUS_OPERATIONS_7">#REF!</definedName>
    <definedName name="P_Z_4_R_LIBELLES_SOUS_OPERATIONS_8" localSheetId="8">#REF!</definedName>
    <definedName name="P_Z_4_R_LIBELLES_SOUS_OPERATIONS_8" localSheetId="10">#REF!</definedName>
    <definedName name="P_Z_4_R_LIBELLES_SOUS_OPERATIONS_8" localSheetId="12">#REF!</definedName>
    <definedName name="P_Z_4_R_LIBELLES_SOUS_OPERATIONS_8">#REF!</definedName>
    <definedName name="P_Z_4_R_LIBELLES_SOUS_OPERATIONS_9" localSheetId="8">#REF!</definedName>
    <definedName name="P_Z_4_R_LIBELLES_SOUS_OPERATIONS_9" localSheetId="10">#REF!</definedName>
    <definedName name="P_Z_4_R_LIBELLES_SOUS_OPERATIONS_9" localSheetId="12">#REF!</definedName>
    <definedName name="P_Z_4_R_LIBELLES_SOUS_OPERATIONS_9">#REF!</definedName>
    <definedName name="P_Z_4_R_LIBELLES_UNITES" localSheetId="8">#REF!</definedName>
    <definedName name="P_Z_4_R_LIBELLES_UNITES" localSheetId="10">#REF!</definedName>
    <definedName name="P_Z_4_R_LIBELLES_UNITES" localSheetId="12">#REF!</definedName>
    <definedName name="P_Z_4_R_LIBELLES_UNITES">#REF!</definedName>
    <definedName name="P_Z_4_R_LIBELLES_UNITES_1" localSheetId="8">#REF!</definedName>
    <definedName name="P_Z_4_R_LIBELLES_UNITES_1" localSheetId="10">#REF!</definedName>
    <definedName name="P_Z_4_R_LIBELLES_UNITES_1" localSheetId="12">#REF!</definedName>
    <definedName name="P_Z_4_R_LIBELLES_UNITES_1">#REF!</definedName>
    <definedName name="P_Z_4_R_LIBELLES_UNITES_10" localSheetId="8">#REF!</definedName>
    <definedName name="P_Z_4_R_LIBELLES_UNITES_10" localSheetId="10">#REF!</definedName>
    <definedName name="P_Z_4_R_LIBELLES_UNITES_10" localSheetId="12">#REF!</definedName>
    <definedName name="P_Z_4_R_LIBELLES_UNITES_10">#REF!</definedName>
    <definedName name="P_Z_4_R_LIBELLES_UNITES_11" localSheetId="8">#REF!</definedName>
    <definedName name="P_Z_4_R_LIBELLES_UNITES_11" localSheetId="10">#REF!</definedName>
    <definedName name="P_Z_4_R_LIBELLES_UNITES_11" localSheetId="12">#REF!</definedName>
    <definedName name="P_Z_4_R_LIBELLES_UNITES_11">#REF!</definedName>
    <definedName name="P_Z_4_R_LIBELLES_UNITES_12" localSheetId="8">#REF!</definedName>
    <definedName name="P_Z_4_R_LIBELLES_UNITES_12" localSheetId="10">#REF!</definedName>
    <definedName name="P_Z_4_R_LIBELLES_UNITES_12" localSheetId="12">#REF!</definedName>
    <definedName name="P_Z_4_R_LIBELLES_UNITES_12">#REF!</definedName>
    <definedName name="P_Z_4_R_LIBELLES_UNITES_13" localSheetId="8">#REF!</definedName>
    <definedName name="P_Z_4_R_LIBELLES_UNITES_13" localSheetId="10">#REF!</definedName>
    <definedName name="P_Z_4_R_LIBELLES_UNITES_13" localSheetId="12">#REF!</definedName>
    <definedName name="P_Z_4_R_LIBELLES_UNITES_13">#REF!</definedName>
    <definedName name="P_Z_4_R_LIBELLES_UNITES_14" localSheetId="8">#REF!</definedName>
    <definedName name="P_Z_4_R_LIBELLES_UNITES_14" localSheetId="10">#REF!</definedName>
    <definedName name="P_Z_4_R_LIBELLES_UNITES_14" localSheetId="12">#REF!</definedName>
    <definedName name="P_Z_4_R_LIBELLES_UNITES_14">#REF!</definedName>
    <definedName name="P_Z_4_R_LIBELLES_UNITES_15" localSheetId="8">#REF!</definedName>
    <definedName name="P_Z_4_R_LIBELLES_UNITES_15" localSheetId="10">#REF!</definedName>
    <definedName name="P_Z_4_R_LIBELLES_UNITES_15" localSheetId="12">#REF!</definedName>
    <definedName name="P_Z_4_R_LIBELLES_UNITES_15">#REF!</definedName>
    <definedName name="P_Z_4_R_LIBELLES_UNITES_16" localSheetId="8">#REF!</definedName>
    <definedName name="P_Z_4_R_LIBELLES_UNITES_16" localSheetId="10">#REF!</definedName>
    <definedName name="P_Z_4_R_LIBELLES_UNITES_16" localSheetId="12">#REF!</definedName>
    <definedName name="P_Z_4_R_LIBELLES_UNITES_16">#REF!</definedName>
    <definedName name="P_Z_4_R_LIBELLES_UNITES_17" localSheetId="8">#REF!</definedName>
    <definedName name="P_Z_4_R_LIBELLES_UNITES_17" localSheetId="10">#REF!</definedName>
    <definedName name="P_Z_4_R_LIBELLES_UNITES_17" localSheetId="12">#REF!</definedName>
    <definedName name="P_Z_4_R_LIBELLES_UNITES_17">#REF!</definedName>
    <definedName name="P_Z_4_R_LIBELLES_UNITES_18" localSheetId="8">#REF!</definedName>
    <definedName name="P_Z_4_R_LIBELLES_UNITES_18" localSheetId="10">#REF!</definedName>
    <definedName name="P_Z_4_R_LIBELLES_UNITES_18" localSheetId="12">#REF!</definedName>
    <definedName name="P_Z_4_R_LIBELLES_UNITES_18">#REF!</definedName>
    <definedName name="P_Z_4_R_LIBELLES_UNITES_19" localSheetId="8">#REF!</definedName>
    <definedName name="P_Z_4_R_LIBELLES_UNITES_19" localSheetId="10">#REF!</definedName>
    <definedName name="P_Z_4_R_LIBELLES_UNITES_19" localSheetId="12">#REF!</definedName>
    <definedName name="P_Z_4_R_LIBELLES_UNITES_19">#REF!</definedName>
    <definedName name="P_Z_4_R_LIBELLES_UNITES_2" localSheetId="8">#REF!</definedName>
    <definedName name="P_Z_4_R_LIBELLES_UNITES_2" localSheetId="10">#REF!</definedName>
    <definedName name="P_Z_4_R_LIBELLES_UNITES_2" localSheetId="12">#REF!</definedName>
    <definedName name="P_Z_4_R_LIBELLES_UNITES_2">#REF!</definedName>
    <definedName name="P_Z_4_R_LIBELLES_UNITES_20" localSheetId="8">#REF!</definedName>
    <definedName name="P_Z_4_R_LIBELLES_UNITES_20" localSheetId="10">#REF!</definedName>
    <definedName name="P_Z_4_R_LIBELLES_UNITES_20" localSheetId="12">#REF!</definedName>
    <definedName name="P_Z_4_R_LIBELLES_UNITES_20">#REF!</definedName>
    <definedName name="P_Z_4_R_LIBELLES_UNITES_3" localSheetId="8">#REF!</definedName>
    <definedName name="P_Z_4_R_LIBELLES_UNITES_3" localSheetId="10">#REF!</definedName>
    <definedName name="P_Z_4_R_LIBELLES_UNITES_3" localSheetId="12">#REF!</definedName>
    <definedName name="P_Z_4_R_LIBELLES_UNITES_3">#REF!</definedName>
    <definedName name="P_Z_4_R_LIBELLES_UNITES_4" localSheetId="8">#REF!</definedName>
    <definedName name="P_Z_4_R_LIBELLES_UNITES_4" localSheetId="10">#REF!</definedName>
    <definedName name="P_Z_4_R_LIBELLES_UNITES_4" localSheetId="12">#REF!</definedName>
    <definedName name="P_Z_4_R_LIBELLES_UNITES_4">#REF!</definedName>
    <definedName name="P_Z_4_R_LIBELLES_UNITES_5" localSheetId="8">#REF!</definedName>
    <definedName name="P_Z_4_R_LIBELLES_UNITES_5" localSheetId="10">#REF!</definedName>
    <definedName name="P_Z_4_R_LIBELLES_UNITES_5" localSheetId="12">#REF!</definedName>
    <definedName name="P_Z_4_R_LIBELLES_UNITES_5">#REF!</definedName>
    <definedName name="P_Z_4_R_LIBELLES_UNITES_6" localSheetId="8">#REF!</definedName>
    <definedName name="P_Z_4_R_LIBELLES_UNITES_6" localSheetId="10">#REF!</definedName>
    <definedName name="P_Z_4_R_LIBELLES_UNITES_6" localSheetId="12">#REF!</definedName>
    <definedName name="P_Z_4_R_LIBELLES_UNITES_6">#REF!</definedName>
    <definedName name="P_Z_4_R_LIBELLES_UNITES_7" localSheetId="8">#REF!</definedName>
    <definedName name="P_Z_4_R_LIBELLES_UNITES_7" localSheetId="10">#REF!</definedName>
    <definedName name="P_Z_4_R_LIBELLES_UNITES_7" localSheetId="12">#REF!</definedName>
    <definedName name="P_Z_4_R_LIBELLES_UNITES_7">#REF!</definedName>
    <definedName name="P_Z_4_R_LIBELLES_UNITES_8" localSheetId="8">#REF!</definedName>
    <definedName name="P_Z_4_R_LIBELLES_UNITES_8" localSheetId="10">#REF!</definedName>
    <definedName name="P_Z_4_R_LIBELLES_UNITES_8" localSheetId="12">#REF!</definedName>
    <definedName name="P_Z_4_R_LIBELLES_UNITES_8">#REF!</definedName>
    <definedName name="P_Z_4_R_LIBELLES_UNITES_9" localSheetId="8">#REF!</definedName>
    <definedName name="P_Z_4_R_LIBELLES_UNITES_9" localSheetId="10">#REF!</definedName>
    <definedName name="P_Z_4_R_LIBELLES_UNITES_9" localSheetId="12">#REF!</definedName>
    <definedName name="P_Z_4_R_LIBELLES_UNITES_9">#REF!</definedName>
    <definedName name="P_Z_8_B_COLONNE_BAREME" localSheetId="8">#REF!</definedName>
    <definedName name="P_Z_8_B_COLONNE_BAREME" localSheetId="10">#REF!</definedName>
    <definedName name="P_Z_8_B_COLONNE_BAREME" localSheetId="12">#REF!</definedName>
    <definedName name="P_Z_8_B_COLONNE_BAREME">#REF!</definedName>
    <definedName name="P_Z_8_B_COLONNE_BAREME_INDICATION" localSheetId="8">#REF!</definedName>
    <definedName name="P_Z_8_B_COLONNE_BAREME_INDICATION" localSheetId="10">#REF!</definedName>
    <definedName name="P_Z_8_B_COLONNE_BAREME_INDICATION" localSheetId="12">#REF!</definedName>
    <definedName name="P_Z_8_B_COLONNE_BAREME_INDICATION">#REF!</definedName>
    <definedName name="P_Z_8_B_COLONNE_COMMENTAIRE" localSheetId="8">#REF!</definedName>
    <definedName name="P_Z_8_B_COLONNE_COMMENTAIRE" localSheetId="10">#REF!</definedName>
    <definedName name="P_Z_8_B_COLONNE_COMMENTAIRE" localSheetId="12">#REF!</definedName>
    <definedName name="P_Z_8_B_COLONNE_COMMENTAIRE">#REF!</definedName>
    <definedName name="P_Z_8_B_COLONNE_COMMENTAIRE_ACTIVE" localSheetId="8">#REF!</definedName>
    <definedName name="P_Z_8_B_COLONNE_COMMENTAIRE_ACTIVE" localSheetId="10">#REF!</definedName>
    <definedName name="P_Z_8_B_COLONNE_COMMENTAIRE_ACTIVE" localSheetId="12">#REF!</definedName>
    <definedName name="P_Z_8_B_COLONNE_COMMENTAIRE_ACTIVE">#REF!</definedName>
    <definedName name="P_Z_8_B_COLONNE_COMMENTAIRE_INDICATION" localSheetId="8">#REF!</definedName>
    <definedName name="P_Z_8_B_COLONNE_COMMENTAIRE_INDICATION" localSheetId="10">#REF!</definedName>
    <definedName name="P_Z_8_B_COLONNE_COMMENTAIRE_INDICATION" localSheetId="12">#REF!</definedName>
    <definedName name="P_Z_8_B_COLONNE_COMMENTAIRE_INDICATION">#REF!</definedName>
    <definedName name="P_Z_8_B_COLONNE_COMMENTAIRE_OBLIGATOIRE" localSheetId="8">#REF!</definedName>
    <definedName name="P_Z_8_B_COLONNE_COMMENTAIRE_OBLIGATOIRE" localSheetId="10">#REF!</definedName>
    <definedName name="P_Z_8_B_COLONNE_COMMENTAIRE_OBLIGATOIRE" localSheetId="12">#REF!</definedName>
    <definedName name="P_Z_8_B_COLONNE_COMMENTAIRE_OBLIGATOIRE">#REF!</definedName>
    <definedName name="P_Z_8_B_COLONNE_COMMENTAIRE_SI_LIBELLE_STANDARD" localSheetId="8">#REF!</definedName>
    <definedName name="P_Z_8_B_COLONNE_COMMENTAIRE_SI_LIBELLE_STANDARD" localSheetId="10">#REF!</definedName>
    <definedName name="P_Z_8_B_COLONNE_COMMENTAIRE_SI_LIBELLE_STANDARD" localSheetId="12">#REF!</definedName>
    <definedName name="P_Z_8_B_COLONNE_COMMENTAIRE_SI_LIBELLE_STANDARD">#REF!</definedName>
    <definedName name="P_Z_8_B_COLONNE_DESCRIPTION" localSheetId="8">#REF!</definedName>
    <definedName name="P_Z_8_B_COLONNE_DESCRIPTION" localSheetId="10">#REF!</definedName>
    <definedName name="P_Z_8_B_COLONNE_DESCRIPTION" localSheetId="12">#REF!</definedName>
    <definedName name="P_Z_8_B_COLONNE_DESCRIPTION">#REF!</definedName>
    <definedName name="P_Z_8_B_COLONNE_DESCRIPTION_INDICATION" localSheetId="8">#REF!</definedName>
    <definedName name="P_Z_8_B_COLONNE_DESCRIPTION_INDICATION" localSheetId="10">#REF!</definedName>
    <definedName name="P_Z_8_B_COLONNE_DESCRIPTION_INDICATION" localSheetId="12">#REF!</definedName>
    <definedName name="P_Z_8_B_COLONNE_DESCRIPTION_INDICATION">#REF!</definedName>
    <definedName name="P_Z_8_B_COLONNE_JUSTIFICATIF" localSheetId="8">#REF!</definedName>
    <definedName name="P_Z_8_B_COLONNE_JUSTIFICATIF" localSheetId="10">#REF!</definedName>
    <definedName name="P_Z_8_B_COLONNE_JUSTIFICATIF" localSheetId="12">#REF!</definedName>
    <definedName name="P_Z_8_B_COLONNE_JUSTIFICATIF">#REF!</definedName>
    <definedName name="P_Z_8_B_COLONNE_JUSTIFICATIF_ACTIVE" localSheetId="8">#REF!</definedName>
    <definedName name="P_Z_8_B_COLONNE_JUSTIFICATIF_ACTIVE" localSheetId="10">#REF!</definedName>
    <definedName name="P_Z_8_B_COLONNE_JUSTIFICATIF_ACTIVE" localSheetId="12">#REF!</definedName>
    <definedName name="P_Z_8_B_COLONNE_JUSTIFICATIF_ACTIVE">#REF!</definedName>
    <definedName name="P_Z_8_B_COLONNE_JUSTIFICATIF_INDICATION" localSheetId="8">#REF!</definedName>
    <definedName name="P_Z_8_B_COLONNE_JUSTIFICATIF_INDICATION" localSheetId="10">#REF!</definedName>
    <definedName name="P_Z_8_B_COLONNE_JUSTIFICATIF_INDICATION" localSheetId="12">#REF!</definedName>
    <definedName name="P_Z_8_B_COLONNE_JUSTIFICATIF_INDICATION">#REF!</definedName>
    <definedName name="P_Z_8_B_COLONNE_JUSTIFICATIF_OBLIGATOIRE" localSheetId="8">#REF!</definedName>
    <definedName name="P_Z_8_B_COLONNE_JUSTIFICATIF_OBLIGATOIRE" localSheetId="10">#REF!</definedName>
    <definedName name="P_Z_8_B_COLONNE_JUSTIFICATIF_OBLIGATOIRE" localSheetId="12">#REF!</definedName>
    <definedName name="P_Z_8_B_COLONNE_JUSTIFICATIF_OBLIGATOIRE">#REF!</definedName>
    <definedName name="P_Z_8_B_COLONNE_MOTIFS_INELIGIBILITE_LIBELLE_STANDARD" localSheetId="8">#REF!</definedName>
    <definedName name="P_Z_8_B_COLONNE_MOTIFS_INELIGIBILITE_LIBELLE_STANDARD" localSheetId="10">#REF!</definedName>
    <definedName name="P_Z_8_B_COLONNE_MOTIFS_INELIGIBILITE_LIBELLE_STANDARD" localSheetId="12">#REF!</definedName>
    <definedName name="P_Z_8_B_COLONNE_MOTIFS_INELIGIBILITE_LIBELLE_STANDARD">#REF!</definedName>
    <definedName name="P_Z_8_B_COLONNE_MT_ELIGIBLE_LIBELLE_STANDARD" localSheetId="8">#REF!</definedName>
    <definedName name="P_Z_8_B_COLONNE_MT_ELIGIBLE_LIBELLE_STANDARD" localSheetId="10">#REF!</definedName>
    <definedName name="P_Z_8_B_COLONNE_MT_ELIGIBLE_LIBELLE_STANDARD" localSheetId="12">#REF!</definedName>
    <definedName name="P_Z_8_B_COLONNE_MT_ELIGIBLE_LIBELLE_STANDARD">#REF!</definedName>
    <definedName name="P_Z_8_B_COLONNE_MT_MAX_ACTIVE" localSheetId="8">#REF!</definedName>
    <definedName name="P_Z_8_B_COLONNE_MT_MAX_ACTIVE" localSheetId="10">#REF!</definedName>
    <definedName name="P_Z_8_B_COLONNE_MT_MAX_ACTIVE" localSheetId="12">#REF!</definedName>
    <definedName name="P_Z_8_B_COLONNE_MT_MAX_ACTIVE">#REF!</definedName>
    <definedName name="P_Z_8_B_COLONNE_MT_MAX_LIBELLE_STANDARD" localSheetId="8">#REF!</definedName>
    <definedName name="P_Z_8_B_COLONNE_MT_MAX_LIBELLE_STANDARD" localSheetId="10">#REF!</definedName>
    <definedName name="P_Z_8_B_COLONNE_MT_MAX_LIBELLE_STANDARD" localSheetId="12">#REF!</definedName>
    <definedName name="P_Z_8_B_COLONNE_MT_MAX_LIBELLE_STANDARD">#REF!</definedName>
    <definedName name="P_Z_8_B_COLONNE_MT_PRESENTE" localSheetId="8">#REF!</definedName>
    <definedName name="P_Z_8_B_COLONNE_MT_PRESENTE" localSheetId="10">#REF!</definedName>
    <definedName name="P_Z_8_B_COLONNE_MT_PRESENTE" localSheetId="12">#REF!</definedName>
    <definedName name="P_Z_8_B_COLONNE_MT_PRESENTE">#REF!</definedName>
    <definedName name="P_Z_8_B_COLONNE_MT_PRESENTE_INDICATION" localSheetId="8">#REF!</definedName>
    <definedName name="P_Z_8_B_COLONNE_MT_PRESENTE_INDICATION" localSheetId="10">#REF!</definedName>
    <definedName name="P_Z_8_B_COLONNE_MT_PRESENTE_INDICATION" localSheetId="12">#REF!</definedName>
    <definedName name="P_Z_8_B_COLONNE_MT_PRESENTE_INDICATION">#REF!</definedName>
    <definedName name="P_Z_8_B_COLONNE_MT_RAISONNABLE_LIBELLE_STANDARD" localSheetId="8">#REF!</definedName>
    <definedName name="P_Z_8_B_COLONNE_MT_RAISONNABLE_LIBELLE_STANDARD" localSheetId="10">#REF!</definedName>
    <definedName name="P_Z_8_B_COLONNE_MT_RAISONNABLE_LIBELLE_STANDARD" localSheetId="12">#REF!</definedName>
    <definedName name="P_Z_8_B_COLONNE_MT_RAISONNABLE_LIBELLE_STANDARD">#REF!</definedName>
    <definedName name="P_Z_8_B_COLONNE_POSTE" localSheetId="8">#REF!</definedName>
    <definedName name="P_Z_8_B_COLONNE_POSTE" localSheetId="10">#REF!</definedName>
    <definedName name="P_Z_8_B_COLONNE_POSTE" localSheetId="12">#REF!</definedName>
    <definedName name="P_Z_8_B_COLONNE_POSTE">#REF!</definedName>
    <definedName name="P_Z_8_B_COLONNE_POSTE_INDICATION" localSheetId="8">#REF!</definedName>
    <definedName name="P_Z_8_B_COLONNE_POSTE_INDICATION" localSheetId="10">#REF!</definedName>
    <definedName name="P_Z_8_B_COLONNE_POSTE_INDICATION" localSheetId="12">#REF!</definedName>
    <definedName name="P_Z_8_B_COLONNE_POSTE_INDICATION">#REF!</definedName>
    <definedName name="P_Z_8_B_COLONNE_QT_ELIGIBLE_LIBELLE_STANDARD" localSheetId="8">#REF!</definedName>
    <definedName name="P_Z_8_B_COLONNE_QT_ELIGIBLE_LIBELLE_STANDARD" localSheetId="10">#REF!</definedName>
    <definedName name="P_Z_8_B_COLONNE_QT_ELIGIBLE_LIBELLE_STANDARD" localSheetId="12">#REF!</definedName>
    <definedName name="P_Z_8_B_COLONNE_QT_ELIGIBLE_LIBELLE_STANDARD">#REF!</definedName>
    <definedName name="P_Z_8_B_COLONNE_QT_RAISONNABLE_LIBELLE_STANDARD" localSheetId="8">#REF!</definedName>
    <definedName name="P_Z_8_B_COLONNE_QT_RAISONNABLE_LIBELLE_STANDARD" localSheetId="10">#REF!</definedName>
    <definedName name="P_Z_8_B_COLONNE_QT_RAISONNABLE_LIBELLE_STANDARD" localSheetId="12">#REF!</definedName>
    <definedName name="P_Z_8_B_COLONNE_QT_RAISONNABLE_LIBELLE_STANDARD">#REF!</definedName>
    <definedName name="P_Z_8_B_COLONNE_QUANTITE" localSheetId="8">#REF!</definedName>
    <definedName name="P_Z_8_B_COLONNE_QUANTITE" localSheetId="10">#REF!</definedName>
    <definedName name="P_Z_8_B_COLONNE_QUANTITE" localSheetId="12">#REF!</definedName>
    <definedName name="P_Z_8_B_COLONNE_QUANTITE">#REF!</definedName>
    <definedName name="P_Z_8_B_COLONNE_QUANTITE_INDICATION" localSheetId="8">#REF!</definedName>
    <definedName name="P_Z_8_B_COLONNE_QUANTITE_INDICATION" localSheetId="10">#REF!</definedName>
    <definedName name="P_Z_8_B_COLONNE_QUANTITE_INDICATION" localSheetId="12">#REF!</definedName>
    <definedName name="P_Z_8_B_COLONNE_QUANTITE_INDICATION">#REF!</definedName>
    <definedName name="P_Z_8_B_COLONNE_SOUS_OPERATION" localSheetId="8">#REF!</definedName>
    <definedName name="P_Z_8_B_COLONNE_SOUS_OPERATION" localSheetId="10">#REF!</definedName>
    <definedName name="P_Z_8_B_COLONNE_SOUS_OPERATION" localSheetId="12">#REF!</definedName>
    <definedName name="P_Z_8_B_COLONNE_SOUS_OPERATION">#REF!</definedName>
    <definedName name="P_Z_8_B_COLONNE_SOUS_OPERATION_INDICATION" localSheetId="8">#REF!</definedName>
    <definedName name="P_Z_8_B_COLONNE_SOUS_OPERATION_INDICATION" localSheetId="10">#REF!</definedName>
    <definedName name="P_Z_8_B_COLONNE_SOUS_OPERATION_INDICATION" localSheetId="12">#REF!</definedName>
    <definedName name="P_Z_8_B_COLONNE_SOUS_OPERATION_INDICATION">#REF!</definedName>
    <definedName name="P_Z_8_B_COLONNE_UNITE" localSheetId="8">#REF!</definedName>
    <definedName name="P_Z_8_B_COLONNE_UNITE" localSheetId="10">#REF!</definedName>
    <definedName name="P_Z_8_B_COLONNE_UNITE" localSheetId="12">#REF!</definedName>
    <definedName name="P_Z_8_B_COLONNE_UNITE">#REF!</definedName>
    <definedName name="P_Z_8_B_COLONNE_UNITE_INDICATION" localSheetId="8">#REF!</definedName>
    <definedName name="P_Z_8_B_COLONNE_UNITE_INDICATION" localSheetId="10">#REF!</definedName>
    <definedName name="P_Z_8_B_COLONNE_UNITE_INDICATION" localSheetId="12">#REF!</definedName>
    <definedName name="P_Z_8_B_COLONNE_UNITE_INDICATION">#REF!</definedName>
    <definedName name="P_Z_8_B_COLONNE_VALEUR_BAREME" localSheetId="8">#REF!</definedName>
    <definedName name="P_Z_8_B_COLONNE_VALEUR_BAREME" localSheetId="10">#REF!</definedName>
    <definedName name="P_Z_8_B_COLONNE_VALEUR_BAREME" localSheetId="12">#REF!</definedName>
    <definedName name="P_Z_8_B_COLONNE_VALEUR_BAREME">#REF!</definedName>
    <definedName name="P_Z_8_B_COLONNE_VALEUR_BAREME_INDICATION" localSheetId="8">#REF!</definedName>
    <definedName name="P_Z_8_B_COLONNE_VALEUR_BAREME_INDICATION" localSheetId="10">#REF!</definedName>
    <definedName name="P_Z_8_B_COLONNE_VALEUR_BAREME_INDICATION" localSheetId="12">#REF!</definedName>
    <definedName name="P_Z_8_B_COLONNE_VALEUR_BAREME_INDICATION">#REF!</definedName>
    <definedName name="P_Z_8_B_EXEMPLE_UTILISATION" localSheetId="8">#REF!</definedName>
    <definedName name="P_Z_8_B_EXEMPLE_UTILISATION" localSheetId="10">#REF!</definedName>
    <definedName name="P_Z_8_B_EXEMPLE_UTILISATION" localSheetId="12">#REF!</definedName>
    <definedName name="P_Z_8_B_EXEMPLE_UTILISATION">#REF!</definedName>
    <definedName name="P_Z_8_B_INTITULE_DEPENSES_BAREMES_STANDARD" localSheetId="8">#REF!</definedName>
    <definedName name="P_Z_8_B_INTITULE_DEPENSES_BAREMES_STANDARD" localSheetId="10">#REF!</definedName>
    <definedName name="P_Z_8_B_INTITULE_DEPENSES_BAREMES_STANDARD" localSheetId="12">#REF!</definedName>
    <definedName name="P_Z_8_B_INTITULE_DEPENSES_BAREMES_STANDARD">#REF!</definedName>
    <definedName name="P_Z_8_B_UFD" localSheetId="8">#REF!</definedName>
    <definedName name="P_Z_8_B_UFD" localSheetId="10">#REF!</definedName>
    <definedName name="P_Z_8_B_UFD" localSheetId="12">#REF!</definedName>
    <definedName name="P_Z_8_B_UFD">#REF!</definedName>
    <definedName name="P_Z_8_B_ULD" localSheetId="8">#REF!</definedName>
    <definedName name="P_Z_8_B_ULD" localSheetId="10">#REF!</definedName>
    <definedName name="P_Z_8_B_ULD" localSheetId="12">#REF!</definedName>
    <definedName name="P_Z_8_B_ULD">#REF!</definedName>
    <definedName name="P_Z_8_B_UTILISATION_FILTRE_POSTES" localSheetId="8">#REF!</definedName>
    <definedName name="P_Z_8_B_UTILISATION_FILTRE_POSTES" localSheetId="10">#REF!</definedName>
    <definedName name="P_Z_8_B_UTILISATION_FILTRE_POSTES" localSheetId="12">#REF!</definedName>
    <definedName name="P_Z_8_B_UTILISATION_FILTRE_POSTES">#REF!</definedName>
    <definedName name="P_Z_8_B_UTILISATION_FILTRE_SOUS_OPERATIONS" localSheetId="8">#REF!</definedName>
    <definedName name="P_Z_8_B_UTILISATION_FILTRE_SOUS_OPERATIONS" localSheetId="10">#REF!</definedName>
    <definedName name="P_Z_8_B_UTILISATION_FILTRE_SOUS_OPERATIONS" localSheetId="12">#REF!</definedName>
    <definedName name="P_Z_8_B_UTILISATION_FILTRE_SOUS_OPERATIONS">#REF!</definedName>
    <definedName name="P_Z_8_N_COLONNE_BAREME_INDICATION_SPECIFIQUE" localSheetId="8">#REF!</definedName>
    <definedName name="P_Z_8_N_COLONNE_BAREME_INDICATION_SPECIFIQUE" localSheetId="10">#REF!</definedName>
    <definedName name="P_Z_8_N_COLONNE_BAREME_INDICATION_SPECIFIQUE" localSheetId="12">#REF!</definedName>
    <definedName name="P_Z_8_N_COLONNE_BAREME_INDICATION_SPECIFIQUE">#REF!</definedName>
    <definedName name="P_Z_8_N_COLONNE_BAREME_INDICATION_STANDARD" localSheetId="8">#REF!</definedName>
    <definedName name="P_Z_8_N_COLONNE_BAREME_INDICATION_STANDARD" localSheetId="10">#REF!</definedName>
    <definedName name="P_Z_8_N_COLONNE_BAREME_INDICATION_STANDARD" localSheetId="12">#REF!</definedName>
    <definedName name="P_Z_8_N_COLONNE_BAREME_INDICATION_STANDARD">#REF!</definedName>
    <definedName name="P_Z_8_N_COLONNE_BAREME_SPECIFIQUE" localSheetId="8">#REF!</definedName>
    <definedName name="P_Z_8_N_COLONNE_BAREME_SPECIFIQUE" localSheetId="10">#REF!</definedName>
    <definedName name="P_Z_8_N_COLONNE_BAREME_SPECIFIQUE" localSheetId="12">#REF!</definedName>
    <definedName name="P_Z_8_N_COLONNE_BAREME_SPECIFIQUE">#REF!</definedName>
    <definedName name="P_Z_8_N_COLONNE_BAREME_STANDARD" localSheetId="8">#REF!</definedName>
    <definedName name="P_Z_8_N_COLONNE_BAREME_STANDARD" localSheetId="10">#REF!</definedName>
    <definedName name="P_Z_8_N_COLONNE_BAREME_STANDARD" localSheetId="12">#REF!</definedName>
    <definedName name="P_Z_8_N_COLONNE_BAREME_STANDARD">#REF!</definedName>
    <definedName name="P_Z_8_N_COLONNE_COMMENTAIRE_INDICATION_SPECIFIQUE" localSheetId="8">#REF!</definedName>
    <definedName name="P_Z_8_N_COLONNE_COMMENTAIRE_INDICATION_SPECIFIQUE" localSheetId="10">#REF!</definedName>
    <definedName name="P_Z_8_N_COLONNE_COMMENTAIRE_INDICATION_SPECIFIQUE" localSheetId="12">#REF!</definedName>
    <definedName name="P_Z_8_N_COLONNE_COMMENTAIRE_INDICATION_SPECIFIQUE">#REF!</definedName>
    <definedName name="P_Z_8_N_COLONNE_COMMENTAIRE_INDICATION_STANDARD" localSheetId="8">#REF!</definedName>
    <definedName name="P_Z_8_N_COLONNE_COMMENTAIRE_INDICATION_STANDARD" localSheetId="10">#REF!</definedName>
    <definedName name="P_Z_8_N_COLONNE_COMMENTAIRE_INDICATION_STANDARD" localSheetId="12">#REF!</definedName>
    <definedName name="P_Z_8_N_COLONNE_COMMENTAIRE_INDICATION_STANDARD">#REF!</definedName>
    <definedName name="P_Z_8_N_COLONNE_COMMENTAIRE_SI_LIBELLE_DEFAUT" localSheetId="8">#REF!</definedName>
    <definedName name="P_Z_8_N_COLONNE_COMMENTAIRE_SI_LIBELLE_DEFAUT" localSheetId="10">#REF!</definedName>
    <definedName name="P_Z_8_N_COLONNE_COMMENTAIRE_SI_LIBELLE_DEFAUT" localSheetId="12">#REF!</definedName>
    <definedName name="P_Z_8_N_COLONNE_COMMENTAIRE_SI_LIBELLE_DEFAUT">#REF!</definedName>
    <definedName name="P_Z_8_N_COLONNE_COMMENTAIRE_SI_LIBELLE_SPECIFIQUE" localSheetId="8">#REF!</definedName>
    <definedName name="P_Z_8_N_COLONNE_COMMENTAIRE_SI_LIBELLE_SPECIFIQUE" localSheetId="10">#REF!</definedName>
    <definedName name="P_Z_8_N_COLONNE_COMMENTAIRE_SI_LIBELLE_SPECIFIQUE" localSheetId="12">#REF!</definedName>
    <definedName name="P_Z_8_N_COLONNE_COMMENTAIRE_SI_LIBELLE_SPECIFIQUE">#REF!</definedName>
    <definedName name="P_Z_8_N_COLONNE_COMMENTAIRE_SPECIFIQUE" localSheetId="8">#REF!</definedName>
    <definedName name="P_Z_8_N_COLONNE_COMMENTAIRE_SPECIFIQUE" localSheetId="10">#REF!</definedName>
    <definedName name="P_Z_8_N_COLONNE_COMMENTAIRE_SPECIFIQUE" localSheetId="12">#REF!</definedName>
    <definedName name="P_Z_8_N_COLONNE_COMMENTAIRE_SPECIFIQUE">#REF!</definedName>
    <definedName name="P_Z_8_N_COLONNE_COMMENTAIRE_STANDARD" localSheetId="8">#REF!</definedName>
    <definedName name="P_Z_8_N_COLONNE_COMMENTAIRE_STANDARD" localSheetId="10">#REF!</definedName>
    <definedName name="P_Z_8_N_COLONNE_COMMENTAIRE_STANDARD" localSheetId="12">#REF!</definedName>
    <definedName name="P_Z_8_N_COLONNE_COMMENTAIRE_STANDARD">#REF!</definedName>
    <definedName name="P_Z_8_N_COLONNE_DESCRIPTION_INDICATION_SPECIFIQUE" localSheetId="8">#REF!</definedName>
    <definedName name="P_Z_8_N_COLONNE_DESCRIPTION_INDICATION_SPECIFIQUE" localSheetId="10">#REF!</definedName>
    <definedName name="P_Z_8_N_COLONNE_DESCRIPTION_INDICATION_SPECIFIQUE" localSheetId="12">#REF!</definedName>
    <definedName name="P_Z_8_N_COLONNE_DESCRIPTION_INDICATION_SPECIFIQUE">#REF!</definedName>
    <definedName name="P_Z_8_N_COLONNE_DESCRIPTION_INDICATION_STANDARD" localSheetId="8">#REF!</definedName>
    <definedName name="P_Z_8_N_COLONNE_DESCRIPTION_INDICATION_STANDARD" localSheetId="10">#REF!</definedName>
    <definedName name="P_Z_8_N_COLONNE_DESCRIPTION_INDICATION_STANDARD" localSheetId="12">#REF!</definedName>
    <definedName name="P_Z_8_N_COLONNE_DESCRIPTION_INDICATION_STANDARD">#REF!</definedName>
    <definedName name="P_Z_8_N_COLONNE_DESCRIPTION_SPECIFIQUE" localSheetId="8">#REF!</definedName>
    <definedName name="P_Z_8_N_COLONNE_DESCRIPTION_SPECIFIQUE" localSheetId="10">#REF!</definedName>
    <definedName name="P_Z_8_N_COLONNE_DESCRIPTION_SPECIFIQUE" localSheetId="12">#REF!</definedName>
    <definedName name="P_Z_8_N_COLONNE_DESCRIPTION_SPECIFIQUE">#REF!</definedName>
    <definedName name="P_Z_8_N_COLONNE_DESCRIPTION_STANDARD" localSheetId="8">#REF!</definedName>
    <definedName name="P_Z_8_N_COLONNE_DESCRIPTION_STANDARD" localSheetId="10">#REF!</definedName>
    <definedName name="P_Z_8_N_COLONNE_DESCRIPTION_STANDARD" localSheetId="12">#REF!</definedName>
    <definedName name="P_Z_8_N_COLONNE_DESCRIPTION_STANDARD">#REF!</definedName>
    <definedName name="P_Z_8_N_COLONNE_JUSTIFICATIF_INDICATION_SPECIFIQUE" localSheetId="8">#REF!</definedName>
    <definedName name="P_Z_8_N_COLONNE_JUSTIFICATIF_INDICATION_SPECIFIQUE" localSheetId="10">#REF!</definedName>
    <definedName name="P_Z_8_N_COLONNE_JUSTIFICATIF_INDICATION_SPECIFIQUE" localSheetId="12">#REF!</definedName>
    <definedName name="P_Z_8_N_COLONNE_JUSTIFICATIF_INDICATION_SPECIFIQUE">#REF!</definedName>
    <definedName name="P_Z_8_N_COLONNE_JUSTIFICATIF_INDICATION_STANDARD" localSheetId="8">#REF!</definedName>
    <definedName name="P_Z_8_N_COLONNE_JUSTIFICATIF_INDICATION_STANDARD" localSheetId="10">#REF!</definedName>
    <definedName name="P_Z_8_N_COLONNE_JUSTIFICATIF_INDICATION_STANDARD" localSheetId="12">#REF!</definedName>
    <definedName name="P_Z_8_N_COLONNE_JUSTIFICATIF_INDICATION_STANDARD">#REF!</definedName>
    <definedName name="P_Z_8_N_COLONNE_JUSTIFICATIF_SPECIFIQUE" localSheetId="8">#REF!</definedName>
    <definedName name="P_Z_8_N_COLONNE_JUSTIFICATIF_SPECIFIQUE" localSheetId="10">#REF!</definedName>
    <definedName name="P_Z_8_N_COLONNE_JUSTIFICATIF_SPECIFIQUE" localSheetId="12">#REF!</definedName>
    <definedName name="P_Z_8_N_COLONNE_JUSTIFICATIF_SPECIFIQUE">#REF!</definedName>
    <definedName name="P_Z_8_N_COLONNE_JUSTIFICATIF_STANDARD" localSheetId="8">#REF!</definedName>
    <definedName name="P_Z_8_N_COLONNE_JUSTIFICATIF_STANDARD" localSheetId="10">#REF!</definedName>
    <definedName name="P_Z_8_N_COLONNE_JUSTIFICATIF_STANDARD" localSheetId="12">#REF!</definedName>
    <definedName name="P_Z_8_N_COLONNE_JUSTIFICATIF_STANDARD">#REF!</definedName>
    <definedName name="P_Z_8_N_COLONNE_MOTIFS_INELIGIBILITE_LIBELLE_DEFAUT" localSheetId="8">#REF!</definedName>
    <definedName name="P_Z_8_N_COLONNE_MOTIFS_INELIGIBILITE_LIBELLE_DEFAUT" localSheetId="10">#REF!</definedName>
    <definedName name="P_Z_8_N_COLONNE_MOTIFS_INELIGIBILITE_LIBELLE_DEFAUT" localSheetId="12">#REF!</definedName>
    <definedName name="P_Z_8_N_COLONNE_MOTIFS_INELIGIBILITE_LIBELLE_DEFAUT">#REF!</definedName>
    <definedName name="P_Z_8_N_COLONNE_MOTIFS_INELIGIBILITE_LIBELLE_SPECIFIQUE" localSheetId="8">#REF!</definedName>
    <definedName name="P_Z_8_N_COLONNE_MOTIFS_INELIGIBILITE_LIBELLE_SPECIFIQUE" localSheetId="10">#REF!</definedName>
    <definedName name="P_Z_8_N_COLONNE_MOTIFS_INELIGIBILITE_LIBELLE_SPECIFIQUE" localSheetId="12">#REF!</definedName>
    <definedName name="P_Z_8_N_COLONNE_MOTIFS_INELIGIBILITE_LIBELLE_SPECIFIQUE">#REF!</definedName>
    <definedName name="P_Z_8_N_COLONNE_MT_ELIGIBLE_LIBELLE_DEFAUT" localSheetId="8">#REF!</definedName>
    <definedName name="P_Z_8_N_COLONNE_MT_ELIGIBLE_LIBELLE_DEFAUT" localSheetId="10">#REF!</definedName>
    <definedName name="P_Z_8_N_COLONNE_MT_ELIGIBLE_LIBELLE_DEFAUT" localSheetId="12">#REF!</definedName>
    <definedName name="P_Z_8_N_COLONNE_MT_ELIGIBLE_LIBELLE_DEFAUT">#REF!</definedName>
    <definedName name="P_Z_8_N_COLONNE_MT_ELIGIBLE_LIBELLE_SPECIFIQUE" localSheetId="8">#REF!</definedName>
    <definedName name="P_Z_8_N_COLONNE_MT_ELIGIBLE_LIBELLE_SPECIFIQUE" localSheetId="10">#REF!</definedName>
    <definedName name="P_Z_8_N_COLONNE_MT_ELIGIBLE_LIBELLE_SPECIFIQUE" localSheetId="12">#REF!</definedName>
    <definedName name="P_Z_8_N_COLONNE_MT_ELIGIBLE_LIBELLE_SPECIFIQUE">#REF!</definedName>
    <definedName name="P_Z_8_N_COLONNE_MT_MAX_LIBELLE_DEFAUT" localSheetId="8">#REF!</definedName>
    <definedName name="P_Z_8_N_COLONNE_MT_MAX_LIBELLE_DEFAUT" localSheetId="10">#REF!</definedName>
    <definedName name="P_Z_8_N_COLONNE_MT_MAX_LIBELLE_DEFAUT" localSheetId="12">#REF!</definedName>
    <definedName name="P_Z_8_N_COLONNE_MT_MAX_LIBELLE_DEFAUT">#REF!</definedName>
    <definedName name="P_Z_8_N_COLONNE_MT_MAX_LIBELLE_SPECIFIQUE" localSheetId="8">#REF!</definedName>
    <definedName name="P_Z_8_N_COLONNE_MT_MAX_LIBELLE_SPECIFIQUE" localSheetId="10">#REF!</definedName>
    <definedName name="P_Z_8_N_COLONNE_MT_MAX_LIBELLE_SPECIFIQUE" localSheetId="12">#REF!</definedName>
    <definedName name="P_Z_8_N_COLONNE_MT_MAX_LIBELLE_SPECIFIQUE">#REF!</definedName>
    <definedName name="P_Z_8_N_COLONNE_MT_PRESENTE_INDICATION_SPECIFIQUE" localSheetId="8">#REF!</definedName>
    <definedName name="P_Z_8_N_COLONNE_MT_PRESENTE_INDICATION_SPECIFIQUE" localSheetId="10">#REF!</definedName>
    <definedName name="P_Z_8_N_COLONNE_MT_PRESENTE_INDICATION_SPECIFIQUE" localSheetId="12">#REF!</definedName>
    <definedName name="P_Z_8_N_COLONNE_MT_PRESENTE_INDICATION_SPECIFIQUE">#REF!</definedName>
    <definedName name="P_Z_8_N_COLONNE_MT_PRESENTE_INDICATION_STANDARD" localSheetId="8">#REF!</definedName>
    <definedName name="P_Z_8_N_COLONNE_MT_PRESENTE_INDICATION_STANDARD" localSheetId="10">#REF!</definedName>
    <definedName name="P_Z_8_N_COLONNE_MT_PRESENTE_INDICATION_STANDARD" localSheetId="12">#REF!</definedName>
    <definedName name="P_Z_8_N_COLONNE_MT_PRESENTE_INDICATION_STANDARD">#REF!</definedName>
    <definedName name="P_Z_8_N_COLONNE_MT_PRESENTE_SPECIFIQUE" localSheetId="8">#REF!</definedName>
    <definedName name="P_Z_8_N_COLONNE_MT_PRESENTE_SPECIFIQUE" localSheetId="10">#REF!</definedName>
    <definedName name="P_Z_8_N_COLONNE_MT_PRESENTE_SPECIFIQUE" localSheetId="12">#REF!</definedName>
    <definedName name="P_Z_8_N_COLONNE_MT_PRESENTE_SPECIFIQUE">#REF!</definedName>
    <definedName name="P_Z_8_N_COLONNE_MT_PRESENTE_STANDARD" localSheetId="8">#REF!</definedName>
    <definedName name="P_Z_8_N_COLONNE_MT_PRESENTE_STANDARD" localSheetId="10">#REF!</definedName>
    <definedName name="P_Z_8_N_COLONNE_MT_PRESENTE_STANDARD" localSheetId="12">#REF!</definedName>
    <definedName name="P_Z_8_N_COLONNE_MT_PRESENTE_STANDARD">#REF!</definedName>
    <definedName name="P_Z_8_N_COLONNE_MT_RAISONNABLE_LIBELLE_DEFAUT" localSheetId="8">#REF!</definedName>
    <definedName name="P_Z_8_N_COLONNE_MT_RAISONNABLE_LIBELLE_DEFAUT" localSheetId="10">#REF!</definedName>
    <definedName name="P_Z_8_N_COLONNE_MT_RAISONNABLE_LIBELLE_DEFAUT" localSheetId="12">#REF!</definedName>
    <definedName name="P_Z_8_N_COLONNE_MT_RAISONNABLE_LIBELLE_DEFAUT">#REF!</definedName>
    <definedName name="P_Z_8_N_COLONNE_MT_RAISONNABLE_LIBELLE_SPECIFIQUE" localSheetId="8">#REF!</definedName>
    <definedName name="P_Z_8_N_COLONNE_MT_RAISONNABLE_LIBELLE_SPECIFIQUE" localSheetId="10">#REF!</definedName>
    <definedName name="P_Z_8_N_COLONNE_MT_RAISONNABLE_LIBELLE_SPECIFIQUE" localSheetId="12">#REF!</definedName>
    <definedName name="P_Z_8_N_COLONNE_MT_RAISONNABLE_LIBELLE_SPECIFIQUE">#REF!</definedName>
    <definedName name="P_Z_8_N_COLONNE_POSTE_INDICATION_SPECIFIQUE" localSheetId="8">#REF!</definedName>
    <definedName name="P_Z_8_N_COLONNE_POSTE_INDICATION_SPECIFIQUE" localSheetId="10">#REF!</definedName>
    <definedName name="P_Z_8_N_COLONNE_POSTE_INDICATION_SPECIFIQUE" localSheetId="12">#REF!</definedName>
    <definedName name="P_Z_8_N_COLONNE_POSTE_INDICATION_SPECIFIQUE">#REF!</definedName>
    <definedName name="P_Z_8_N_COLONNE_POSTE_INDICATION_STANDARD" localSheetId="8">#REF!</definedName>
    <definedName name="P_Z_8_N_COLONNE_POSTE_INDICATION_STANDARD" localSheetId="10">#REF!</definedName>
    <definedName name="P_Z_8_N_COLONNE_POSTE_INDICATION_STANDARD" localSheetId="12">#REF!</definedName>
    <definedName name="P_Z_8_N_COLONNE_POSTE_INDICATION_STANDARD">#REF!</definedName>
    <definedName name="P_Z_8_N_COLONNE_POSTE_SPECIFIQUE" localSheetId="8">#REF!</definedName>
    <definedName name="P_Z_8_N_COLONNE_POSTE_SPECIFIQUE" localSheetId="10">#REF!</definedName>
    <definedName name="P_Z_8_N_COLONNE_POSTE_SPECIFIQUE" localSheetId="12">#REF!</definedName>
    <definedName name="P_Z_8_N_COLONNE_POSTE_SPECIFIQUE">#REF!</definedName>
    <definedName name="P_Z_8_N_COLONNE_POSTE_STANDARD" localSheetId="8">#REF!</definedName>
    <definedName name="P_Z_8_N_COLONNE_POSTE_STANDARD" localSheetId="10">#REF!</definedName>
    <definedName name="P_Z_8_N_COLONNE_POSTE_STANDARD" localSheetId="12">#REF!</definedName>
    <definedName name="P_Z_8_N_COLONNE_POSTE_STANDARD">#REF!</definedName>
    <definedName name="P_Z_8_N_COLONNE_QT_ELIGIBLE_LIBELLE_DEFAUT" localSheetId="8">#REF!</definedName>
    <definedName name="P_Z_8_N_COLONNE_QT_ELIGIBLE_LIBELLE_DEFAUT" localSheetId="10">#REF!</definedName>
    <definedName name="P_Z_8_N_COLONNE_QT_ELIGIBLE_LIBELLE_DEFAUT" localSheetId="12">#REF!</definedName>
    <definedName name="P_Z_8_N_COLONNE_QT_ELIGIBLE_LIBELLE_DEFAUT">#REF!</definedName>
    <definedName name="P_Z_8_N_COLONNE_QT_ELIGIBLE_LIBELLE_SPECIFIQUE" localSheetId="8">#REF!</definedName>
    <definedName name="P_Z_8_N_COLONNE_QT_ELIGIBLE_LIBELLE_SPECIFIQUE" localSheetId="10">#REF!</definedName>
    <definedName name="P_Z_8_N_COLONNE_QT_ELIGIBLE_LIBELLE_SPECIFIQUE" localSheetId="12">#REF!</definedName>
    <definedName name="P_Z_8_N_COLONNE_QT_ELIGIBLE_LIBELLE_SPECIFIQUE">#REF!</definedName>
    <definedName name="P_Z_8_N_COLONNE_QT_RAISONNABLE_LIBELLE_DEFAUT" localSheetId="8">#REF!</definedName>
    <definedName name="P_Z_8_N_COLONNE_QT_RAISONNABLE_LIBELLE_DEFAUT" localSheetId="10">#REF!</definedName>
    <definedName name="P_Z_8_N_COLONNE_QT_RAISONNABLE_LIBELLE_DEFAUT" localSheetId="12">#REF!</definedName>
    <definedName name="P_Z_8_N_COLONNE_QT_RAISONNABLE_LIBELLE_DEFAUT">#REF!</definedName>
    <definedName name="P_Z_8_N_COLONNE_QT_RAISONNABLE_LIBELLE_SPECIFIQUE" localSheetId="8">#REF!</definedName>
    <definedName name="P_Z_8_N_COLONNE_QT_RAISONNABLE_LIBELLE_SPECIFIQUE" localSheetId="10">#REF!</definedName>
    <definedName name="P_Z_8_N_COLONNE_QT_RAISONNABLE_LIBELLE_SPECIFIQUE" localSheetId="12">#REF!</definedName>
    <definedName name="P_Z_8_N_COLONNE_QT_RAISONNABLE_LIBELLE_SPECIFIQUE">#REF!</definedName>
    <definedName name="P_Z_8_N_COLONNE_QUANTITE_INDICATION_SPECIFIQUE" localSheetId="8">#REF!</definedName>
    <definedName name="P_Z_8_N_COLONNE_QUANTITE_INDICATION_SPECIFIQUE" localSheetId="10">#REF!</definedName>
    <definedName name="P_Z_8_N_COLONNE_QUANTITE_INDICATION_SPECIFIQUE" localSheetId="12">#REF!</definedName>
    <definedName name="P_Z_8_N_COLONNE_QUANTITE_INDICATION_SPECIFIQUE">#REF!</definedName>
    <definedName name="P_Z_8_N_COLONNE_QUANTITE_INDICATION_STANDARD" localSheetId="8">#REF!</definedName>
    <definedName name="P_Z_8_N_COLONNE_QUANTITE_INDICATION_STANDARD" localSheetId="10">#REF!</definedName>
    <definedName name="P_Z_8_N_COLONNE_QUANTITE_INDICATION_STANDARD" localSheetId="12">#REF!</definedName>
    <definedName name="P_Z_8_N_COLONNE_QUANTITE_INDICATION_STANDARD">#REF!</definedName>
    <definedName name="P_Z_8_N_COLONNE_QUANTITE_SPECIFIQUE" localSheetId="8">#REF!</definedName>
    <definedName name="P_Z_8_N_COLONNE_QUANTITE_SPECIFIQUE" localSheetId="10">#REF!</definedName>
    <definedName name="P_Z_8_N_COLONNE_QUANTITE_SPECIFIQUE" localSheetId="12">#REF!</definedName>
    <definedName name="P_Z_8_N_COLONNE_QUANTITE_SPECIFIQUE">#REF!</definedName>
    <definedName name="P_Z_8_N_COLONNE_QUANTITE_STANDARD" localSheetId="8">#REF!</definedName>
    <definedName name="P_Z_8_N_COLONNE_QUANTITE_STANDARD" localSheetId="10">#REF!</definedName>
    <definedName name="P_Z_8_N_COLONNE_QUANTITE_STANDARD" localSheetId="12">#REF!</definedName>
    <definedName name="P_Z_8_N_COLONNE_QUANTITE_STANDARD">#REF!</definedName>
    <definedName name="P_Z_8_N_COLONNE_SOUS_OPERATION_INDICATION_SPECIFIQUE" localSheetId="8">#REF!</definedName>
    <definedName name="P_Z_8_N_COLONNE_SOUS_OPERATION_INDICATION_SPECIFIQUE" localSheetId="10">#REF!</definedName>
    <definedName name="P_Z_8_N_COLONNE_SOUS_OPERATION_INDICATION_SPECIFIQUE" localSheetId="12">#REF!</definedName>
    <definedName name="P_Z_8_N_COLONNE_SOUS_OPERATION_INDICATION_SPECIFIQUE">#REF!</definedName>
    <definedName name="P_Z_8_N_COLONNE_SOUS_OPERATION_INDICATION_STANDARD" localSheetId="8">#REF!</definedName>
    <definedName name="P_Z_8_N_COLONNE_SOUS_OPERATION_INDICATION_STANDARD" localSheetId="10">#REF!</definedName>
    <definedName name="P_Z_8_N_COLONNE_SOUS_OPERATION_INDICATION_STANDARD" localSheetId="12">#REF!</definedName>
    <definedName name="P_Z_8_N_COLONNE_SOUS_OPERATION_INDICATION_STANDARD">#REF!</definedName>
    <definedName name="P_Z_8_N_COLONNE_SOUS_OPERATION_SPECIFIQUE" localSheetId="8">#REF!</definedName>
    <definedName name="P_Z_8_N_COLONNE_SOUS_OPERATION_SPECIFIQUE" localSheetId="10">#REF!</definedName>
    <definedName name="P_Z_8_N_COLONNE_SOUS_OPERATION_SPECIFIQUE" localSheetId="12">#REF!</definedName>
    <definedName name="P_Z_8_N_COLONNE_SOUS_OPERATION_SPECIFIQUE">#REF!</definedName>
    <definedName name="P_Z_8_N_COLONNE_SOUS_OPERATION_STANDARD" localSheetId="8">#REF!</definedName>
    <definedName name="P_Z_8_N_COLONNE_SOUS_OPERATION_STANDARD" localSheetId="10">#REF!</definedName>
    <definedName name="P_Z_8_N_COLONNE_SOUS_OPERATION_STANDARD" localSheetId="12">#REF!</definedName>
    <definedName name="P_Z_8_N_COLONNE_SOUS_OPERATION_STANDARD">#REF!</definedName>
    <definedName name="P_Z_8_N_COLONNE_UNITE_INDICATION_SPECIFIQUE" localSheetId="8">#REF!</definedName>
    <definedName name="P_Z_8_N_COLONNE_UNITE_INDICATION_SPECIFIQUE" localSheetId="10">#REF!</definedName>
    <definedName name="P_Z_8_N_COLONNE_UNITE_INDICATION_SPECIFIQUE" localSheetId="12">#REF!</definedName>
    <definedName name="P_Z_8_N_COLONNE_UNITE_INDICATION_SPECIFIQUE">#REF!</definedName>
    <definedName name="P_Z_8_N_COLONNE_UNITE_INDICATION_STANDARD" localSheetId="8">#REF!</definedName>
    <definedName name="P_Z_8_N_COLONNE_UNITE_INDICATION_STANDARD" localSheetId="10">#REF!</definedName>
    <definedName name="P_Z_8_N_COLONNE_UNITE_INDICATION_STANDARD" localSheetId="12">#REF!</definedName>
    <definedName name="P_Z_8_N_COLONNE_UNITE_INDICATION_STANDARD">#REF!</definedName>
    <definedName name="P_Z_8_N_COLONNE_UNITE_SPECIFIQUE" localSheetId="8">#REF!</definedName>
    <definedName name="P_Z_8_N_COLONNE_UNITE_SPECIFIQUE" localSheetId="10">#REF!</definedName>
    <definedName name="P_Z_8_N_COLONNE_UNITE_SPECIFIQUE" localSheetId="12">#REF!</definedName>
    <definedName name="P_Z_8_N_COLONNE_UNITE_SPECIFIQUE">#REF!</definedName>
    <definedName name="P_Z_8_N_COLONNE_UNITE_STANDARD" localSheetId="8">#REF!</definedName>
    <definedName name="P_Z_8_N_COLONNE_UNITE_STANDARD" localSheetId="10">#REF!</definedName>
    <definedName name="P_Z_8_N_COLONNE_UNITE_STANDARD" localSheetId="12">#REF!</definedName>
    <definedName name="P_Z_8_N_COLONNE_UNITE_STANDARD">#REF!</definedName>
    <definedName name="P_Z_8_N_COLONNE_VALEUR_BAREME_INDICATION_SPECIFIQUE" localSheetId="8">#REF!</definedName>
    <definedName name="P_Z_8_N_COLONNE_VALEUR_BAREME_INDICATION_SPECIFIQUE" localSheetId="10">#REF!</definedName>
    <definedName name="P_Z_8_N_COLONNE_VALEUR_BAREME_INDICATION_SPECIFIQUE" localSheetId="12">#REF!</definedName>
    <definedName name="P_Z_8_N_COLONNE_VALEUR_BAREME_INDICATION_SPECIFIQUE">#REF!</definedName>
    <definedName name="P_Z_8_N_COLONNE_VALEUR_BAREME_INDICATION_STANDARD" localSheetId="8">#REF!</definedName>
    <definedName name="P_Z_8_N_COLONNE_VALEUR_BAREME_INDICATION_STANDARD" localSheetId="10">#REF!</definedName>
    <definedName name="P_Z_8_N_COLONNE_VALEUR_BAREME_INDICATION_STANDARD" localSheetId="12">#REF!</definedName>
    <definedName name="P_Z_8_N_COLONNE_VALEUR_BAREME_INDICATION_STANDARD">#REF!</definedName>
    <definedName name="P_Z_8_N_COLONNE_VALEUR_BAREME_SPECIFIQUE" localSheetId="8">#REF!</definedName>
    <definedName name="P_Z_8_N_COLONNE_VALEUR_BAREME_SPECIFIQUE" localSheetId="10">#REF!</definedName>
    <definedName name="P_Z_8_N_COLONNE_VALEUR_BAREME_SPECIFIQUE" localSheetId="12">#REF!</definedName>
    <definedName name="P_Z_8_N_COLONNE_VALEUR_BAREME_SPECIFIQUE">#REF!</definedName>
    <definedName name="P_Z_8_N_COLONNE_VALEUR_BAREME_STANDARD" localSheetId="8">#REF!</definedName>
    <definedName name="P_Z_8_N_COLONNE_VALEUR_BAREME_STANDARD" localSheetId="10">#REF!</definedName>
    <definedName name="P_Z_8_N_COLONNE_VALEUR_BAREME_STANDARD" localSheetId="12">#REF!</definedName>
    <definedName name="P_Z_8_N_COLONNE_VALEUR_BAREME_STANDARD">#REF!</definedName>
    <definedName name="P_Z_8_N_CONSIGNE_DEPENSES_BAREMES" localSheetId="8">#REF!</definedName>
    <definedName name="P_Z_8_N_CONSIGNE_DEPENSES_BAREMES" localSheetId="10">#REF!</definedName>
    <definedName name="P_Z_8_N_CONSIGNE_DEPENSES_BAREMES" localSheetId="12">#REF!</definedName>
    <definedName name="P_Z_8_N_CONSIGNE_DEPENSES_BAREMES">#REF!</definedName>
    <definedName name="P_Z_8_N_EXEMPLE_BAREME" localSheetId="8">#REF!</definedName>
    <definedName name="P_Z_8_N_EXEMPLE_BAREME" localSheetId="10">#REF!</definedName>
    <definedName name="P_Z_8_N_EXEMPLE_BAREME" localSheetId="12">#REF!</definedName>
    <definedName name="P_Z_8_N_EXEMPLE_BAREME">#REF!</definedName>
    <definedName name="P_Z_8_N_EXEMPLE_COMMENTAIRE" localSheetId="8">#REF!</definedName>
    <definedName name="P_Z_8_N_EXEMPLE_COMMENTAIRE" localSheetId="10">#REF!</definedName>
    <definedName name="P_Z_8_N_EXEMPLE_COMMENTAIRE" localSheetId="12">#REF!</definedName>
    <definedName name="P_Z_8_N_EXEMPLE_COMMENTAIRE">#REF!</definedName>
    <definedName name="P_Z_8_N_EXEMPLE_DESCRIPTION" localSheetId="8">#REF!</definedName>
    <definedName name="P_Z_8_N_EXEMPLE_DESCRIPTION" localSheetId="10">#REF!</definedName>
    <definedName name="P_Z_8_N_EXEMPLE_DESCRIPTION" localSheetId="12">#REF!</definedName>
    <definedName name="P_Z_8_N_EXEMPLE_DESCRIPTION">#REF!</definedName>
    <definedName name="P_Z_8_N_EXEMPLE_DONNEES" localSheetId="8">#REF!</definedName>
    <definedName name="P_Z_8_N_EXEMPLE_DONNEES" localSheetId="10">#REF!</definedName>
    <definedName name="P_Z_8_N_EXEMPLE_DONNEES" localSheetId="12">#REF!</definedName>
    <definedName name="P_Z_8_N_EXEMPLE_DONNEES">#REF!</definedName>
    <definedName name="P_Z_8_N_EXEMPLE_JUSTIFICATIF" localSheetId="8">#REF!</definedName>
    <definedName name="P_Z_8_N_EXEMPLE_JUSTIFICATIF" localSheetId="10">#REF!</definedName>
    <definedName name="P_Z_8_N_EXEMPLE_JUSTIFICATIF" localSheetId="12">#REF!</definedName>
    <definedName name="P_Z_8_N_EXEMPLE_JUSTIFICATIF">#REF!</definedName>
    <definedName name="P_Z_8_N_EXEMPLE_MT_PRESENTE" localSheetId="8">#REF!</definedName>
    <definedName name="P_Z_8_N_EXEMPLE_MT_PRESENTE" localSheetId="10">#REF!</definedName>
    <definedName name="P_Z_8_N_EXEMPLE_MT_PRESENTE" localSheetId="12">#REF!</definedName>
    <definedName name="P_Z_8_N_EXEMPLE_MT_PRESENTE">#REF!</definedName>
    <definedName name="P_Z_8_N_EXEMPLE_POSTE" localSheetId="8">#REF!</definedName>
    <definedName name="P_Z_8_N_EXEMPLE_POSTE" localSheetId="10">#REF!</definedName>
    <definedName name="P_Z_8_N_EXEMPLE_POSTE" localSheetId="12">#REF!</definedName>
    <definedName name="P_Z_8_N_EXEMPLE_POSTE">#REF!</definedName>
    <definedName name="P_Z_8_N_EXEMPLE_QUANTITE" localSheetId="8">#REF!</definedName>
    <definedName name="P_Z_8_N_EXEMPLE_QUANTITE" localSheetId="10">#REF!</definedName>
    <definedName name="P_Z_8_N_EXEMPLE_QUANTITE" localSheetId="12">#REF!</definedName>
    <definedName name="P_Z_8_N_EXEMPLE_QUANTITE">#REF!</definedName>
    <definedName name="P_Z_8_N_EXEMPLE_SOUS_OPERATION" localSheetId="8">#REF!</definedName>
    <definedName name="P_Z_8_N_EXEMPLE_SOUS_OPERATION" localSheetId="10">#REF!</definedName>
    <definedName name="P_Z_8_N_EXEMPLE_SOUS_OPERATION" localSheetId="12">#REF!</definedName>
    <definedName name="P_Z_8_N_EXEMPLE_SOUS_OPERATION">#REF!</definedName>
    <definedName name="P_Z_8_N_EXEMPLE_UNITE" localSheetId="8">#REF!</definedName>
    <definedName name="P_Z_8_N_EXEMPLE_UNITE" localSheetId="10">#REF!</definedName>
    <definedName name="P_Z_8_N_EXEMPLE_UNITE" localSheetId="12">#REF!</definedName>
    <definedName name="P_Z_8_N_EXEMPLE_UNITE">#REF!</definedName>
    <definedName name="P_Z_8_N_EXEMPLE_VALEUR_BAREME" localSheetId="8">#REF!</definedName>
    <definedName name="P_Z_8_N_EXEMPLE_VALEUR_BAREME" localSheetId="10">#REF!</definedName>
    <definedName name="P_Z_8_N_EXEMPLE_VALEUR_BAREME" localSheetId="12">#REF!</definedName>
    <definedName name="P_Z_8_N_EXEMPLE_VALEUR_BAREME">#REF!</definedName>
    <definedName name="P_Z_8_N_INTITULE_DEPENSES_BAREMES_DEFAUT" localSheetId="8">#REF!</definedName>
    <definedName name="P_Z_8_N_INTITULE_DEPENSES_BAREMES_DEFAUT" localSheetId="10">#REF!</definedName>
    <definedName name="P_Z_8_N_INTITULE_DEPENSES_BAREMES_DEFAUT" localSheetId="12">#REF!</definedName>
    <definedName name="P_Z_8_N_INTITULE_DEPENSES_BAREMES_DEFAUT">#REF!</definedName>
    <definedName name="P_Z_8_N_INTITULE_DEPENSES_BAREMES_SPECIFIQUE" localSheetId="8">#REF!</definedName>
    <definedName name="P_Z_8_N_INTITULE_DEPENSES_BAREMES_SPECIFIQUE" localSheetId="10">#REF!</definedName>
    <definedName name="P_Z_8_N_INTITULE_DEPENSES_BAREMES_SPECIFIQUE" localSheetId="12">#REF!</definedName>
    <definedName name="P_Z_8_N_INTITULE_DEPENSES_BAREMES_SPECIFIQUE">#REF!</definedName>
    <definedName name="P_Z_8_R_LIBELLES_CODES_BAREMES" localSheetId="8">#REF!</definedName>
    <definedName name="P_Z_8_R_LIBELLES_CODES_BAREMES" localSheetId="10">#REF!</definedName>
    <definedName name="P_Z_8_R_LIBELLES_CODES_BAREMES" localSheetId="12">#REF!</definedName>
    <definedName name="P_Z_8_R_LIBELLES_CODES_BAREMES">#REF!</definedName>
    <definedName name="P_Z_8_R_LIBELLES_CODES_BAREMES_1" localSheetId="8">#REF!</definedName>
    <definedName name="P_Z_8_R_LIBELLES_CODES_BAREMES_1" localSheetId="10">#REF!</definedName>
    <definedName name="P_Z_8_R_LIBELLES_CODES_BAREMES_1" localSheetId="12">#REF!</definedName>
    <definedName name="P_Z_8_R_LIBELLES_CODES_BAREMES_1">#REF!</definedName>
    <definedName name="P_Z_8_R_LIBELLES_CODES_BAREMES_10" localSheetId="8">#REF!</definedName>
    <definedName name="P_Z_8_R_LIBELLES_CODES_BAREMES_10" localSheetId="10">#REF!</definedName>
    <definedName name="P_Z_8_R_LIBELLES_CODES_BAREMES_10" localSheetId="12">#REF!</definedName>
    <definedName name="P_Z_8_R_LIBELLES_CODES_BAREMES_10">#REF!</definedName>
    <definedName name="P_Z_8_R_LIBELLES_CODES_BAREMES_11" localSheetId="8">#REF!</definedName>
    <definedName name="P_Z_8_R_LIBELLES_CODES_BAREMES_11" localSheetId="10">#REF!</definedName>
    <definedName name="P_Z_8_R_LIBELLES_CODES_BAREMES_11" localSheetId="12">#REF!</definedName>
    <definedName name="P_Z_8_R_LIBELLES_CODES_BAREMES_11">#REF!</definedName>
    <definedName name="P_Z_8_R_LIBELLES_CODES_BAREMES_12" localSheetId="8">#REF!</definedName>
    <definedName name="P_Z_8_R_LIBELLES_CODES_BAREMES_12" localSheetId="10">#REF!</definedName>
    <definedName name="P_Z_8_R_LIBELLES_CODES_BAREMES_12" localSheetId="12">#REF!</definedName>
    <definedName name="P_Z_8_R_LIBELLES_CODES_BAREMES_12">#REF!</definedName>
    <definedName name="P_Z_8_R_LIBELLES_CODES_BAREMES_13" localSheetId="8">#REF!</definedName>
    <definedName name="P_Z_8_R_LIBELLES_CODES_BAREMES_13" localSheetId="10">#REF!</definedName>
    <definedName name="P_Z_8_R_LIBELLES_CODES_BAREMES_13" localSheetId="12">#REF!</definedName>
    <definedName name="P_Z_8_R_LIBELLES_CODES_BAREMES_13">#REF!</definedName>
    <definedName name="P_Z_8_R_LIBELLES_CODES_BAREMES_14" localSheetId="8">#REF!</definedName>
    <definedName name="P_Z_8_R_LIBELLES_CODES_BAREMES_14" localSheetId="10">#REF!</definedName>
    <definedName name="P_Z_8_R_LIBELLES_CODES_BAREMES_14" localSheetId="12">#REF!</definedName>
    <definedName name="P_Z_8_R_LIBELLES_CODES_BAREMES_14">#REF!</definedName>
    <definedName name="P_Z_8_R_LIBELLES_CODES_BAREMES_15" localSheetId="8">#REF!</definedName>
    <definedName name="P_Z_8_R_LIBELLES_CODES_BAREMES_15" localSheetId="10">#REF!</definedName>
    <definedName name="P_Z_8_R_LIBELLES_CODES_BAREMES_15" localSheetId="12">#REF!</definedName>
    <definedName name="P_Z_8_R_LIBELLES_CODES_BAREMES_15">#REF!</definedName>
    <definedName name="P_Z_8_R_LIBELLES_CODES_BAREMES_16" localSheetId="8">#REF!</definedName>
    <definedName name="P_Z_8_R_LIBELLES_CODES_BAREMES_16" localSheetId="10">#REF!</definedName>
    <definedName name="P_Z_8_R_LIBELLES_CODES_BAREMES_16" localSheetId="12">#REF!</definedName>
    <definedName name="P_Z_8_R_LIBELLES_CODES_BAREMES_16">#REF!</definedName>
    <definedName name="P_Z_8_R_LIBELLES_CODES_BAREMES_17" localSheetId="8">#REF!</definedName>
    <definedName name="P_Z_8_R_LIBELLES_CODES_BAREMES_17" localSheetId="10">#REF!</definedName>
    <definedName name="P_Z_8_R_LIBELLES_CODES_BAREMES_17" localSheetId="12">#REF!</definedName>
    <definedName name="P_Z_8_R_LIBELLES_CODES_BAREMES_17">#REF!</definedName>
    <definedName name="P_Z_8_R_LIBELLES_CODES_BAREMES_18" localSheetId="8">#REF!</definedName>
    <definedName name="P_Z_8_R_LIBELLES_CODES_BAREMES_18" localSheetId="10">#REF!</definedName>
    <definedName name="P_Z_8_R_LIBELLES_CODES_BAREMES_18" localSheetId="12">#REF!</definedName>
    <definedName name="P_Z_8_R_LIBELLES_CODES_BAREMES_18">#REF!</definedName>
    <definedName name="P_Z_8_R_LIBELLES_CODES_BAREMES_19" localSheetId="8">#REF!</definedName>
    <definedName name="P_Z_8_R_LIBELLES_CODES_BAREMES_19" localSheetId="10">#REF!</definedName>
    <definedName name="P_Z_8_R_LIBELLES_CODES_BAREMES_19" localSheetId="12">#REF!</definedName>
    <definedName name="P_Z_8_R_LIBELLES_CODES_BAREMES_19">#REF!</definedName>
    <definedName name="P_Z_8_R_LIBELLES_CODES_BAREMES_2" localSheetId="8">#REF!</definedName>
    <definedName name="P_Z_8_R_LIBELLES_CODES_BAREMES_2" localSheetId="10">#REF!</definedName>
    <definedName name="P_Z_8_R_LIBELLES_CODES_BAREMES_2" localSheetId="12">#REF!</definedName>
    <definedName name="P_Z_8_R_LIBELLES_CODES_BAREMES_2">#REF!</definedName>
    <definedName name="P_Z_8_R_LIBELLES_CODES_BAREMES_20" localSheetId="8">#REF!</definedName>
    <definedName name="P_Z_8_R_LIBELLES_CODES_BAREMES_20" localSheetId="10">#REF!</definedName>
    <definedName name="P_Z_8_R_LIBELLES_CODES_BAREMES_20" localSheetId="12">#REF!</definedName>
    <definedName name="P_Z_8_R_LIBELLES_CODES_BAREMES_20">#REF!</definedName>
    <definedName name="P_Z_8_R_LIBELLES_CODES_BAREMES_21" localSheetId="8">#REF!</definedName>
    <definedName name="P_Z_8_R_LIBELLES_CODES_BAREMES_21" localSheetId="10">#REF!</definedName>
    <definedName name="P_Z_8_R_LIBELLES_CODES_BAREMES_21" localSheetId="12">#REF!</definedName>
    <definedName name="P_Z_8_R_LIBELLES_CODES_BAREMES_21">#REF!</definedName>
    <definedName name="P_Z_8_R_LIBELLES_CODES_BAREMES_22" localSheetId="8">#REF!</definedName>
    <definedName name="P_Z_8_R_LIBELLES_CODES_BAREMES_22" localSheetId="10">#REF!</definedName>
    <definedName name="P_Z_8_R_LIBELLES_CODES_BAREMES_22" localSheetId="12">#REF!</definedName>
    <definedName name="P_Z_8_R_LIBELLES_CODES_BAREMES_22">#REF!</definedName>
    <definedName name="P_Z_8_R_LIBELLES_CODES_BAREMES_23" localSheetId="8">#REF!</definedName>
    <definedName name="P_Z_8_R_LIBELLES_CODES_BAREMES_23" localSheetId="10">#REF!</definedName>
    <definedName name="P_Z_8_R_LIBELLES_CODES_BAREMES_23" localSheetId="12">#REF!</definedName>
    <definedName name="P_Z_8_R_LIBELLES_CODES_BAREMES_23">#REF!</definedName>
    <definedName name="P_Z_8_R_LIBELLES_CODES_BAREMES_24" localSheetId="8">#REF!</definedName>
    <definedName name="P_Z_8_R_LIBELLES_CODES_BAREMES_24" localSheetId="10">#REF!</definedName>
    <definedName name="P_Z_8_R_LIBELLES_CODES_BAREMES_24" localSheetId="12">#REF!</definedName>
    <definedName name="P_Z_8_R_LIBELLES_CODES_BAREMES_24">#REF!</definedName>
    <definedName name="P_Z_8_R_LIBELLES_CODES_BAREMES_25" localSheetId="8">#REF!</definedName>
    <definedName name="P_Z_8_R_LIBELLES_CODES_BAREMES_25" localSheetId="10">#REF!</definedName>
    <definedName name="P_Z_8_R_LIBELLES_CODES_BAREMES_25" localSheetId="12">#REF!</definedName>
    <definedName name="P_Z_8_R_LIBELLES_CODES_BAREMES_25">#REF!</definedName>
    <definedName name="P_Z_8_R_LIBELLES_CODES_BAREMES_26" localSheetId="8">#REF!</definedName>
    <definedName name="P_Z_8_R_LIBELLES_CODES_BAREMES_26" localSheetId="10">#REF!</definedName>
    <definedName name="P_Z_8_R_LIBELLES_CODES_BAREMES_26" localSheetId="12">#REF!</definedName>
    <definedName name="P_Z_8_R_LIBELLES_CODES_BAREMES_26">#REF!</definedName>
    <definedName name="P_Z_8_R_LIBELLES_CODES_BAREMES_27" localSheetId="8">#REF!</definedName>
    <definedName name="P_Z_8_R_LIBELLES_CODES_BAREMES_27" localSheetId="10">#REF!</definedName>
    <definedName name="P_Z_8_R_LIBELLES_CODES_BAREMES_27" localSheetId="12">#REF!</definedName>
    <definedName name="P_Z_8_R_LIBELLES_CODES_BAREMES_27">#REF!</definedName>
    <definedName name="P_Z_8_R_LIBELLES_CODES_BAREMES_28" localSheetId="8">#REF!</definedName>
    <definedName name="P_Z_8_R_LIBELLES_CODES_BAREMES_28" localSheetId="10">#REF!</definedName>
    <definedName name="P_Z_8_R_LIBELLES_CODES_BAREMES_28" localSheetId="12">#REF!</definedName>
    <definedName name="P_Z_8_R_LIBELLES_CODES_BAREMES_28">#REF!</definedName>
    <definedName name="P_Z_8_R_LIBELLES_CODES_BAREMES_29" localSheetId="8">#REF!</definedName>
    <definedName name="P_Z_8_R_LIBELLES_CODES_BAREMES_29" localSheetId="10">#REF!</definedName>
    <definedName name="P_Z_8_R_LIBELLES_CODES_BAREMES_29" localSheetId="12">#REF!</definedName>
    <definedName name="P_Z_8_R_LIBELLES_CODES_BAREMES_29">#REF!</definedName>
    <definedName name="P_Z_8_R_LIBELLES_CODES_BAREMES_3" localSheetId="8">#REF!</definedName>
    <definedName name="P_Z_8_R_LIBELLES_CODES_BAREMES_3" localSheetId="10">#REF!</definedName>
    <definedName name="P_Z_8_R_LIBELLES_CODES_BAREMES_3" localSheetId="12">#REF!</definedName>
    <definedName name="P_Z_8_R_LIBELLES_CODES_BAREMES_3">#REF!</definedName>
    <definedName name="P_Z_8_R_LIBELLES_CODES_BAREMES_30" localSheetId="8">#REF!</definedName>
    <definedName name="P_Z_8_R_LIBELLES_CODES_BAREMES_30" localSheetId="10">#REF!</definedName>
    <definedName name="P_Z_8_R_LIBELLES_CODES_BAREMES_30" localSheetId="12">#REF!</definedName>
    <definedName name="P_Z_8_R_LIBELLES_CODES_BAREMES_30">#REF!</definedName>
    <definedName name="P_Z_8_R_LIBELLES_CODES_BAREMES_31" localSheetId="8">#REF!</definedName>
    <definedName name="P_Z_8_R_LIBELLES_CODES_BAREMES_31" localSheetId="10">#REF!</definedName>
    <definedName name="P_Z_8_R_LIBELLES_CODES_BAREMES_31" localSheetId="12">#REF!</definedName>
    <definedName name="P_Z_8_R_LIBELLES_CODES_BAREMES_31">#REF!</definedName>
    <definedName name="P_Z_8_R_LIBELLES_CODES_BAREMES_32" localSheetId="8">#REF!</definedName>
    <definedName name="P_Z_8_R_LIBELLES_CODES_BAREMES_32" localSheetId="10">#REF!</definedName>
    <definedName name="P_Z_8_R_LIBELLES_CODES_BAREMES_32" localSheetId="12">#REF!</definedName>
    <definedName name="P_Z_8_R_LIBELLES_CODES_BAREMES_32">#REF!</definedName>
    <definedName name="P_Z_8_R_LIBELLES_CODES_BAREMES_33" localSheetId="8">#REF!</definedName>
    <definedName name="P_Z_8_R_LIBELLES_CODES_BAREMES_33" localSheetId="10">#REF!</definedName>
    <definedName name="P_Z_8_R_LIBELLES_CODES_BAREMES_33" localSheetId="12">#REF!</definedName>
    <definedName name="P_Z_8_R_LIBELLES_CODES_BAREMES_33">#REF!</definedName>
    <definedName name="P_Z_8_R_LIBELLES_CODES_BAREMES_34" localSheetId="8">#REF!</definedName>
    <definedName name="P_Z_8_R_LIBELLES_CODES_BAREMES_34" localSheetId="10">#REF!</definedName>
    <definedName name="P_Z_8_R_LIBELLES_CODES_BAREMES_34" localSheetId="12">#REF!</definedName>
    <definedName name="P_Z_8_R_LIBELLES_CODES_BAREMES_34">#REF!</definedName>
    <definedName name="P_Z_8_R_LIBELLES_CODES_BAREMES_35" localSheetId="8">#REF!</definedName>
    <definedName name="P_Z_8_R_LIBELLES_CODES_BAREMES_35" localSheetId="10">#REF!</definedName>
    <definedName name="P_Z_8_R_LIBELLES_CODES_BAREMES_35" localSheetId="12">#REF!</definedName>
    <definedName name="P_Z_8_R_LIBELLES_CODES_BAREMES_35">#REF!</definedName>
    <definedName name="P_Z_8_R_LIBELLES_CODES_BAREMES_36" localSheetId="8">#REF!</definedName>
    <definedName name="P_Z_8_R_LIBELLES_CODES_BAREMES_36" localSheetId="10">#REF!</definedName>
    <definedName name="P_Z_8_R_LIBELLES_CODES_BAREMES_36" localSheetId="12">#REF!</definedName>
    <definedName name="P_Z_8_R_LIBELLES_CODES_BAREMES_36">#REF!</definedName>
    <definedName name="P_Z_8_R_LIBELLES_CODES_BAREMES_37" localSheetId="8">#REF!</definedName>
    <definedName name="P_Z_8_R_LIBELLES_CODES_BAREMES_37" localSheetId="10">#REF!</definedName>
    <definedName name="P_Z_8_R_LIBELLES_CODES_BAREMES_37" localSheetId="12">#REF!</definedName>
    <definedName name="P_Z_8_R_LIBELLES_CODES_BAREMES_37">#REF!</definedName>
    <definedName name="P_Z_8_R_LIBELLES_CODES_BAREMES_38" localSheetId="8">#REF!</definedName>
    <definedName name="P_Z_8_R_LIBELLES_CODES_BAREMES_38" localSheetId="10">#REF!</definedName>
    <definedName name="P_Z_8_R_LIBELLES_CODES_BAREMES_38" localSheetId="12">#REF!</definedName>
    <definedName name="P_Z_8_R_LIBELLES_CODES_BAREMES_38">#REF!</definedName>
    <definedName name="P_Z_8_R_LIBELLES_CODES_BAREMES_39" localSheetId="8">#REF!</definedName>
    <definedName name="P_Z_8_R_LIBELLES_CODES_BAREMES_39" localSheetId="10">#REF!</definedName>
    <definedName name="P_Z_8_R_LIBELLES_CODES_BAREMES_39" localSheetId="12">#REF!</definedName>
    <definedName name="P_Z_8_R_LIBELLES_CODES_BAREMES_39">#REF!</definedName>
    <definedName name="P_Z_8_R_LIBELLES_CODES_BAREMES_4" localSheetId="8">#REF!</definedName>
    <definedName name="P_Z_8_R_LIBELLES_CODES_BAREMES_4" localSheetId="10">#REF!</definedName>
    <definedName name="P_Z_8_R_LIBELLES_CODES_BAREMES_4" localSheetId="12">#REF!</definedName>
    <definedName name="P_Z_8_R_LIBELLES_CODES_BAREMES_4">#REF!</definedName>
    <definedName name="P_Z_8_R_LIBELLES_CODES_BAREMES_40" localSheetId="8">#REF!</definedName>
    <definedName name="P_Z_8_R_LIBELLES_CODES_BAREMES_40" localSheetId="10">#REF!</definedName>
    <definedName name="P_Z_8_R_LIBELLES_CODES_BAREMES_40" localSheetId="12">#REF!</definedName>
    <definedName name="P_Z_8_R_LIBELLES_CODES_BAREMES_40">#REF!</definedName>
    <definedName name="P_Z_8_R_LIBELLES_CODES_BAREMES_5" localSheetId="8">#REF!</definedName>
    <definedName name="P_Z_8_R_LIBELLES_CODES_BAREMES_5" localSheetId="10">#REF!</definedName>
    <definedName name="P_Z_8_R_LIBELLES_CODES_BAREMES_5" localSheetId="12">#REF!</definedName>
    <definedName name="P_Z_8_R_LIBELLES_CODES_BAREMES_5">#REF!</definedName>
    <definedName name="P_Z_8_R_LIBELLES_CODES_BAREMES_6" localSheetId="8">#REF!</definedName>
    <definedName name="P_Z_8_R_LIBELLES_CODES_BAREMES_6" localSheetId="10">#REF!</definedName>
    <definedName name="P_Z_8_R_LIBELLES_CODES_BAREMES_6" localSheetId="12">#REF!</definedName>
    <definedName name="P_Z_8_R_LIBELLES_CODES_BAREMES_6">#REF!</definedName>
    <definedName name="P_Z_8_R_LIBELLES_CODES_BAREMES_7" localSheetId="8">#REF!</definedName>
    <definedName name="P_Z_8_R_LIBELLES_CODES_BAREMES_7" localSheetId="10">#REF!</definedName>
    <definedName name="P_Z_8_R_LIBELLES_CODES_BAREMES_7" localSheetId="12">#REF!</definedName>
    <definedName name="P_Z_8_R_LIBELLES_CODES_BAREMES_7">#REF!</definedName>
    <definedName name="P_Z_8_R_LIBELLES_CODES_BAREMES_8" localSheetId="8">#REF!</definedName>
    <definedName name="P_Z_8_R_LIBELLES_CODES_BAREMES_8" localSheetId="10">#REF!</definedName>
    <definedName name="P_Z_8_R_LIBELLES_CODES_BAREMES_8" localSheetId="12">#REF!</definedName>
    <definedName name="P_Z_8_R_LIBELLES_CODES_BAREMES_8">#REF!</definedName>
    <definedName name="P_Z_8_R_LIBELLES_CODES_BAREMES_9" localSheetId="8">#REF!</definedName>
    <definedName name="P_Z_8_R_LIBELLES_CODES_BAREMES_9" localSheetId="10">#REF!</definedName>
    <definedName name="P_Z_8_R_LIBELLES_CODES_BAREMES_9" localSheetId="12">#REF!</definedName>
    <definedName name="P_Z_8_R_LIBELLES_CODES_BAREMES_9">#REF!</definedName>
    <definedName name="P_Z_8_R_LIBELLES_DESCRIPTIONS" localSheetId="8">#REF!</definedName>
    <definedName name="P_Z_8_R_LIBELLES_DESCRIPTIONS" localSheetId="10">#REF!</definedName>
    <definedName name="P_Z_8_R_LIBELLES_DESCRIPTIONS" localSheetId="12">#REF!</definedName>
    <definedName name="P_Z_8_R_LIBELLES_DESCRIPTIONS">#REF!</definedName>
    <definedName name="P_Z_8_R_LIBELLES_DESCRIPTIONS_1" localSheetId="8">#REF!</definedName>
    <definedName name="P_Z_8_R_LIBELLES_DESCRIPTIONS_1" localSheetId="10">#REF!</definedName>
    <definedName name="P_Z_8_R_LIBELLES_DESCRIPTIONS_1" localSheetId="12">#REF!</definedName>
    <definedName name="P_Z_8_R_LIBELLES_DESCRIPTIONS_1">#REF!</definedName>
    <definedName name="P_Z_8_R_LIBELLES_DESCRIPTIONS_10" localSheetId="8">#REF!</definedName>
    <definedName name="P_Z_8_R_LIBELLES_DESCRIPTIONS_10" localSheetId="10">#REF!</definedName>
    <definedName name="P_Z_8_R_LIBELLES_DESCRIPTIONS_10" localSheetId="12">#REF!</definedName>
    <definedName name="P_Z_8_R_LIBELLES_DESCRIPTIONS_10">#REF!</definedName>
    <definedName name="P_Z_8_R_LIBELLES_DESCRIPTIONS_11" localSheetId="8">#REF!</definedName>
    <definedName name="P_Z_8_R_LIBELLES_DESCRIPTIONS_11" localSheetId="10">#REF!</definedName>
    <definedName name="P_Z_8_R_LIBELLES_DESCRIPTIONS_11" localSheetId="12">#REF!</definedName>
    <definedName name="P_Z_8_R_LIBELLES_DESCRIPTIONS_11">#REF!</definedName>
    <definedName name="P_Z_8_R_LIBELLES_DESCRIPTIONS_12" localSheetId="8">#REF!</definedName>
    <definedName name="P_Z_8_R_LIBELLES_DESCRIPTIONS_12" localSheetId="10">#REF!</definedName>
    <definedName name="P_Z_8_R_LIBELLES_DESCRIPTIONS_12" localSheetId="12">#REF!</definedName>
    <definedName name="P_Z_8_R_LIBELLES_DESCRIPTIONS_12">#REF!</definedName>
    <definedName name="P_Z_8_R_LIBELLES_DESCRIPTIONS_13" localSheetId="8">#REF!</definedName>
    <definedName name="P_Z_8_R_LIBELLES_DESCRIPTIONS_13" localSheetId="10">#REF!</definedName>
    <definedName name="P_Z_8_R_LIBELLES_DESCRIPTIONS_13" localSheetId="12">#REF!</definedName>
    <definedName name="P_Z_8_R_LIBELLES_DESCRIPTIONS_13">#REF!</definedName>
    <definedName name="P_Z_8_R_LIBELLES_DESCRIPTIONS_14" localSheetId="8">#REF!</definedName>
    <definedName name="P_Z_8_R_LIBELLES_DESCRIPTIONS_14" localSheetId="10">#REF!</definedName>
    <definedName name="P_Z_8_R_LIBELLES_DESCRIPTIONS_14" localSheetId="12">#REF!</definedName>
    <definedName name="P_Z_8_R_LIBELLES_DESCRIPTIONS_14">#REF!</definedName>
    <definedName name="P_Z_8_R_LIBELLES_DESCRIPTIONS_15" localSheetId="8">#REF!</definedName>
    <definedName name="P_Z_8_R_LIBELLES_DESCRIPTIONS_15" localSheetId="10">#REF!</definedName>
    <definedName name="P_Z_8_R_LIBELLES_DESCRIPTIONS_15" localSheetId="12">#REF!</definedName>
    <definedName name="P_Z_8_R_LIBELLES_DESCRIPTIONS_15">#REF!</definedName>
    <definedName name="P_Z_8_R_LIBELLES_DESCRIPTIONS_16" localSheetId="8">#REF!</definedName>
    <definedName name="P_Z_8_R_LIBELLES_DESCRIPTIONS_16" localSheetId="10">#REF!</definedName>
    <definedName name="P_Z_8_R_LIBELLES_DESCRIPTIONS_16" localSheetId="12">#REF!</definedName>
    <definedName name="P_Z_8_R_LIBELLES_DESCRIPTIONS_16">#REF!</definedName>
    <definedName name="P_Z_8_R_LIBELLES_DESCRIPTIONS_17" localSheetId="8">#REF!</definedName>
    <definedName name="P_Z_8_R_LIBELLES_DESCRIPTIONS_17" localSheetId="10">#REF!</definedName>
    <definedName name="P_Z_8_R_LIBELLES_DESCRIPTIONS_17" localSheetId="12">#REF!</definedName>
    <definedName name="P_Z_8_R_LIBELLES_DESCRIPTIONS_17">#REF!</definedName>
    <definedName name="P_Z_8_R_LIBELLES_DESCRIPTIONS_18" localSheetId="8">#REF!</definedName>
    <definedName name="P_Z_8_R_LIBELLES_DESCRIPTIONS_18" localSheetId="10">#REF!</definedName>
    <definedName name="P_Z_8_R_LIBELLES_DESCRIPTIONS_18" localSheetId="12">#REF!</definedName>
    <definedName name="P_Z_8_R_LIBELLES_DESCRIPTIONS_18">#REF!</definedName>
    <definedName name="P_Z_8_R_LIBELLES_DESCRIPTIONS_19" localSheetId="8">#REF!</definedName>
    <definedName name="P_Z_8_R_LIBELLES_DESCRIPTIONS_19" localSheetId="10">#REF!</definedName>
    <definedName name="P_Z_8_R_LIBELLES_DESCRIPTIONS_19" localSheetId="12">#REF!</definedName>
    <definedName name="P_Z_8_R_LIBELLES_DESCRIPTIONS_19">#REF!</definedName>
    <definedName name="P_Z_8_R_LIBELLES_DESCRIPTIONS_2" localSheetId="8">#REF!</definedName>
    <definedName name="P_Z_8_R_LIBELLES_DESCRIPTIONS_2" localSheetId="10">#REF!</definedName>
    <definedName name="P_Z_8_R_LIBELLES_DESCRIPTIONS_2" localSheetId="12">#REF!</definedName>
    <definedName name="P_Z_8_R_LIBELLES_DESCRIPTIONS_2">#REF!</definedName>
    <definedName name="P_Z_8_R_LIBELLES_DESCRIPTIONS_20" localSheetId="8">#REF!</definedName>
    <definedName name="P_Z_8_R_LIBELLES_DESCRIPTIONS_20" localSheetId="10">#REF!</definedName>
    <definedName name="P_Z_8_R_LIBELLES_DESCRIPTIONS_20" localSheetId="12">#REF!</definedName>
    <definedName name="P_Z_8_R_LIBELLES_DESCRIPTIONS_20">#REF!</definedName>
    <definedName name="P_Z_8_R_LIBELLES_DESCRIPTIONS_3" localSheetId="8">#REF!</definedName>
    <definedName name="P_Z_8_R_LIBELLES_DESCRIPTIONS_3" localSheetId="10">#REF!</definedName>
    <definedName name="P_Z_8_R_LIBELLES_DESCRIPTIONS_3" localSheetId="12">#REF!</definedName>
    <definedName name="P_Z_8_R_LIBELLES_DESCRIPTIONS_3">#REF!</definedName>
    <definedName name="P_Z_8_R_LIBELLES_DESCRIPTIONS_4" localSheetId="8">#REF!</definedName>
    <definedName name="P_Z_8_R_LIBELLES_DESCRIPTIONS_4" localSheetId="10">#REF!</definedName>
    <definedName name="P_Z_8_R_LIBELLES_DESCRIPTIONS_4" localSheetId="12">#REF!</definedName>
    <definedName name="P_Z_8_R_LIBELLES_DESCRIPTIONS_4">#REF!</definedName>
    <definedName name="P_Z_8_R_LIBELLES_DESCRIPTIONS_5" localSheetId="8">#REF!</definedName>
    <definedName name="P_Z_8_R_LIBELLES_DESCRIPTIONS_5" localSheetId="10">#REF!</definedName>
    <definedName name="P_Z_8_R_LIBELLES_DESCRIPTIONS_5" localSheetId="12">#REF!</definedName>
    <definedName name="P_Z_8_R_LIBELLES_DESCRIPTIONS_5">#REF!</definedName>
    <definedName name="P_Z_8_R_LIBELLES_DESCRIPTIONS_6" localSheetId="8">#REF!</definedName>
    <definedName name="P_Z_8_R_LIBELLES_DESCRIPTIONS_6" localSheetId="10">#REF!</definedName>
    <definedName name="P_Z_8_R_LIBELLES_DESCRIPTIONS_6" localSheetId="12">#REF!</definedName>
    <definedName name="P_Z_8_R_LIBELLES_DESCRIPTIONS_6">#REF!</definedName>
    <definedName name="P_Z_8_R_LIBELLES_DESCRIPTIONS_7" localSheetId="8">#REF!</definedName>
    <definedName name="P_Z_8_R_LIBELLES_DESCRIPTIONS_7" localSheetId="10">#REF!</definedName>
    <definedName name="P_Z_8_R_LIBELLES_DESCRIPTIONS_7" localSheetId="12">#REF!</definedName>
    <definedName name="P_Z_8_R_LIBELLES_DESCRIPTIONS_7">#REF!</definedName>
    <definedName name="P_Z_8_R_LIBELLES_DESCRIPTIONS_8" localSheetId="8">#REF!</definedName>
    <definedName name="P_Z_8_R_LIBELLES_DESCRIPTIONS_8" localSheetId="10">#REF!</definedName>
    <definedName name="P_Z_8_R_LIBELLES_DESCRIPTIONS_8" localSheetId="12">#REF!</definedName>
    <definedName name="P_Z_8_R_LIBELLES_DESCRIPTIONS_8">#REF!</definedName>
    <definedName name="P_Z_8_R_LIBELLES_DESCRIPTIONS_9" localSheetId="8">#REF!</definedName>
    <definedName name="P_Z_8_R_LIBELLES_DESCRIPTIONS_9" localSheetId="10">#REF!</definedName>
    <definedName name="P_Z_8_R_LIBELLES_DESCRIPTIONS_9" localSheetId="12">#REF!</definedName>
    <definedName name="P_Z_8_R_LIBELLES_DESCRIPTIONS_9">#REF!</definedName>
    <definedName name="P_Z_8_R_LIBELLES_POSTES" localSheetId="8">#REF!</definedName>
    <definedName name="P_Z_8_R_LIBELLES_POSTES" localSheetId="10">#REF!</definedName>
    <definedName name="P_Z_8_R_LIBELLES_POSTES" localSheetId="12">#REF!</definedName>
    <definedName name="P_Z_8_R_LIBELLES_POSTES">#REF!</definedName>
    <definedName name="P_Z_8_R_LIBELLES_POSTES_1" localSheetId="8">#REF!</definedName>
    <definedName name="P_Z_8_R_LIBELLES_POSTES_1" localSheetId="10">#REF!</definedName>
    <definedName name="P_Z_8_R_LIBELLES_POSTES_1" localSheetId="12">#REF!</definedName>
    <definedName name="P_Z_8_R_LIBELLES_POSTES_1">#REF!</definedName>
    <definedName name="P_Z_8_R_LIBELLES_POSTES_10" localSheetId="8">#REF!</definedName>
    <definedName name="P_Z_8_R_LIBELLES_POSTES_10" localSheetId="10">#REF!</definedName>
    <definedName name="P_Z_8_R_LIBELLES_POSTES_10" localSheetId="12">#REF!</definedName>
    <definedName name="P_Z_8_R_LIBELLES_POSTES_10">#REF!</definedName>
    <definedName name="P_Z_8_R_LIBELLES_POSTES_11" localSheetId="8">#REF!</definedName>
    <definedName name="P_Z_8_R_LIBELLES_POSTES_11" localSheetId="10">#REF!</definedName>
    <definedName name="P_Z_8_R_LIBELLES_POSTES_11" localSheetId="12">#REF!</definedName>
    <definedName name="P_Z_8_R_LIBELLES_POSTES_11">#REF!</definedName>
    <definedName name="P_Z_8_R_LIBELLES_POSTES_12" localSheetId="8">#REF!</definedName>
    <definedName name="P_Z_8_R_LIBELLES_POSTES_12" localSheetId="10">#REF!</definedName>
    <definedName name="P_Z_8_R_LIBELLES_POSTES_12" localSheetId="12">#REF!</definedName>
    <definedName name="P_Z_8_R_LIBELLES_POSTES_12">#REF!</definedName>
    <definedName name="P_Z_8_R_LIBELLES_POSTES_13" localSheetId="8">#REF!</definedName>
    <definedName name="P_Z_8_R_LIBELLES_POSTES_13" localSheetId="10">#REF!</definedName>
    <definedName name="P_Z_8_R_LIBELLES_POSTES_13" localSheetId="12">#REF!</definedName>
    <definedName name="P_Z_8_R_LIBELLES_POSTES_13">#REF!</definedName>
    <definedName name="P_Z_8_R_LIBELLES_POSTES_14" localSheetId="8">#REF!</definedName>
    <definedName name="P_Z_8_R_LIBELLES_POSTES_14" localSheetId="10">#REF!</definedName>
    <definedName name="P_Z_8_R_LIBELLES_POSTES_14" localSheetId="12">#REF!</definedName>
    <definedName name="P_Z_8_R_LIBELLES_POSTES_14">#REF!</definedName>
    <definedName name="P_Z_8_R_LIBELLES_POSTES_15" localSheetId="8">#REF!</definedName>
    <definedName name="P_Z_8_R_LIBELLES_POSTES_15" localSheetId="10">#REF!</definedName>
    <definedName name="P_Z_8_R_LIBELLES_POSTES_15" localSheetId="12">#REF!</definedName>
    <definedName name="P_Z_8_R_LIBELLES_POSTES_15">#REF!</definedName>
    <definedName name="P_Z_8_R_LIBELLES_POSTES_16" localSheetId="8">#REF!</definedName>
    <definedName name="P_Z_8_R_LIBELLES_POSTES_16" localSheetId="10">#REF!</definedName>
    <definedName name="P_Z_8_R_LIBELLES_POSTES_16" localSheetId="12">#REF!</definedName>
    <definedName name="P_Z_8_R_LIBELLES_POSTES_16">#REF!</definedName>
    <definedName name="P_Z_8_R_LIBELLES_POSTES_17" localSheetId="8">#REF!</definedName>
    <definedName name="P_Z_8_R_LIBELLES_POSTES_17" localSheetId="10">#REF!</definedName>
    <definedName name="P_Z_8_R_LIBELLES_POSTES_17" localSheetId="12">#REF!</definedName>
    <definedName name="P_Z_8_R_LIBELLES_POSTES_17">#REF!</definedName>
    <definedName name="P_Z_8_R_LIBELLES_POSTES_18" localSheetId="8">#REF!</definedName>
    <definedName name="P_Z_8_R_LIBELLES_POSTES_18" localSheetId="10">#REF!</definedName>
    <definedName name="P_Z_8_R_LIBELLES_POSTES_18" localSheetId="12">#REF!</definedName>
    <definedName name="P_Z_8_R_LIBELLES_POSTES_18">#REF!</definedName>
    <definedName name="P_Z_8_R_LIBELLES_POSTES_19" localSheetId="8">#REF!</definedName>
    <definedName name="P_Z_8_R_LIBELLES_POSTES_19" localSheetId="10">#REF!</definedName>
    <definedName name="P_Z_8_R_LIBELLES_POSTES_19" localSheetId="12">#REF!</definedName>
    <definedName name="P_Z_8_R_LIBELLES_POSTES_19">#REF!</definedName>
    <definedName name="P_Z_8_R_LIBELLES_POSTES_2" localSheetId="8">#REF!</definedName>
    <definedName name="P_Z_8_R_LIBELLES_POSTES_2" localSheetId="10">#REF!</definedName>
    <definedName name="P_Z_8_R_LIBELLES_POSTES_2" localSheetId="12">#REF!</definedName>
    <definedName name="P_Z_8_R_LIBELLES_POSTES_2">#REF!</definedName>
    <definedName name="P_Z_8_R_LIBELLES_POSTES_20" localSheetId="8">#REF!</definedName>
    <definedName name="P_Z_8_R_LIBELLES_POSTES_20" localSheetId="10">#REF!</definedName>
    <definedName name="P_Z_8_R_LIBELLES_POSTES_20" localSheetId="12">#REF!</definedName>
    <definedName name="P_Z_8_R_LIBELLES_POSTES_20">#REF!</definedName>
    <definedName name="P_Z_8_R_LIBELLES_POSTES_3" localSheetId="8">#REF!</definedName>
    <definedName name="P_Z_8_R_LIBELLES_POSTES_3" localSheetId="10">#REF!</definedName>
    <definedName name="P_Z_8_R_LIBELLES_POSTES_3" localSheetId="12">#REF!</definedName>
    <definedName name="P_Z_8_R_LIBELLES_POSTES_3">#REF!</definedName>
    <definedName name="P_Z_8_R_LIBELLES_POSTES_4" localSheetId="8">#REF!</definedName>
    <definedName name="P_Z_8_R_LIBELLES_POSTES_4" localSheetId="10">#REF!</definedName>
    <definedName name="P_Z_8_R_LIBELLES_POSTES_4" localSheetId="12">#REF!</definedName>
    <definedName name="P_Z_8_R_LIBELLES_POSTES_4">#REF!</definedName>
    <definedName name="P_Z_8_R_LIBELLES_POSTES_5" localSheetId="8">#REF!</definedName>
    <definedName name="P_Z_8_R_LIBELLES_POSTES_5" localSheetId="10">#REF!</definedName>
    <definedName name="P_Z_8_R_LIBELLES_POSTES_5" localSheetId="12">#REF!</definedName>
    <definedName name="P_Z_8_R_LIBELLES_POSTES_5">#REF!</definedName>
    <definedName name="P_Z_8_R_LIBELLES_POSTES_6" localSheetId="8">#REF!</definedName>
    <definedName name="P_Z_8_R_LIBELLES_POSTES_6" localSheetId="10">#REF!</definedName>
    <definedName name="P_Z_8_R_LIBELLES_POSTES_6" localSheetId="12">#REF!</definedName>
    <definedName name="P_Z_8_R_LIBELLES_POSTES_6">#REF!</definedName>
    <definedName name="P_Z_8_R_LIBELLES_POSTES_7" localSheetId="8">#REF!</definedName>
    <definedName name="P_Z_8_R_LIBELLES_POSTES_7" localSheetId="10">#REF!</definedName>
    <definedName name="P_Z_8_R_LIBELLES_POSTES_7" localSheetId="12">#REF!</definedName>
    <definedName name="P_Z_8_R_LIBELLES_POSTES_7">#REF!</definedName>
    <definedName name="P_Z_8_R_LIBELLES_POSTES_8" localSheetId="8">#REF!</definedName>
    <definedName name="P_Z_8_R_LIBELLES_POSTES_8" localSheetId="10">#REF!</definedName>
    <definedName name="P_Z_8_R_LIBELLES_POSTES_8" localSheetId="12">#REF!</definedName>
    <definedName name="P_Z_8_R_LIBELLES_POSTES_8">#REF!</definedName>
    <definedName name="P_Z_8_R_LIBELLES_POSTES_9" localSheetId="8">#REF!</definedName>
    <definedName name="P_Z_8_R_LIBELLES_POSTES_9" localSheetId="10">#REF!</definedName>
    <definedName name="P_Z_8_R_LIBELLES_POSTES_9" localSheetId="12">#REF!</definedName>
    <definedName name="P_Z_8_R_LIBELLES_POSTES_9">#REF!</definedName>
    <definedName name="P_Z_8_R_LIBELLES_SOUS_OPERATIONS" localSheetId="8">#REF!</definedName>
    <definedName name="P_Z_8_R_LIBELLES_SOUS_OPERATIONS" localSheetId="10">#REF!</definedName>
    <definedName name="P_Z_8_R_LIBELLES_SOUS_OPERATIONS" localSheetId="12">#REF!</definedName>
    <definedName name="P_Z_8_R_LIBELLES_SOUS_OPERATIONS">#REF!</definedName>
    <definedName name="P_Z_8_R_LIBELLES_SOUS_OPERATIONS_1" localSheetId="8">#REF!</definedName>
    <definedName name="P_Z_8_R_LIBELLES_SOUS_OPERATIONS_1" localSheetId="10">#REF!</definedName>
    <definedName name="P_Z_8_R_LIBELLES_SOUS_OPERATIONS_1" localSheetId="12">#REF!</definedName>
    <definedName name="P_Z_8_R_LIBELLES_SOUS_OPERATIONS_1">#REF!</definedName>
    <definedName name="P_Z_8_R_LIBELLES_SOUS_OPERATIONS_10" localSheetId="8">#REF!</definedName>
    <definedName name="P_Z_8_R_LIBELLES_SOUS_OPERATIONS_10" localSheetId="10">#REF!</definedName>
    <definedName name="P_Z_8_R_LIBELLES_SOUS_OPERATIONS_10" localSheetId="12">#REF!</definedName>
    <definedName name="P_Z_8_R_LIBELLES_SOUS_OPERATIONS_10">#REF!</definedName>
    <definedName name="P_Z_8_R_LIBELLES_SOUS_OPERATIONS_11" localSheetId="8">#REF!</definedName>
    <definedName name="P_Z_8_R_LIBELLES_SOUS_OPERATIONS_11" localSheetId="10">#REF!</definedName>
    <definedName name="P_Z_8_R_LIBELLES_SOUS_OPERATIONS_11" localSheetId="12">#REF!</definedName>
    <definedName name="P_Z_8_R_LIBELLES_SOUS_OPERATIONS_11">#REF!</definedName>
    <definedName name="P_Z_8_R_LIBELLES_SOUS_OPERATIONS_12" localSheetId="8">#REF!</definedName>
    <definedName name="P_Z_8_R_LIBELLES_SOUS_OPERATIONS_12" localSheetId="10">#REF!</definedName>
    <definedName name="P_Z_8_R_LIBELLES_SOUS_OPERATIONS_12" localSheetId="12">#REF!</definedName>
    <definedName name="P_Z_8_R_LIBELLES_SOUS_OPERATIONS_12">#REF!</definedName>
    <definedName name="P_Z_8_R_LIBELLES_SOUS_OPERATIONS_13" localSheetId="8">#REF!</definedName>
    <definedName name="P_Z_8_R_LIBELLES_SOUS_OPERATIONS_13" localSheetId="10">#REF!</definedName>
    <definedName name="P_Z_8_R_LIBELLES_SOUS_OPERATIONS_13" localSheetId="12">#REF!</definedName>
    <definedName name="P_Z_8_R_LIBELLES_SOUS_OPERATIONS_13">#REF!</definedName>
    <definedName name="P_Z_8_R_LIBELLES_SOUS_OPERATIONS_14" localSheetId="8">#REF!</definedName>
    <definedName name="P_Z_8_R_LIBELLES_SOUS_OPERATIONS_14" localSheetId="10">#REF!</definedName>
    <definedName name="P_Z_8_R_LIBELLES_SOUS_OPERATIONS_14" localSheetId="12">#REF!</definedName>
    <definedName name="P_Z_8_R_LIBELLES_SOUS_OPERATIONS_14">#REF!</definedName>
    <definedName name="P_Z_8_R_LIBELLES_SOUS_OPERATIONS_15" localSheetId="8">#REF!</definedName>
    <definedName name="P_Z_8_R_LIBELLES_SOUS_OPERATIONS_15" localSheetId="10">#REF!</definedName>
    <definedName name="P_Z_8_R_LIBELLES_SOUS_OPERATIONS_15" localSheetId="12">#REF!</definedName>
    <definedName name="P_Z_8_R_LIBELLES_SOUS_OPERATIONS_15">#REF!</definedName>
    <definedName name="P_Z_8_R_LIBELLES_SOUS_OPERATIONS_16" localSheetId="8">#REF!</definedName>
    <definedName name="P_Z_8_R_LIBELLES_SOUS_OPERATIONS_16" localSheetId="10">#REF!</definedName>
    <definedName name="P_Z_8_R_LIBELLES_SOUS_OPERATIONS_16" localSheetId="12">#REF!</definedName>
    <definedName name="P_Z_8_R_LIBELLES_SOUS_OPERATIONS_16">#REF!</definedName>
    <definedName name="P_Z_8_R_LIBELLES_SOUS_OPERATIONS_17" localSheetId="8">#REF!</definedName>
    <definedName name="P_Z_8_R_LIBELLES_SOUS_OPERATIONS_17" localSheetId="10">#REF!</definedName>
    <definedName name="P_Z_8_R_LIBELLES_SOUS_OPERATIONS_17" localSheetId="12">#REF!</definedName>
    <definedName name="P_Z_8_R_LIBELLES_SOUS_OPERATIONS_17">#REF!</definedName>
    <definedName name="P_Z_8_R_LIBELLES_SOUS_OPERATIONS_18" localSheetId="8">#REF!</definedName>
    <definedName name="P_Z_8_R_LIBELLES_SOUS_OPERATIONS_18" localSheetId="10">#REF!</definedName>
    <definedName name="P_Z_8_R_LIBELLES_SOUS_OPERATIONS_18" localSheetId="12">#REF!</definedName>
    <definedName name="P_Z_8_R_LIBELLES_SOUS_OPERATIONS_18">#REF!</definedName>
    <definedName name="P_Z_8_R_LIBELLES_SOUS_OPERATIONS_19" localSheetId="8">#REF!</definedName>
    <definedName name="P_Z_8_R_LIBELLES_SOUS_OPERATIONS_19" localSheetId="10">#REF!</definedName>
    <definedName name="P_Z_8_R_LIBELLES_SOUS_OPERATIONS_19" localSheetId="12">#REF!</definedName>
    <definedName name="P_Z_8_R_LIBELLES_SOUS_OPERATIONS_19">#REF!</definedName>
    <definedName name="P_Z_8_R_LIBELLES_SOUS_OPERATIONS_2" localSheetId="8">#REF!</definedName>
    <definedName name="P_Z_8_R_LIBELLES_SOUS_OPERATIONS_2" localSheetId="10">#REF!</definedName>
    <definedName name="P_Z_8_R_LIBELLES_SOUS_OPERATIONS_2" localSheetId="12">#REF!</definedName>
    <definedName name="P_Z_8_R_LIBELLES_SOUS_OPERATIONS_2">#REF!</definedName>
    <definedName name="P_Z_8_R_LIBELLES_SOUS_OPERATIONS_20" localSheetId="8">#REF!</definedName>
    <definedName name="P_Z_8_R_LIBELLES_SOUS_OPERATIONS_20" localSheetId="10">#REF!</definedName>
    <definedName name="P_Z_8_R_LIBELLES_SOUS_OPERATIONS_20" localSheetId="12">#REF!</definedName>
    <definedName name="P_Z_8_R_LIBELLES_SOUS_OPERATIONS_20">#REF!</definedName>
    <definedName name="P_Z_8_R_LIBELLES_SOUS_OPERATIONS_3" localSheetId="8">#REF!</definedName>
    <definedName name="P_Z_8_R_LIBELLES_SOUS_OPERATIONS_3" localSheetId="10">#REF!</definedName>
    <definedName name="P_Z_8_R_LIBELLES_SOUS_OPERATIONS_3" localSheetId="12">#REF!</definedName>
    <definedName name="P_Z_8_R_LIBELLES_SOUS_OPERATIONS_3">#REF!</definedName>
    <definedName name="P_Z_8_R_LIBELLES_SOUS_OPERATIONS_4" localSheetId="8">#REF!</definedName>
    <definedName name="P_Z_8_R_LIBELLES_SOUS_OPERATIONS_4" localSheetId="10">#REF!</definedName>
    <definedName name="P_Z_8_R_LIBELLES_SOUS_OPERATIONS_4" localSheetId="12">#REF!</definedName>
    <definedName name="P_Z_8_R_LIBELLES_SOUS_OPERATIONS_4">#REF!</definedName>
    <definedName name="P_Z_8_R_LIBELLES_SOUS_OPERATIONS_5" localSheetId="8">#REF!</definedName>
    <definedName name="P_Z_8_R_LIBELLES_SOUS_OPERATIONS_5" localSheetId="10">#REF!</definedName>
    <definedName name="P_Z_8_R_LIBELLES_SOUS_OPERATIONS_5" localSheetId="12">#REF!</definedName>
    <definedName name="P_Z_8_R_LIBELLES_SOUS_OPERATIONS_5">#REF!</definedName>
    <definedName name="P_Z_8_R_LIBELLES_SOUS_OPERATIONS_6" localSheetId="8">#REF!</definedName>
    <definedName name="P_Z_8_R_LIBELLES_SOUS_OPERATIONS_6" localSheetId="10">#REF!</definedName>
    <definedName name="P_Z_8_R_LIBELLES_SOUS_OPERATIONS_6" localSheetId="12">#REF!</definedName>
    <definedName name="P_Z_8_R_LIBELLES_SOUS_OPERATIONS_6">#REF!</definedName>
    <definedName name="P_Z_8_R_LIBELLES_SOUS_OPERATIONS_7" localSheetId="8">#REF!</definedName>
    <definedName name="P_Z_8_R_LIBELLES_SOUS_OPERATIONS_7" localSheetId="10">#REF!</definedName>
    <definedName name="P_Z_8_R_LIBELLES_SOUS_OPERATIONS_7" localSheetId="12">#REF!</definedName>
    <definedName name="P_Z_8_R_LIBELLES_SOUS_OPERATIONS_7">#REF!</definedName>
    <definedName name="P_Z_8_R_LIBELLES_SOUS_OPERATIONS_8" localSheetId="8">#REF!</definedName>
    <definedName name="P_Z_8_R_LIBELLES_SOUS_OPERATIONS_8" localSheetId="10">#REF!</definedName>
    <definedName name="P_Z_8_R_LIBELLES_SOUS_OPERATIONS_8" localSheetId="12">#REF!</definedName>
    <definedName name="P_Z_8_R_LIBELLES_SOUS_OPERATIONS_8">#REF!</definedName>
    <definedName name="P_Z_8_R_LIBELLES_SOUS_OPERATIONS_9" localSheetId="8">#REF!</definedName>
    <definedName name="P_Z_8_R_LIBELLES_SOUS_OPERATIONS_9" localSheetId="10">#REF!</definedName>
    <definedName name="P_Z_8_R_LIBELLES_SOUS_OPERATIONS_9" localSheetId="12">#REF!</definedName>
    <definedName name="P_Z_8_R_LIBELLES_SOUS_OPERATIONS_9">#REF!</definedName>
    <definedName name="P_Z_F_B_TYPE_1_ACTIVE" localSheetId="8">#REF!</definedName>
    <definedName name="P_Z_F_B_TYPE_1_ACTIVE" localSheetId="10">#REF!</definedName>
    <definedName name="P_Z_F_B_TYPE_1_ACTIVE" localSheetId="12">#REF!</definedName>
    <definedName name="P_Z_F_B_TYPE_1_ACTIVE">#REF!</definedName>
    <definedName name="P_Z_F_B_TYPE_10_ACTIVE" localSheetId="8">#REF!</definedName>
    <definedName name="P_Z_F_B_TYPE_10_ACTIVE" localSheetId="10">#REF!</definedName>
    <definedName name="P_Z_F_B_TYPE_10_ACTIVE" localSheetId="12">#REF!</definedName>
    <definedName name="P_Z_F_B_TYPE_10_ACTIVE">#REF!</definedName>
    <definedName name="P_Z_F_B_TYPE_11_ACTIVE" localSheetId="8">#REF!</definedName>
    <definedName name="P_Z_F_B_TYPE_11_ACTIVE" localSheetId="10">#REF!</definedName>
    <definedName name="P_Z_F_B_TYPE_11_ACTIVE" localSheetId="12">#REF!</definedName>
    <definedName name="P_Z_F_B_TYPE_11_ACTIVE">#REF!</definedName>
    <definedName name="P_Z_F_B_TYPE_12_ACTIVE" localSheetId="8">#REF!</definedName>
    <definedName name="P_Z_F_B_TYPE_12_ACTIVE" localSheetId="10">#REF!</definedName>
    <definedName name="P_Z_F_B_TYPE_12_ACTIVE" localSheetId="12">#REF!</definedName>
    <definedName name="P_Z_F_B_TYPE_12_ACTIVE">#REF!</definedName>
    <definedName name="P_Z_F_B_TYPE_13_ACTIVE" localSheetId="8">#REF!</definedName>
    <definedName name="P_Z_F_B_TYPE_13_ACTIVE" localSheetId="10">#REF!</definedName>
    <definedName name="P_Z_F_B_TYPE_13_ACTIVE" localSheetId="12">#REF!</definedName>
    <definedName name="P_Z_F_B_TYPE_13_ACTIVE">#REF!</definedName>
    <definedName name="P_Z_F_B_TYPE_2_ACTIVE" localSheetId="8">#REF!</definedName>
    <definedName name="P_Z_F_B_TYPE_2_ACTIVE" localSheetId="10">#REF!</definedName>
    <definedName name="P_Z_F_B_TYPE_2_ACTIVE" localSheetId="12">#REF!</definedName>
    <definedName name="P_Z_F_B_TYPE_2_ACTIVE">#REF!</definedName>
    <definedName name="P_Z_F_B_TYPE_3_ACTIVE" localSheetId="8">#REF!</definedName>
    <definedName name="P_Z_F_B_TYPE_3_ACTIVE" localSheetId="10">#REF!</definedName>
    <definedName name="P_Z_F_B_TYPE_3_ACTIVE" localSheetId="12">#REF!</definedName>
    <definedName name="P_Z_F_B_TYPE_3_ACTIVE">#REF!</definedName>
    <definedName name="P_Z_F_B_TYPE_4_ACTIVE" localSheetId="8">#REF!</definedName>
    <definedName name="P_Z_F_B_TYPE_4_ACTIVE" localSheetId="10">#REF!</definedName>
    <definedName name="P_Z_F_B_TYPE_4_ACTIVE" localSheetId="12">#REF!</definedName>
    <definedName name="P_Z_F_B_TYPE_4_ACTIVE">#REF!</definedName>
    <definedName name="P_Z_F_B_TYPE_5_ACTIVE" localSheetId="8">#REF!</definedName>
    <definedName name="P_Z_F_B_TYPE_5_ACTIVE" localSheetId="10">#REF!</definedName>
    <definedName name="P_Z_F_B_TYPE_5_ACTIVE" localSheetId="12">#REF!</definedName>
    <definedName name="P_Z_F_B_TYPE_5_ACTIVE">#REF!</definedName>
    <definedName name="P_Z_F_B_TYPE_6_ACTIVE" localSheetId="8">#REF!</definedName>
    <definedName name="P_Z_F_B_TYPE_6_ACTIVE" localSheetId="10">#REF!</definedName>
    <definedName name="P_Z_F_B_TYPE_6_ACTIVE" localSheetId="12">#REF!</definedName>
    <definedName name="P_Z_F_B_TYPE_6_ACTIVE">#REF!</definedName>
    <definedName name="P_Z_F_B_TYPE_7_ACTIVE" localSheetId="8">#REF!</definedName>
    <definedName name="P_Z_F_B_TYPE_7_ACTIVE" localSheetId="10">#REF!</definedName>
    <definedName name="P_Z_F_B_TYPE_7_ACTIVE" localSheetId="12">#REF!</definedName>
    <definedName name="P_Z_F_B_TYPE_7_ACTIVE">#REF!</definedName>
    <definedName name="P_Z_F_B_TYPE_8_ACTIVE" localSheetId="8">#REF!</definedName>
    <definedName name="P_Z_F_B_TYPE_8_ACTIVE" localSheetId="10">#REF!</definedName>
    <definedName name="P_Z_F_B_TYPE_8_ACTIVE" localSheetId="12">#REF!</definedName>
    <definedName name="P_Z_F_B_TYPE_8_ACTIVE">#REF!</definedName>
    <definedName name="P_Z_F_B_TYPE_9_ACTIVE" localSheetId="8">#REF!</definedName>
    <definedName name="P_Z_F_B_TYPE_9_ACTIVE" localSheetId="10">#REF!</definedName>
    <definedName name="P_Z_F_B_TYPE_9_ACTIVE" localSheetId="12">#REF!</definedName>
    <definedName name="P_Z_F_B_TYPE_9_ACTIVE">#REF!</definedName>
    <definedName name="P_Z_F_N_CODE_INTERVENTION" localSheetId="8">#REF!</definedName>
    <definedName name="P_Z_F_N_CODE_INTERVENTION" localSheetId="10">#REF!</definedName>
    <definedName name="P_Z_F_N_CODE_INTERVENTION" localSheetId="12">#REF!</definedName>
    <definedName name="P_Z_F_N_CODE_INTERVENTION">#REF!</definedName>
    <definedName name="P_Z_F_N_CONSIGNES_UTILISATION" localSheetId="8">#REF!</definedName>
    <definedName name="P_Z_F_N_CONSIGNES_UTILISATION" localSheetId="10">#REF!</definedName>
    <definedName name="P_Z_F_N_CONSIGNES_UTILISATION" localSheetId="12">#REF!</definedName>
    <definedName name="P_Z_F_N_CONSIGNES_UTILISATION">#REF!</definedName>
    <definedName name="P_Z_F_N_CONSIGNES_UTILISATION_FIN" localSheetId="8">#REF!</definedName>
    <definedName name="P_Z_F_N_CONSIGNES_UTILISATION_FIN" localSheetId="10">#REF!</definedName>
    <definedName name="P_Z_F_N_CONSIGNES_UTILISATION_FIN" localSheetId="12">#REF!</definedName>
    <definedName name="P_Z_F_N_CONSIGNES_UTILISATION_FIN">#REF!</definedName>
    <definedName name="P_Z_F_N_LIBELLE_DISPOSITIF" localSheetId="8">#REF!</definedName>
    <definedName name="P_Z_F_N_LIBELLE_DISPOSITIF" localSheetId="10">#REF!</definedName>
    <definedName name="P_Z_F_N_LIBELLE_DISPOSITIF" localSheetId="12">#REF!</definedName>
    <definedName name="P_Z_F_N_LIBELLE_DISPOSITIF">#REF!</definedName>
    <definedName name="P_Z_F_N_NB_LOGOS_FINANCEURS" localSheetId="8">#REF!</definedName>
    <definedName name="P_Z_F_N_NB_LOGOS_FINANCEURS" localSheetId="10">#REF!</definedName>
    <definedName name="P_Z_F_N_NB_LOGOS_FINANCEURS" localSheetId="12">#REF!</definedName>
    <definedName name="P_Z_F_N_NB_LOGOS_FINANCEURS">#REF!</definedName>
    <definedName name="P_Z_F_N_RAPPELS" localSheetId="8">#REF!</definedName>
    <definedName name="P_Z_F_N_RAPPELS" localSheetId="10">#REF!</definedName>
    <definedName name="P_Z_F_N_RAPPELS" localSheetId="12">#REF!</definedName>
    <definedName name="P_Z_F_N_RAPPELS">#REF!</definedName>
    <definedName name="P_Z_G_R_G_BOOLEEN" localSheetId="8">#REF!</definedName>
    <definedName name="P_Z_G_R_G_BOOLEEN" localSheetId="10">#REF!</definedName>
    <definedName name="P_Z_G_R_G_BOOLEEN" localSheetId="12">#REF!</definedName>
    <definedName name="P_Z_G_R_G_BOOLEEN">#REF!</definedName>
    <definedName name="P_Z_G_R_G_BOOLEEN_NON" localSheetId="8">#REF!</definedName>
    <definedName name="P_Z_G_R_G_BOOLEEN_NON" localSheetId="10">#REF!</definedName>
    <definedName name="P_Z_G_R_G_BOOLEEN_NON" localSheetId="12">#REF!</definedName>
    <definedName name="P_Z_G_R_G_BOOLEEN_NON">#REF!</definedName>
    <definedName name="P_Z_G_R_G_BOOLEEN_OUI" localSheetId="8">#REF!</definedName>
    <definedName name="P_Z_G_R_G_BOOLEEN_OUI" localSheetId="10">#REF!</definedName>
    <definedName name="P_Z_G_R_G_BOOLEEN_OUI" localSheetId="12">#REF!</definedName>
    <definedName name="P_Z_G_R_G_BOOLEEN_OUI">#REF!</definedName>
    <definedName name="P_Z_G_R_G_INTERVENTIONS_PSN" localSheetId="8">#REF!</definedName>
    <definedName name="P_Z_G_R_G_INTERVENTIONS_PSN" localSheetId="10">#REF!</definedName>
    <definedName name="P_Z_G_R_G_INTERVENTIONS_PSN" localSheetId="12">#REF!</definedName>
    <definedName name="P_Z_G_R_G_INTERVENTIONS_PSN">#REF!</definedName>
    <definedName name="P_Z_G_R_G_NB_CATEGORIES" localSheetId="8">#REF!</definedName>
    <definedName name="P_Z_G_R_G_NB_CATEGORIES" localSheetId="10">#REF!</definedName>
    <definedName name="P_Z_G_R_G_NB_CATEGORIES" localSheetId="12">#REF!</definedName>
    <definedName name="P_Z_G_R_G_NB_CATEGORIES">#REF!</definedName>
    <definedName name="P_Z_G_R_G_NB_LOGOS_FINANCEURS" localSheetId="8">#REF!</definedName>
    <definedName name="P_Z_G_R_G_NB_LOGOS_FINANCEURS" localSheetId="10">#REF!</definedName>
    <definedName name="P_Z_G_R_G_NB_LOGOS_FINANCEURS" localSheetId="12">#REF!</definedName>
    <definedName name="P_Z_G_R_G_NB_LOGOS_FINANCEURS">#REF!</definedName>
    <definedName name="_xlnm.Print_Area" localSheetId="0">Accueil!$A$1:$X$36</definedName>
    <definedName name="zz" localSheetId="8">#REF!</definedName>
    <definedName name="zz" localSheetId="10">#REF!</definedName>
    <definedName name="zz" localSheetId="12">#REF!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34" l="1"/>
  <c r="J32" i="34"/>
  <c r="J30" i="34"/>
  <c r="E32" i="34"/>
  <c r="E30" i="34"/>
  <c r="E31" i="34"/>
  <c r="G9" i="34" l="1"/>
  <c r="S8" i="34"/>
  <c r="R8" i="34"/>
  <c r="Q8" i="34"/>
  <c r="P8" i="34"/>
  <c r="O8" i="34"/>
  <c r="N8" i="34"/>
  <c r="M8" i="34"/>
  <c r="L8" i="34"/>
  <c r="K5" i="23"/>
  <c r="R4" i="23"/>
  <c r="Q4" i="23"/>
  <c r="P4" i="23"/>
  <c r="N4" i="23"/>
  <c r="M4" i="23"/>
  <c r="O4" i="23"/>
  <c r="L4" i="23"/>
  <c r="K4" i="23"/>
  <c r="J20" i="23"/>
  <c r="I21" i="23"/>
  <c r="I22" i="23"/>
  <c r="I23" i="23"/>
  <c r="I24" i="23"/>
  <c r="I25" i="23"/>
  <c r="I20" i="23"/>
  <c r="H21" i="23"/>
  <c r="H22" i="23"/>
  <c r="H23" i="23"/>
  <c r="H24" i="23"/>
  <c r="H25" i="23"/>
  <c r="H20" i="23"/>
  <c r="Q14" i="23"/>
  <c r="Q13" i="23"/>
  <c r="Q12" i="23"/>
  <c r="L13" i="23"/>
  <c r="I13" i="23"/>
  <c r="Q8" i="23"/>
  <c r="S12" i="23"/>
  <c r="S11" i="23"/>
  <c r="S10" i="23"/>
  <c r="G48" i="36"/>
  <c r="G49" i="36"/>
  <c r="G50" i="36"/>
  <c r="G51" i="36"/>
  <c r="Q9" i="32" a="1"/>
  <c r="Q9" i="32"/>
  <c r="Q10" i="32" a="1"/>
  <c r="Q10" i="32" s="1"/>
  <c r="Q11" i="32" a="1"/>
  <c r="Q11" i="32" s="1"/>
  <c r="Q12" i="32" a="1"/>
  <c r="Q12" i="32" s="1"/>
  <c r="Q13" i="32" a="1"/>
  <c r="Q13" i="32"/>
  <c r="Q14" i="32" a="1"/>
  <c r="Q14" i="32" s="1"/>
  <c r="BO10" i="14"/>
  <c r="BO11" i="14"/>
  <c r="BO12" i="14"/>
  <c r="BR10" i="13" a="1"/>
  <c r="BR10" i="13" s="1"/>
  <c r="BQ10" i="13" a="1"/>
  <c r="BQ10" i="13" s="1"/>
  <c r="BV11" i="35" a="1"/>
  <c r="BV11" i="35" s="1"/>
  <c r="BV12" i="35" a="1"/>
  <c r="BV12" i="35" s="1"/>
  <c r="BV13" i="35" a="1"/>
  <c r="BV13" i="35" s="1"/>
  <c r="BV14" i="35" a="1"/>
  <c r="BV14" i="35" s="1"/>
  <c r="BV15" i="35" a="1"/>
  <c r="BV15" i="35"/>
  <c r="BU11" i="35" a="1"/>
  <c r="BU11" i="35" s="1"/>
  <c r="BU12" i="35" a="1"/>
  <c r="BU12" i="35" s="1"/>
  <c r="BU13" i="35" a="1"/>
  <c r="BU13" i="35" s="1"/>
  <c r="BU14" i="35" a="1"/>
  <c r="BU14" i="35"/>
  <c r="BU15" i="35" a="1"/>
  <c r="BU15" i="35" s="1"/>
  <c r="BU16" i="35" a="1"/>
  <c r="BU16" i="35" s="1"/>
  <c r="AN12" i="35"/>
  <c r="AN13" i="35"/>
  <c r="W9" i="1"/>
  <c r="W10" i="1"/>
  <c r="W11" i="1"/>
  <c r="W12" i="1"/>
  <c r="E15" i="19"/>
  <c r="E16" i="19"/>
  <c r="E17" i="19"/>
  <c r="E18" i="19"/>
  <c r="E19" i="19"/>
  <c r="E20" i="19"/>
  <c r="E21" i="19"/>
  <c r="E22" i="19"/>
  <c r="E23" i="19"/>
  <c r="E24" i="19"/>
  <c r="E25" i="19"/>
  <c r="E26" i="19"/>
  <c r="E27" i="19"/>
  <c r="E28" i="19"/>
  <c r="E29" i="19"/>
  <c r="E30" i="19"/>
  <c r="E31" i="19"/>
  <c r="K9" i="25"/>
  <c r="Y9" i="25" s="1"/>
  <c r="U9" i="25"/>
  <c r="U10" i="25"/>
  <c r="U11" i="25"/>
  <c r="BH14" i="14" a="1"/>
  <c r="BH14" i="14" s="1"/>
  <c r="BH15" i="14" a="1"/>
  <c r="BH15" i="14" s="1"/>
  <c r="BH16" i="14" a="1"/>
  <c r="BH16" i="14" s="1"/>
  <c r="BH17" i="14" a="1"/>
  <c r="BH17" i="14"/>
  <c r="BH18" i="14" a="1"/>
  <c r="BH18" i="14" s="1"/>
  <c r="BH19" i="14" a="1"/>
  <c r="BH19" i="14" s="1"/>
  <c r="BH20" i="14" a="1"/>
  <c r="BH20" i="14" s="1"/>
  <c r="BH21" i="14" a="1"/>
  <c r="BH21" i="14" s="1"/>
  <c r="BH22" i="14" a="1"/>
  <c r="BH22" i="14" s="1"/>
  <c r="BH23" i="14" a="1"/>
  <c r="BH23" i="14" s="1"/>
  <c r="BH24" i="14" a="1"/>
  <c r="BH24" i="14" s="1"/>
  <c r="BH25" i="14" a="1"/>
  <c r="BH25" i="14" s="1"/>
  <c r="BH26" i="14" a="1"/>
  <c r="BH26" i="14" s="1"/>
  <c r="BH27" i="14" a="1"/>
  <c r="BH27" i="14" s="1"/>
  <c r="BH28" i="14" a="1"/>
  <c r="BH28" i="14" s="1"/>
  <c r="BH29" i="14" a="1"/>
  <c r="BH29" i="14" s="1"/>
  <c r="BH30" i="14" a="1"/>
  <c r="BH30" i="14" s="1"/>
  <c r="BH31" i="14" a="1"/>
  <c r="BH31" i="14" s="1"/>
  <c r="BH32" i="14" a="1"/>
  <c r="BH32" i="14" s="1"/>
  <c r="BH33" i="14" a="1"/>
  <c r="BH33" i="14"/>
  <c r="BH34" i="14" a="1"/>
  <c r="BH34" i="14" s="1"/>
  <c r="BH35" i="14" a="1"/>
  <c r="BH35" i="14" s="1"/>
  <c r="BH36" i="14" a="1"/>
  <c r="BH36" i="14" s="1"/>
  <c r="BH37" i="14" a="1"/>
  <c r="BH37" i="14" s="1"/>
  <c r="BH38" i="14" a="1"/>
  <c r="BH38" i="14" s="1"/>
  <c r="BH39" i="14" a="1"/>
  <c r="BH39" i="14" s="1"/>
  <c r="BH40" i="14" a="1"/>
  <c r="BH40" i="14" s="1"/>
  <c r="BH41" i="14" a="1"/>
  <c r="BH41" i="14"/>
  <c r="BH42" i="14" a="1"/>
  <c r="BH42" i="14" s="1"/>
  <c r="BH43" i="14" a="1"/>
  <c r="BH43" i="14" s="1"/>
  <c r="BH44" i="14" a="1"/>
  <c r="BH44" i="14" s="1"/>
  <c r="BH45" i="14" a="1"/>
  <c r="BH45" i="14" s="1"/>
  <c r="BH46" i="14" a="1"/>
  <c r="BH46" i="14" s="1"/>
  <c r="BH47" i="14" a="1"/>
  <c r="BH47" i="14" s="1"/>
  <c r="BH48" i="14" a="1"/>
  <c r="BH48" i="14" s="1"/>
  <c r="BH49" i="14" a="1"/>
  <c r="BH49" i="14"/>
  <c r="AZ14" i="35"/>
  <c r="AY14" i="35"/>
  <c r="BS18" i="35"/>
  <c r="BS19" i="35"/>
  <c r="BS20" i="35"/>
  <c r="BS21" i="35"/>
  <c r="BS22" i="35"/>
  <c r="BS23" i="35"/>
  <c r="BS24" i="35"/>
  <c r="BS25" i="35"/>
  <c r="BS26" i="35"/>
  <c r="BS27" i="35"/>
  <c r="BS28" i="35"/>
  <c r="BS29" i="35"/>
  <c r="BS30" i="35"/>
  <c r="BS31" i="35"/>
  <c r="BS32" i="35"/>
  <c r="BS33" i="35"/>
  <c r="BS34" i="35"/>
  <c r="BS35" i="35"/>
  <c r="BS36" i="35"/>
  <c r="BS37" i="35"/>
  <c r="BS38" i="35"/>
  <c r="BS39" i="35"/>
  <c r="BS40" i="35"/>
  <c r="BS41" i="35"/>
  <c r="BS42" i="35"/>
  <c r="BS43" i="35"/>
  <c r="BS44" i="35"/>
  <c r="BS45" i="35"/>
  <c r="BS46" i="35"/>
  <c r="BS47" i="35"/>
  <c r="BS48" i="35"/>
  <c r="BS49" i="35"/>
  <c r="BS50" i="35"/>
  <c r="BN18" i="35"/>
  <c r="BO18" i="35"/>
  <c r="BN19" i="35"/>
  <c r="BO19" i="35"/>
  <c r="BN20" i="35"/>
  <c r="BO20" i="35"/>
  <c r="BN21" i="35"/>
  <c r="BO21" i="35"/>
  <c r="BN22" i="35"/>
  <c r="BO22" i="35"/>
  <c r="BN23" i="35"/>
  <c r="BO23" i="35"/>
  <c r="BN24" i="35"/>
  <c r="BO24" i="35"/>
  <c r="BN25" i="35"/>
  <c r="BO25" i="35"/>
  <c r="BN26" i="35"/>
  <c r="BO26" i="35"/>
  <c r="BN27" i="35"/>
  <c r="BO27" i="35"/>
  <c r="BN28" i="35"/>
  <c r="BO28" i="35"/>
  <c r="BN29" i="35"/>
  <c r="BO29" i="35"/>
  <c r="BN30" i="35"/>
  <c r="BO30" i="35"/>
  <c r="BN31" i="35"/>
  <c r="BO31" i="35"/>
  <c r="BN32" i="35"/>
  <c r="BO32" i="35"/>
  <c r="BN33" i="35"/>
  <c r="BO33" i="35"/>
  <c r="BN34" i="35"/>
  <c r="BO34" i="35"/>
  <c r="BN35" i="35"/>
  <c r="BO35" i="35"/>
  <c r="BN36" i="35"/>
  <c r="BO36" i="35"/>
  <c r="BN37" i="35"/>
  <c r="BO37" i="35"/>
  <c r="BN38" i="35"/>
  <c r="BO38" i="35"/>
  <c r="BN39" i="35"/>
  <c r="BO39" i="35"/>
  <c r="BN40" i="35"/>
  <c r="BO40" i="35"/>
  <c r="BN41" i="35"/>
  <c r="BO41" i="35"/>
  <c r="BN42" i="35"/>
  <c r="BO42" i="35"/>
  <c r="BN43" i="35"/>
  <c r="BO43" i="35"/>
  <c r="BN44" i="35"/>
  <c r="BO44" i="35"/>
  <c r="BN45" i="35"/>
  <c r="BO45" i="35"/>
  <c r="BN46" i="35"/>
  <c r="BO46" i="35"/>
  <c r="BN47" i="35"/>
  <c r="BO47" i="35"/>
  <c r="BN48" i="35"/>
  <c r="BO48" i="35"/>
  <c r="BN49" i="35"/>
  <c r="BO49" i="35"/>
  <c r="BN50" i="35"/>
  <c r="BO50" i="35"/>
  <c r="BQ18" i="35" a="1"/>
  <c r="BQ18" i="35" s="1"/>
  <c r="BR18" i="35" a="1"/>
  <c r="BR18" i="35" s="1"/>
  <c r="BQ19" i="35" a="1"/>
  <c r="BQ19" i="35" s="1"/>
  <c r="BR19" i="35" a="1"/>
  <c r="BR19" i="35"/>
  <c r="BQ20" i="35" a="1"/>
  <c r="BQ20" i="35" s="1"/>
  <c r="BR20" i="35" a="1"/>
  <c r="BR20" i="35" s="1"/>
  <c r="BQ21" i="35" a="1"/>
  <c r="BQ21" i="35" s="1"/>
  <c r="BR21" i="35" a="1"/>
  <c r="BR21" i="35" s="1"/>
  <c r="BQ22" i="35" a="1"/>
  <c r="BQ22" i="35" s="1"/>
  <c r="BR22" i="35" a="1"/>
  <c r="BR22" i="35" s="1"/>
  <c r="BQ23" i="35" a="1"/>
  <c r="BQ23" i="35" s="1"/>
  <c r="BR23" i="35" a="1"/>
  <c r="BR23" i="35"/>
  <c r="BQ24" i="35" a="1"/>
  <c r="BQ24" i="35" s="1"/>
  <c r="BR24" i="35" a="1"/>
  <c r="BR24" i="35" s="1"/>
  <c r="BQ25" i="35" a="1"/>
  <c r="BQ25" i="35" s="1"/>
  <c r="BR25" i="35" a="1"/>
  <c r="BR25" i="35" s="1"/>
  <c r="BQ26" i="35" a="1"/>
  <c r="BQ26" i="35" s="1"/>
  <c r="BR26" i="35" a="1"/>
  <c r="BR26" i="35" s="1"/>
  <c r="BQ27" i="35" a="1"/>
  <c r="BQ27" i="35" s="1"/>
  <c r="BR27" i="35" a="1"/>
  <c r="BR27" i="35"/>
  <c r="BQ28" i="35" a="1"/>
  <c r="BQ28" i="35" s="1"/>
  <c r="BR28" i="35" a="1"/>
  <c r="BR28" i="35" s="1"/>
  <c r="BQ29" i="35" a="1"/>
  <c r="BQ29" i="35" s="1"/>
  <c r="BR29" i="35" a="1"/>
  <c r="BR29" i="35" s="1"/>
  <c r="BQ30" i="35" a="1"/>
  <c r="BQ30" i="35" s="1"/>
  <c r="BR30" i="35" a="1"/>
  <c r="BR30" i="35" s="1"/>
  <c r="BQ31" i="35" a="1"/>
  <c r="BQ31" i="35" s="1"/>
  <c r="BR31" i="35" a="1"/>
  <c r="BR31" i="35"/>
  <c r="BQ32" i="35" a="1"/>
  <c r="BQ32" i="35" s="1"/>
  <c r="BR32" i="35" a="1"/>
  <c r="BR32" i="35" s="1"/>
  <c r="BQ33" i="35" a="1"/>
  <c r="BQ33" i="35" s="1"/>
  <c r="BR33" i="35" a="1"/>
  <c r="BR33" i="35" s="1"/>
  <c r="BQ34" i="35" a="1"/>
  <c r="BQ34" i="35" s="1"/>
  <c r="BR34" i="35" a="1"/>
  <c r="BR34" i="35" s="1"/>
  <c r="BQ35" i="35" a="1"/>
  <c r="BQ35" i="35" s="1"/>
  <c r="BR35" i="35" a="1"/>
  <c r="BR35" i="35"/>
  <c r="BQ36" i="35" a="1"/>
  <c r="BQ36" i="35" s="1"/>
  <c r="BR36" i="35" a="1"/>
  <c r="BR36" i="35" s="1"/>
  <c r="BQ37" i="35" a="1"/>
  <c r="BQ37" i="35" s="1"/>
  <c r="BR37" i="35" a="1"/>
  <c r="BR37" i="35" s="1"/>
  <c r="BQ38" i="35" a="1"/>
  <c r="BQ38" i="35" s="1"/>
  <c r="BR38" i="35" a="1"/>
  <c r="BR38" i="35" s="1"/>
  <c r="BQ39" i="35" a="1"/>
  <c r="BQ39" i="35" s="1"/>
  <c r="BR39" i="35" a="1"/>
  <c r="BR39" i="35"/>
  <c r="BQ40" i="35" a="1"/>
  <c r="BQ40" i="35" s="1"/>
  <c r="BR40" i="35" a="1"/>
  <c r="BR40" i="35" s="1"/>
  <c r="BQ41" i="35" a="1"/>
  <c r="BQ41" i="35" s="1"/>
  <c r="BR41" i="35" a="1"/>
  <c r="BR41" i="35" s="1"/>
  <c r="BQ42" i="35" a="1"/>
  <c r="BQ42" i="35" s="1"/>
  <c r="BR42" i="35" a="1"/>
  <c r="BR42" i="35" s="1"/>
  <c r="BQ43" i="35" a="1"/>
  <c r="BQ43" i="35" s="1"/>
  <c r="BR43" i="35" a="1"/>
  <c r="BR43" i="35"/>
  <c r="BQ44" i="35" a="1"/>
  <c r="BQ44" i="35" s="1"/>
  <c r="BR44" i="35" a="1"/>
  <c r="BR44" i="35" s="1"/>
  <c r="BQ45" i="35" a="1"/>
  <c r="BQ45" i="35" s="1"/>
  <c r="BR45" i="35" a="1"/>
  <c r="BR45" i="35" s="1"/>
  <c r="BQ46" i="35" a="1"/>
  <c r="BQ46" i="35" s="1"/>
  <c r="BR46" i="35" a="1"/>
  <c r="BR46" i="35" s="1"/>
  <c r="BQ47" i="35" a="1"/>
  <c r="BQ47" i="35" s="1"/>
  <c r="BR47" i="35" a="1"/>
  <c r="BR47" i="35"/>
  <c r="BQ48" i="35" a="1"/>
  <c r="BQ48" i="35" s="1"/>
  <c r="BR48" i="35" a="1"/>
  <c r="BR48" i="35" s="1"/>
  <c r="BQ49" i="35" a="1"/>
  <c r="BQ49" i="35" s="1"/>
  <c r="BR49" i="35" a="1"/>
  <c r="BR49" i="35" s="1"/>
  <c r="BQ50" i="35" a="1"/>
  <c r="BQ50" i="35" s="1"/>
  <c r="BR50" i="35" a="1"/>
  <c r="BR50" i="35" s="1"/>
  <c r="AV16" i="35" l="1"/>
  <c r="BD11" i="35"/>
  <c r="AE9" i="17"/>
  <c r="AD9" i="17"/>
  <c r="AG9" i="17"/>
  <c r="O9" i="17"/>
  <c r="Q9" i="17" s="1"/>
  <c r="G17" i="34"/>
  <c r="E17" i="34"/>
  <c r="E18" i="34"/>
  <c r="D17" i="34"/>
  <c r="C17" i="34"/>
  <c r="Y11" i="35"/>
  <c r="T10" i="35"/>
  <c r="Y10" i="35"/>
  <c r="AD10" i="35"/>
  <c r="BA14" i="35" l="1"/>
  <c r="AF9" i="17"/>
  <c r="AJ9" i="17" s="1"/>
  <c r="E21" i="34" l="1"/>
  <c r="M10" i="31"/>
  <c r="W9" i="31"/>
  <c r="O10" i="31"/>
  <c r="P10" i="31"/>
  <c r="Q10" i="31"/>
  <c r="R10" i="31"/>
  <c r="S10" i="31"/>
  <c r="T10" i="31"/>
  <c r="V10" i="31" s="1"/>
  <c r="U10" i="31"/>
  <c r="W10" i="31"/>
  <c r="X10" i="31"/>
  <c r="O11" i="31"/>
  <c r="P11" i="31"/>
  <c r="Q11" i="31"/>
  <c r="R11" i="31"/>
  <c r="S11" i="31"/>
  <c r="T11" i="31"/>
  <c r="Z11" i="31" s="1"/>
  <c r="U11" i="31"/>
  <c r="W11" i="31"/>
  <c r="X11" i="31"/>
  <c r="O12" i="31"/>
  <c r="P12" i="31"/>
  <c r="Q12" i="31"/>
  <c r="R12" i="31"/>
  <c r="S12" i="31"/>
  <c r="T12" i="31"/>
  <c r="U12" i="31"/>
  <c r="V12" i="31"/>
  <c r="W12" i="31"/>
  <c r="X12" i="31"/>
  <c r="Z12" i="31"/>
  <c r="AB12" i="31" s="1" a="1"/>
  <c r="AB12" i="31" s="1"/>
  <c r="AC12" i="31"/>
  <c r="O13" i="31"/>
  <c r="P13" i="31"/>
  <c r="Q13" i="31"/>
  <c r="R13" i="31"/>
  <c r="S13" i="31"/>
  <c r="T13" i="31"/>
  <c r="Z13" i="31" s="1"/>
  <c r="AB13" i="31" s="1" a="1"/>
  <c r="AB13" i="31" s="1"/>
  <c r="U13" i="31"/>
  <c r="V13" i="31"/>
  <c r="W13" i="31"/>
  <c r="X13" i="31"/>
  <c r="O14" i="31"/>
  <c r="P14" i="31"/>
  <c r="Q14" i="31"/>
  <c r="R14" i="31"/>
  <c r="S14" i="31"/>
  <c r="T14" i="31"/>
  <c r="V14" i="31" s="1"/>
  <c r="U14" i="31"/>
  <c r="W14" i="31"/>
  <c r="X14" i="31"/>
  <c r="O15" i="31"/>
  <c r="P15" i="31"/>
  <c r="Q15" i="31"/>
  <c r="R15" i="31"/>
  <c r="S15" i="31"/>
  <c r="T15" i="31"/>
  <c r="Z15" i="31" s="1"/>
  <c r="U15" i="31"/>
  <c r="V15" i="31"/>
  <c r="W15" i="31"/>
  <c r="X15" i="31"/>
  <c r="O16" i="31"/>
  <c r="P16" i="31"/>
  <c r="Q16" i="31"/>
  <c r="R16" i="31"/>
  <c r="S16" i="31"/>
  <c r="T16" i="31"/>
  <c r="U16" i="31"/>
  <c r="V16" i="31"/>
  <c r="W16" i="31"/>
  <c r="X16" i="31"/>
  <c r="Z16" i="31"/>
  <c r="AB16" i="31" s="1" a="1"/>
  <c r="AB16" i="31" s="1"/>
  <c r="AC16" i="31"/>
  <c r="O17" i="31"/>
  <c r="P17" i="31"/>
  <c r="Q17" i="31"/>
  <c r="R17" i="31"/>
  <c r="S17" i="31"/>
  <c r="T17" i="31"/>
  <c r="Z17" i="31" s="1"/>
  <c r="AB17" i="31" s="1" a="1"/>
  <c r="AB17" i="31" s="1"/>
  <c r="U17" i="31"/>
  <c r="V17" i="31"/>
  <c r="W17" i="31"/>
  <c r="X17" i="31"/>
  <c r="O18" i="31"/>
  <c r="P18" i="31"/>
  <c r="Q18" i="31"/>
  <c r="R18" i="31"/>
  <c r="S18" i="31"/>
  <c r="T18" i="31"/>
  <c r="V18" i="31" s="1"/>
  <c r="U18" i="31"/>
  <c r="W18" i="31"/>
  <c r="X18" i="31"/>
  <c r="O19" i="31"/>
  <c r="P19" i="31"/>
  <c r="Q19" i="31"/>
  <c r="R19" i="31"/>
  <c r="S19" i="31"/>
  <c r="T19" i="31"/>
  <c r="Z19" i="31" s="1"/>
  <c r="AB19" i="31" s="1" a="1"/>
  <c r="AB19" i="31" s="1"/>
  <c r="U19" i="31"/>
  <c r="V19" i="31"/>
  <c r="W19" i="31"/>
  <c r="X19" i="31"/>
  <c r="O20" i="31"/>
  <c r="P20" i="31"/>
  <c r="Q20" i="31"/>
  <c r="R20" i="31"/>
  <c r="S20" i="31"/>
  <c r="T20" i="31"/>
  <c r="U20" i="31"/>
  <c r="V20" i="31"/>
  <c r="W20" i="31"/>
  <c r="X20" i="31"/>
  <c r="Z20" i="31"/>
  <c r="AB20" i="31" s="1" a="1"/>
  <c r="AB20" i="31" s="1"/>
  <c r="AC20" i="31"/>
  <c r="O21" i="31"/>
  <c r="P21" i="31"/>
  <c r="Q21" i="31"/>
  <c r="R21" i="31"/>
  <c r="S21" i="31"/>
  <c r="T21" i="31"/>
  <c r="Z21" i="31" s="1"/>
  <c r="AB21" i="31" s="1" a="1"/>
  <c r="AB21" i="31" s="1"/>
  <c r="U21" i="31"/>
  <c r="V21" i="31"/>
  <c r="W21" i="31"/>
  <c r="X21" i="31"/>
  <c r="O22" i="31"/>
  <c r="P22" i="31"/>
  <c r="Q22" i="31"/>
  <c r="R22" i="31"/>
  <c r="S22" i="31"/>
  <c r="T22" i="31"/>
  <c r="V22" i="31" s="1"/>
  <c r="U22" i="31"/>
  <c r="W22" i="31"/>
  <c r="X22" i="31"/>
  <c r="O23" i="31"/>
  <c r="P23" i="31"/>
  <c r="Q23" i="31"/>
  <c r="R23" i="31"/>
  <c r="S23" i="31"/>
  <c r="T23" i="31"/>
  <c r="Z23" i="31" s="1"/>
  <c r="U23" i="31"/>
  <c r="V23" i="31"/>
  <c r="W23" i="31"/>
  <c r="X23" i="31"/>
  <c r="O24" i="31"/>
  <c r="P24" i="31"/>
  <c r="Q24" i="31"/>
  <c r="R24" i="31"/>
  <c r="S24" i="31"/>
  <c r="T24" i="31"/>
  <c r="U24" i="31"/>
  <c r="V24" i="31"/>
  <c r="W24" i="31"/>
  <c r="X24" i="31"/>
  <c r="Z24" i="31"/>
  <c r="AB24" i="31" s="1" a="1"/>
  <c r="AB24" i="31" s="1"/>
  <c r="AC24" i="31"/>
  <c r="O25" i="31"/>
  <c r="P25" i="31"/>
  <c r="Q25" i="31"/>
  <c r="R25" i="31"/>
  <c r="S25" i="31"/>
  <c r="T25" i="31"/>
  <c r="Z25" i="31" s="1"/>
  <c r="U25" i="31"/>
  <c r="V25" i="31"/>
  <c r="W25" i="31"/>
  <c r="X25" i="31"/>
  <c r="O26" i="31"/>
  <c r="P26" i="31"/>
  <c r="Q26" i="31"/>
  <c r="R26" i="31"/>
  <c r="S26" i="31"/>
  <c r="T26" i="31"/>
  <c r="V26" i="31" s="1"/>
  <c r="U26" i="31"/>
  <c r="W26" i="31"/>
  <c r="X26" i="31"/>
  <c r="O27" i="31"/>
  <c r="P27" i="31"/>
  <c r="Q27" i="31"/>
  <c r="R27" i="31"/>
  <c r="S27" i="31"/>
  <c r="T27" i="31"/>
  <c r="Z27" i="31" s="1"/>
  <c r="U27" i="31"/>
  <c r="V27" i="31"/>
  <c r="W27" i="31"/>
  <c r="X27" i="31"/>
  <c r="O28" i="31"/>
  <c r="P28" i="31"/>
  <c r="Q28" i="31"/>
  <c r="R28" i="31"/>
  <c r="S28" i="31"/>
  <c r="T28" i="31"/>
  <c r="U28" i="31"/>
  <c r="V28" i="31"/>
  <c r="W28" i="31"/>
  <c r="X28" i="31"/>
  <c r="Z28" i="31"/>
  <c r="AB28" i="31" s="1" a="1"/>
  <c r="AB28" i="31" s="1"/>
  <c r="AC28" i="31"/>
  <c r="O29" i="31"/>
  <c r="P29" i="31"/>
  <c r="Q29" i="31"/>
  <c r="R29" i="31"/>
  <c r="S29" i="31"/>
  <c r="T29" i="31"/>
  <c r="Z29" i="31" s="1"/>
  <c r="AB29" i="31" s="1" a="1"/>
  <c r="AB29" i="31" s="1"/>
  <c r="U29" i="31"/>
  <c r="V29" i="31"/>
  <c r="W29" i="31"/>
  <c r="X29" i="31"/>
  <c r="O30" i="31"/>
  <c r="P30" i="31"/>
  <c r="Q30" i="31"/>
  <c r="R30" i="31"/>
  <c r="S30" i="31"/>
  <c r="T30" i="31"/>
  <c r="V30" i="31" s="1"/>
  <c r="U30" i="31"/>
  <c r="W30" i="31"/>
  <c r="X30" i="31"/>
  <c r="O31" i="31"/>
  <c r="P31" i="31"/>
  <c r="Q31" i="31"/>
  <c r="R31" i="31"/>
  <c r="S31" i="31"/>
  <c r="T31" i="31"/>
  <c r="Z31" i="31" s="1"/>
  <c r="U31" i="31"/>
  <c r="V31" i="31"/>
  <c r="W31" i="31"/>
  <c r="X31" i="31"/>
  <c r="O32" i="31"/>
  <c r="P32" i="31"/>
  <c r="Q32" i="31"/>
  <c r="R32" i="31"/>
  <c r="S32" i="31"/>
  <c r="T32" i="31"/>
  <c r="U32" i="31"/>
  <c r="V32" i="31"/>
  <c r="W32" i="31"/>
  <c r="X32" i="31"/>
  <c r="Z32" i="31"/>
  <c r="AB32" i="31" s="1" a="1"/>
  <c r="AB32" i="31" s="1"/>
  <c r="AC32" i="31"/>
  <c r="O33" i="31"/>
  <c r="P33" i="31"/>
  <c r="Q33" i="31"/>
  <c r="R33" i="31"/>
  <c r="S33" i="31"/>
  <c r="T33" i="31"/>
  <c r="Z33" i="31" s="1"/>
  <c r="AB33" i="31" s="1" a="1"/>
  <c r="AB33" i="31" s="1"/>
  <c r="U33" i="31"/>
  <c r="V33" i="31"/>
  <c r="W33" i="31"/>
  <c r="X33" i="31"/>
  <c r="O34" i="31"/>
  <c r="P34" i="31"/>
  <c r="Q34" i="31"/>
  <c r="R34" i="31"/>
  <c r="S34" i="31"/>
  <c r="T34" i="31"/>
  <c r="V34" i="31" s="1"/>
  <c r="U34" i="31"/>
  <c r="W34" i="31"/>
  <c r="X34" i="31"/>
  <c r="O35" i="31"/>
  <c r="P35" i="31"/>
  <c r="Q35" i="31"/>
  <c r="R35" i="31"/>
  <c r="S35" i="31"/>
  <c r="T35" i="31"/>
  <c r="Z35" i="31" s="1"/>
  <c r="AB35" i="31" s="1" a="1"/>
  <c r="AB35" i="31" s="1"/>
  <c r="U35" i="31"/>
  <c r="V35" i="31"/>
  <c r="W35" i="31"/>
  <c r="X35" i="31"/>
  <c r="O36" i="31"/>
  <c r="P36" i="31"/>
  <c r="Q36" i="31"/>
  <c r="R36" i="31"/>
  <c r="S36" i="31"/>
  <c r="T36" i="31"/>
  <c r="U36" i="31"/>
  <c r="V36" i="31"/>
  <c r="W36" i="31"/>
  <c r="X36" i="31"/>
  <c r="Z36" i="31"/>
  <c r="AB36" i="31" s="1" a="1"/>
  <c r="AB36" i="31" s="1"/>
  <c r="AC36" i="31"/>
  <c r="O37" i="31"/>
  <c r="P37" i="31"/>
  <c r="Q37" i="31"/>
  <c r="R37" i="31"/>
  <c r="S37" i="31"/>
  <c r="T37" i="31"/>
  <c r="Z37" i="31" s="1"/>
  <c r="AB37" i="31" s="1" a="1"/>
  <c r="AB37" i="31" s="1"/>
  <c r="U37" i="31"/>
  <c r="V37" i="31"/>
  <c r="W37" i="31"/>
  <c r="X37" i="31"/>
  <c r="O38" i="31"/>
  <c r="P38" i="31"/>
  <c r="Q38" i="31"/>
  <c r="R38" i="31"/>
  <c r="S38" i="31"/>
  <c r="T38" i="31"/>
  <c r="V38" i="31" s="1"/>
  <c r="U38" i="31"/>
  <c r="W38" i="31"/>
  <c r="X38" i="31"/>
  <c r="O39" i="31"/>
  <c r="P39" i="31"/>
  <c r="Q39" i="31"/>
  <c r="R39" i="31"/>
  <c r="S39" i="31"/>
  <c r="T39" i="31"/>
  <c r="Z39" i="31" s="1"/>
  <c r="U39" i="31"/>
  <c r="V39" i="31"/>
  <c r="W39" i="31"/>
  <c r="X39" i="31"/>
  <c r="O40" i="31"/>
  <c r="P40" i="31"/>
  <c r="Q40" i="31"/>
  <c r="R40" i="31"/>
  <c r="S40" i="31"/>
  <c r="T40" i="31"/>
  <c r="U40" i="31"/>
  <c r="V40" i="31"/>
  <c r="W40" i="31"/>
  <c r="X40" i="31"/>
  <c r="Z40" i="31"/>
  <c r="AB40" i="31" s="1" a="1"/>
  <c r="AB40" i="31" s="1"/>
  <c r="AC40" i="31"/>
  <c r="O41" i="31"/>
  <c r="P41" i="31"/>
  <c r="Q41" i="31"/>
  <c r="R41" i="31"/>
  <c r="S41" i="31"/>
  <c r="T41" i="31"/>
  <c r="Z41" i="31" s="1"/>
  <c r="U41" i="31"/>
  <c r="V41" i="31"/>
  <c r="W41" i="31"/>
  <c r="X41" i="31"/>
  <c r="O42" i="31"/>
  <c r="P42" i="31"/>
  <c r="Q42" i="31"/>
  <c r="R42" i="31"/>
  <c r="S42" i="31"/>
  <c r="T42" i="31"/>
  <c r="V42" i="31" s="1"/>
  <c r="U42" i="31"/>
  <c r="W42" i="31"/>
  <c r="X42" i="31"/>
  <c r="O43" i="31"/>
  <c r="P43" i="31"/>
  <c r="Q43" i="31"/>
  <c r="R43" i="31"/>
  <c r="S43" i="31"/>
  <c r="T43" i="31"/>
  <c r="Z43" i="31" s="1"/>
  <c r="U43" i="31"/>
  <c r="V43" i="31"/>
  <c r="W43" i="31"/>
  <c r="X43" i="31"/>
  <c r="O44" i="31"/>
  <c r="P44" i="31"/>
  <c r="Q44" i="31"/>
  <c r="R44" i="31"/>
  <c r="S44" i="31"/>
  <c r="T44" i="31"/>
  <c r="U44" i="31"/>
  <c r="V44" i="31"/>
  <c r="W44" i="31"/>
  <c r="X44" i="31"/>
  <c r="Z44" i="31"/>
  <c r="AB44" i="31" s="1" a="1"/>
  <c r="AB44" i="31" s="1"/>
  <c r="AC44" i="31"/>
  <c r="O45" i="31"/>
  <c r="P45" i="31"/>
  <c r="Q45" i="31"/>
  <c r="R45" i="31"/>
  <c r="S45" i="31"/>
  <c r="T45" i="31"/>
  <c r="Z45" i="31" s="1"/>
  <c r="AB45" i="31" s="1" a="1"/>
  <c r="AB45" i="31" s="1"/>
  <c r="U45" i="31"/>
  <c r="V45" i="31"/>
  <c r="W45" i="31"/>
  <c r="X45" i="31"/>
  <c r="O46" i="31"/>
  <c r="P46" i="31"/>
  <c r="Q46" i="31"/>
  <c r="R46" i="31"/>
  <c r="S46" i="31"/>
  <c r="T46" i="31"/>
  <c r="V46" i="31" s="1"/>
  <c r="U46" i="31"/>
  <c r="W46" i="31"/>
  <c r="X46" i="31"/>
  <c r="O47" i="31"/>
  <c r="P47" i="31"/>
  <c r="Q47" i="31"/>
  <c r="R47" i="31"/>
  <c r="S47" i="31"/>
  <c r="T47" i="31"/>
  <c r="Z47" i="31" s="1"/>
  <c r="U47" i="31"/>
  <c r="V47" i="31"/>
  <c r="W47" i="31"/>
  <c r="X47" i="31"/>
  <c r="O48" i="31"/>
  <c r="P48" i="31"/>
  <c r="Q48" i="31"/>
  <c r="R48" i="31"/>
  <c r="S48" i="31"/>
  <c r="T48" i="31"/>
  <c r="U48" i="31"/>
  <c r="V48" i="31"/>
  <c r="W48" i="31"/>
  <c r="X48" i="31"/>
  <c r="Z48" i="31"/>
  <c r="AB48" i="31" s="1" a="1"/>
  <c r="AB48" i="31" s="1"/>
  <c r="AC48" i="31"/>
  <c r="M9" i="31"/>
  <c r="X9" i="31"/>
  <c r="U9" i="31"/>
  <c r="P9" i="31"/>
  <c r="Q9" i="31"/>
  <c r="R9" i="31"/>
  <c r="S9" i="31"/>
  <c r="T9" i="31"/>
  <c r="Z9" i="31" s="1"/>
  <c r="M11" i="31"/>
  <c r="M12" i="31"/>
  <c r="M13" i="31"/>
  <c r="AC13" i="31" s="1"/>
  <c r="M14" i="31"/>
  <c r="M15" i="31"/>
  <c r="M16" i="31"/>
  <c r="M17" i="31"/>
  <c r="M18" i="31"/>
  <c r="M19" i="31"/>
  <c r="AC19" i="31" s="1"/>
  <c r="M20" i="31"/>
  <c r="M21" i="31"/>
  <c r="M22" i="31"/>
  <c r="M23" i="31"/>
  <c r="M24" i="31"/>
  <c r="M25" i="31"/>
  <c r="M26" i="31"/>
  <c r="M27" i="31"/>
  <c r="M28" i="31"/>
  <c r="M29" i="31"/>
  <c r="AC29" i="31" s="1"/>
  <c r="M30" i="31"/>
  <c r="M31" i="31"/>
  <c r="M32" i="31"/>
  <c r="M33" i="31"/>
  <c r="M34" i="31"/>
  <c r="M35" i="31"/>
  <c r="M36" i="31"/>
  <c r="M37" i="31"/>
  <c r="M38" i="31"/>
  <c r="M39" i="31"/>
  <c r="M40" i="31"/>
  <c r="M41" i="31"/>
  <c r="M42" i="31"/>
  <c r="M43" i="31"/>
  <c r="M44" i="31"/>
  <c r="M45" i="31"/>
  <c r="M46" i="31"/>
  <c r="M47" i="31"/>
  <c r="M48" i="31"/>
  <c r="J10" i="31"/>
  <c r="J11" i="31"/>
  <c r="J12" i="31"/>
  <c r="J13" i="31"/>
  <c r="J14" i="31"/>
  <c r="J15" i="31"/>
  <c r="J16" i="31"/>
  <c r="J17" i="31"/>
  <c r="J18" i="31"/>
  <c r="J19" i="31"/>
  <c r="J20" i="31"/>
  <c r="J21" i="31"/>
  <c r="J22" i="31"/>
  <c r="J23" i="31"/>
  <c r="J24" i="31"/>
  <c r="J25" i="31"/>
  <c r="J26" i="31"/>
  <c r="J27" i="31"/>
  <c r="J28" i="31"/>
  <c r="J29" i="31"/>
  <c r="J30" i="31"/>
  <c r="J31" i="31"/>
  <c r="J32" i="31"/>
  <c r="J33" i="31"/>
  <c r="J34" i="31"/>
  <c r="J35" i="31"/>
  <c r="J36" i="31"/>
  <c r="J37" i="31"/>
  <c r="J38" i="31"/>
  <c r="J39" i="31"/>
  <c r="J40" i="31"/>
  <c r="J41" i="31"/>
  <c r="J42" i="31"/>
  <c r="J43" i="31"/>
  <c r="J44" i="31"/>
  <c r="J45" i="31"/>
  <c r="J46" i="31"/>
  <c r="J47" i="31"/>
  <c r="J48" i="31"/>
  <c r="J9" i="31"/>
  <c r="AO12" i="35"/>
  <c r="AO13" i="35"/>
  <c r="AO14" i="35"/>
  <c r="AO15" i="35"/>
  <c r="AO16" i="35"/>
  <c r="AO17" i="35"/>
  <c r="AO18" i="35"/>
  <c r="AO19" i="35"/>
  <c r="AO20" i="35"/>
  <c r="AO21" i="35"/>
  <c r="AO22" i="35"/>
  <c r="AO23" i="35"/>
  <c r="AO24" i="35"/>
  <c r="AO25" i="35"/>
  <c r="AO26" i="35"/>
  <c r="AO27" i="35"/>
  <c r="AO28" i="35"/>
  <c r="AO29" i="35"/>
  <c r="AO30" i="35"/>
  <c r="AO31" i="35"/>
  <c r="AO32" i="35"/>
  <c r="AO33" i="35"/>
  <c r="AO34" i="35"/>
  <c r="AO35" i="35"/>
  <c r="AO36" i="35"/>
  <c r="AO37" i="35"/>
  <c r="AO38" i="35"/>
  <c r="AO39" i="35"/>
  <c r="AO40" i="35"/>
  <c r="AO41" i="35"/>
  <c r="AO42" i="35"/>
  <c r="AO43" i="35"/>
  <c r="AO44" i="35"/>
  <c r="AO45" i="35"/>
  <c r="AO46" i="35"/>
  <c r="AO47" i="35"/>
  <c r="AO48" i="35"/>
  <c r="AO49" i="35"/>
  <c r="AO50" i="35"/>
  <c r="AO11" i="35"/>
  <c r="AO10" i="35"/>
  <c r="K11" i="32"/>
  <c r="K12" i="32"/>
  <c r="K13" i="32"/>
  <c r="K14" i="32"/>
  <c r="K15" i="32"/>
  <c r="K16" i="32"/>
  <c r="K17" i="32"/>
  <c r="K18" i="32"/>
  <c r="K19" i="32"/>
  <c r="K20" i="32"/>
  <c r="K21" i="32"/>
  <c r="K22" i="32"/>
  <c r="K23" i="32"/>
  <c r="K24" i="32"/>
  <c r="K25" i="32"/>
  <c r="K26" i="32"/>
  <c r="K27" i="32"/>
  <c r="K28" i="32"/>
  <c r="K29" i="32"/>
  <c r="K30" i="32"/>
  <c r="K31" i="32"/>
  <c r="K32" i="32"/>
  <c r="K10" i="32"/>
  <c r="AI12" i="14"/>
  <c r="AI13" i="14"/>
  <c r="AI14" i="14"/>
  <c r="AI15" i="14"/>
  <c r="AI16" i="14"/>
  <c r="AI17" i="14"/>
  <c r="AI18" i="14"/>
  <c r="AI19" i="14"/>
  <c r="AI20" i="14"/>
  <c r="AI21" i="14"/>
  <c r="AI22" i="14"/>
  <c r="AI23" i="14"/>
  <c r="AI24" i="14"/>
  <c r="AI25" i="14"/>
  <c r="AI26" i="14"/>
  <c r="AI27" i="14"/>
  <c r="AI28" i="14"/>
  <c r="AI29" i="14"/>
  <c r="AI30" i="14"/>
  <c r="AI31" i="14"/>
  <c r="AI32" i="14"/>
  <c r="AI33" i="14"/>
  <c r="AI34" i="14"/>
  <c r="AI35" i="14"/>
  <c r="AI36" i="14"/>
  <c r="AI37" i="14"/>
  <c r="AI38" i="14"/>
  <c r="AI39" i="14"/>
  <c r="AI40" i="14"/>
  <c r="AI41" i="14"/>
  <c r="AI42" i="14"/>
  <c r="AI43" i="14"/>
  <c r="AI44" i="14"/>
  <c r="AI45" i="14"/>
  <c r="AI46" i="14"/>
  <c r="AI47" i="14"/>
  <c r="AI48" i="14"/>
  <c r="AI49" i="14"/>
  <c r="AI11" i="14"/>
  <c r="AI11" i="13"/>
  <c r="AI12" i="13"/>
  <c r="AI13" i="13"/>
  <c r="AI14" i="13"/>
  <c r="AI15" i="13"/>
  <c r="AI16" i="13"/>
  <c r="AI17" i="13"/>
  <c r="AI18" i="13"/>
  <c r="AI19" i="13"/>
  <c r="AI20" i="13"/>
  <c r="AI21" i="13"/>
  <c r="AI22" i="13"/>
  <c r="AI23" i="13"/>
  <c r="AI24" i="13"/>
  <c r="AI25" i="13"/>
  <c r="AI26" i="13"/>
  <c r="AI27" i="13"/>
  <c r="AI28" i="13"/>
  <c r="AI29" i="13"/>
  <c r="AI30" i="13"/>
  <c r="AI31" i="13"/>
  <c r="AI32" i="13"/>
  <c r="AI33" i="13"/>
  <c r="AI34" i="13"/>
  <c r="AI35" i="13"/>
  <c r="AI36" i="13"/>
  <c r="AI37" i="13"/>
  <c r="AI38" i="13"/>
  <c r="AI39" i="13"/>
  <c r="AI40" i="13"/>
  <c r="AI41" i="13"/>
  <c r="AI42" i="13"/>
  <c r="AI43" i="13"/>
  <c r="AI44" i="13"/>
  <c r="AI45" i="13"/>
  <c r="AI46" i="13"/>
  <c r="AI47" i="13"/>
  <c r="AI48" i="13"/>
  <c r="AI49" i="13"/>
  <c r="U11" i="17"/>
  <c r="U12" i="17"/>
  <c r="U13" i="17"/>
  <c r="U14" i="17"/>
  <c r="U15" i="17"/>
  <c r="U16" i="17"/>
  <c r="U17" i="17"/>
  <c r="U18" i="17"/>
  <c r="U19" i="17"/>
  <c r="U20" i="17"/>
  <c r="U21" i="17"/>
  <c r="U22" i="17"/>
  <c r="U23" i="17"/>
  <c r="U10" i="17"/>
  <c r="U9" i="17"/>
  <c r="AK12" i="35"/>
  <c r="AK13" i="35"/>
  <c r="AK14" i="35"/>
  <c r="AK15" i="35"/>
  <c r="AK16" i="35"/>
  <c r="AK17" i="35"/>
  <c r="AK18" i="35"/>
  <c r="AK19" i="35"/>
  <c r="AK20" i="35"/>
  <c r="AK21" i="35"/>
  <c r="AK22" i="35"/>
  <c r="AK23" i="35"/>
  <c r="AK24" i="35"/>
  <c r="AK25" i="35"/>
  <c r="AK26" i="35"/>
  <c r="AK27" i="35"/>
  <c r="AK28" i="35"/>
  <c r="AK29" i="35"/>
  <c r="AK30" i="35"/>
  <c r="AK31" i="35"/>
  <c r="AK32" i="35"/>
  <c r="AK33" i="35"/>
  <c r="AK34" i="35"/>
  <c r="AK35" i="35"/>
  <c r="AK36" i="35"/>
  <c r="AK37" i="35"/>
  <c r="AK38" i="35"/>
  <c r="AK39" i="35"/>
  <c r="AK40" i="35"/>
  <c r="AK41" i="35"/>
  <c r="AK42" i="35"/>
  <c r="AK43" i="35"/>
  <c r="AK44" i="35"/>
  <c r="AK45" i="35"/>
  <c r="AK46" i="35"/>
  <c r="AK47" i="35"/>
  <c r="AK48" i="35"/>
  <c r="AK49" i="35"/>
  <c r="AK50" i="35"/>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10" i="1"/>
  <c r="T11" i="1"/>
  <c r="BQ9" i="14" a="1"/>
  <c r="BQ9" i="14" s="1"/>
  <c r="BM49" i="13" a="1"/>
  <c r="BM49" i="13"/>
  <c r="BO48" i="13" a="1"/>
  <c r="BO48" i="13" s="1"/>
  <c r="BO47" i="13" a="1"/>
  <c r="BO47" i="13"/>
  <c r="BN47" i="13" a="1"/>
  <c r="BN47" i="13" s="1"/>
  <c r="BT47" i="13" s="1"/>
  <c r="BM47" i="13" a="1"/>
  <c r="BM47" i="13"/>
  <c r="BR46" i="13" a="1"/>
  <c r="BR46" i="13"/>
  <c r="BN46" i="13" a="1"/>
  <c r="BN46" i="13" s="1"/>
  <c r="BM46" i="13" a="1"/>
  <c r="BM46" i="13"/>
  <c r="BO45" i="13" a="1"/>
  <c r="BO45" i="13" s="1"/>
  <c r="BN45" i="13" a="1"/>
  <c r="BN45" i="13"/>
  <c r="BT45" i="13" s="1"/>
  <c r="BO39" i="13"/>
  <c r="BO37" i="13" a="1"/>
  <c r="BO37" i="13"/>
  <c r="BN36" i="13" a="1"/>
  <c r="BN36" i="13"/>
  <c r="BT36" i="13" s="1"/>
  <c r="BM36" i="13" a="1"/>
  <c r="BM36" i="13" s="1"/>
  <c r="BS36" i="13" s="1"/>
  <c r="BO34" i="13" a="1"/>
  <c r="BO34" i="13" s="1"/>
  <c r="BN34" i="13" a="1"/>
  <c r="BN34" i="13"/>
  <c r="BT34" i="13" s="1"/>
  <c r="BM34" i="13" a="1"/>
  <c r="BM34" i="13" s="1"/>
  <c r="BS34" i="13" s="1"/>
  <c r="BN33" i="13" a="1"/>
  <c r="BN33" i="13"/>
  <c r="BM33" i="13" a="1"/>
  <c r="BM33" i="13"/>
  <c r="BS33" i="13" s="1"/>
  <c r="BO32" i="13" a="1"/>
  <c r="BO32" i="13"/>
  <c r="BO31" i="13" a="1"/>
  <c r="BO31" i="13"/>
  <c r="BN31" i="13" a="1"/>
  <c r="BN31" i="13"/>
  <c r="BM31" i="13" a="1"/>
  <c r="BM31" i="13" s="1"/>
  <c r="BS31" i="13" s="1"/>
  <c r="BN30" i="13" a="1"/>
  <c r="BN30" i="13" s="1"/>
  <c r="BT30" i="13" s="1"/>
  <c r="BM30" i="13" a="1"/>
  <c r="BM30" i="13"/>
  <c r="BO29" i="13" a="1"/>
  <c r="BO29" i="13"/>
  <c r="BU29" i="13" s="1"/>
  <c r="BN29" i="13" a="1"/>
  <c r="BN29" i="13" s="1"/>
  <c r="BT29" i="13" s="1"/>
  <c r="BM28" i="13" a="1"/>
  <c r="BM28" i="13"/>
  <c r="BS28" i="13" s="1"/>
  <c r="BO23" i="13"/>
  <c r="BN23" i="13" a="1"/>
  <c r="BN23" i="13"/>
  <c r="BT23" i="13" s="1"/>
  <c r="BO21" i="13" a="1"/>
  <c r="BO21" i="13"/>
  <c r="BN21" i="13" a="1"/>
  <c r="BN21" i="13"/>
  <c r="BT21" i="13" s="1"/>
  <c r="BN20" i="13" a="1"/>
  <c r="BN20" i="13"/>
  <c r="BT20" i="13" s="1"/>
  <c r="BM20" i="13" a="1"/>
  <c r="BM20" i="13"/>
  <c r="BS20" i="13" s="1"/>
  <c r="BO18" i="13" a="1"/>
  <c r="BO18" i="13"/>
  <c r="BN18" i="13" a="1"/>
  <c r="BN18" i="13" s="1"/>
  <c r="BT18" i="13" s="1"/>
  <c r="BM18" i="13" a="1"/>
  <c r="BM18" i="13"/>
  <c r="BN17" i="13" a="1"/>
  <c r="BN17" i="13"/>
  <c r="BM17" i="13" a="1"/>
  <c r="BM17" i="13"/>
  <c r="BS17" i="13" s="1"/>
  <c r="BO16" i="13" a="1"/>
  <c r="BO16" i="13" s="1"/>
  <c r="BO15" i="13" a="1"/>
  <c r="BO15" i="13"/>
  <c r="BU15" i="13" s="1"/>
  <c r="BN15" i="13" a="1"/>
  <c r="BN15" i="13" s="1"/>
  <c r="BT15" i="13" s="1"/>
  <c r="BM15" i="13" a="1"/>
  <c r="BM15" i="13"/>
  <c r="BS15" i="13" s="1"/>
  <c r="BR14" i="13" a="1"/>
  <c r="BR14" i="13" s="1"/>
  <c r="BN14" i="13" a="1"/>
  <c r="BN14" i="13" s="1"/>
  <c r="BT14" i="13" s="1"/>
  <c r="BM14" i="13" a="1"/>
  <c r="BM14" i="13"/>
  <c r="BO13" i="13" a="1"/>
  <c r="BO13" i="13" s="1"/>
  <c r="BN13" i="13" a="1"/>
  <c r="BN13" i="13"/>
  <c r="BT13" i="13" s="1"/>
  <c r="AH11" i="13"/>
  <c r="AJ11" i="13"/>
  <c r="AK11" i="13"/>
  <c r="AL11" i="13"/>
  <c r="AM11" i="13"/>
  <c r="AN11" i="13"/>
  <c r="AO11" i="13"/>
  <c r="AP11" i="13"/>
  <c r="AQ11" i="13"/>
  <c r="AR11" i="13"/>
  <c r="AS11" i="13"/>
  <c r="AT11" i="13"/>
  <c r="AU11" i="13"/>
  <c r="AV11" i="13"/>
  <c r="AX11" i="13"/>
  <c r="AY11" i="13"/>
  <c r="AZ11" i="13"/>
  <c r="BJ11" i="13" s="1"/>
  <c r="BL11" i="13" s="1"/>
  <c r="BA11" i="13"/>
  <c r="BB11" i="13" s="1"/>
  <c r="BC11" i="13"/>
  <c r="BD11" i="13"/>
  <c r="BE11" i="13"/>
  <c r="BF11" i="13"/>
  <c r="BG11" i="13"/>
  <c r="BH11" i="13"/>
  <c r="AH12" i="13"/>
  <c r="AJ12" i="13"/>
  <c r="AK12" i="13"/>
  <c r="AL12" i="13"/>
  <c r="AM12" i="13"/>
  <c r="AN12" i="13"/>
  <c r="AO12" i="13"/>
  <c r="AP12" i="13"/>
  <c r="BM12" i="13" s="1" a="1"/>
  <c r="BM12" i="13" s="1"/>
  <c r="AQ12" i="13"/>
  <c r="AR12" i="13"/>
  <c r="AS12" i="13"/>
  <c r="AT12" i="13"/>
  <c r="AU12" i="13"/>
  <c r="AV12" i="13"/>
  <c r="AW12" i="13" s="1"/>
  <c r="AX12" i="13"/>
  <c r="AY12" i="13"/>
  <c r="AZ12" i="13"/>
  <c r="BB12" i="13" s="1"/>
  <c r="BA12" i="13"/>
  <c r="BC12" i="13"/>
  <c r="BD12" i="13"/>
  <c r="BE12" i="13"/>
  <c r="BF12" i="13"/>
  <c r="BH12" i="13"/>
  <c r="AH13" i="13"/>
  <c r="AJ13" i="13"/>
  <c r="AK13" i="13"/>
  <c r="AL13" i="13"/>
  <c r="AM13" i="13"/>
  <c r="AN13" i="13"/>
  <c r="AO13" i="13"/>
  <c r="AP13" i="13"/>
  <c r="BM13" i="13" s="1" a="1"/>
  <c r="BM13" i="13" s="1"/>
  <c r="BS13" i="13" s="1"/>
  <c r="AQ13" i="13"/>
  <c r="AR13" i="13"/>
  <c r="AS13" i="13"/>
  <c r="AT13" i="13"/>
  <c r="AU13" i="13"/>
  <c r="BJ13" i="13" s="1"/>
  <c r="BL13" i="13" s="1"/>
  <c r="AV13" i="13"/>
  <c r="BK13" i="13" s="1"/>
  <c r="AW13" i="13"/>
  <c r="AX13" i="13"/>
  <c r="AY13" i="13"/>
  <c r="AZ13" i="13"/>
  <c r="BA13" i="13"/>
  <c r="BB13" i="13"/>
  <c r="BC13" i="13"/>
  <c r="BD13" i="13"/>
  <c r="BE13" i="13"/>
  <c r="BG13" i="13" s="1"/>
  <c r="BF13" i="13"/>
  <c r="BH13" i="13"/>
  <c r="AH14" i="13"/>
  <c r="AJ14" i="13"/>
  <c r="AK14" i="13"/>
  <c r="AL14" i="13"/>
  <c r="AM14" i="13"/>
  <c r="AN14" i="13"/>
  <c r="AO14" i="13"/>
  <c r="AP14" i="13"/>
  <c r="BO14" i="13" s="1" a="1"/>
  <c r="BO14" i="13" s="1"/>
  <c r="AQ14" i="13"/>
  <c r="AR14" i="13"/>
  <c r="AS14" i="13"/>
  <c r="AT14" i="13"/>
  <c r="AU14" i="13"/>
  <c r="AV14" i="13"/>
  <c r="AW14" i="13"/>
  <c r="AX14" i="13"/>
  <c r="AY14" i="13"/>
  <c r="AZ14" i="13"/>
  <c r="BA14" i="13"/>
  <c r="BB14" i="13"/>
  <c r="BC14" i="13"/>
  <c r="BD14" i="13"/>
  <c r="BE14" i="13"/>
  <c r="BF14" i="13"/>
  <c r="BG14" i="13" s="1"/>
  <c r="BH14" i="13"/>
  <c r="BS14" i="13"/>
  <c r="BU14" i="13"/>
  <c r="AH15" i="13"/>
  <c r="AJ15" i="13"/>
  <c r="AK15" i="13"/>
  <c r="AL15" i="13"/>
  <c r="AM15" i="13"/>
  <c r="AN15" i="13"/>
  <c r="AO15" i="13"/>
  <c r="AP15" i="13"/>
  <c r="AQ15" i="13"/>
  <c r="AR15" i="13"/>
  <c r="AS15" i="13"/>
  <c r="AT15" i="13"/>
  <c r="AU15" i="13"/>
  <c r="AV15" i="13"/>
  <c r="AW15" i="13"/>
  <c r="AX15" i="13"/>
  <c r="AY15" i="13"/>
  <c r="AZ15" i="13"/>
  <c r="BB15" i="13" s="1"/>
  <c r="BA15" i="13"/>
  <c r="BC15" i="13"/>
  <c r="BD15" i="13"/>
  <c r="BE15" i="13"/>
  <c r="BG15" i="13" s="1"/>
  <c r="BF15" i="13"/>
  <c r="BH15" i="13"/>
  <c r="AH16" i="13"/>
  <c r="AJ16" i="13"/>
  <c r="AK16" i="13"/>
  <c r="AL16" i="13"/>
  <c r="AM16" i="13"/>
  <c r="AN16" i="13"/>
  <c r="AO16" i="13"/>
  <c r="AP16" i="13"/>
  <c r="BN16" i="13" s="1" a="1"/>
  <c r="BN16" i="13" s="1"/>
  <c r="AQ16" i="13"/>
  <c r="AR16" i="13"/>
  <c r="AS16" i="13"/>
  <c r="AT16" i="13"/>
  <c r="AU16" i="13"/>
  <c r="AV16" i="13"/>
  <c r="AW16" i="13"/>
  <c r="AX16" i="13"/>
  <c r="AY16" i="13"/>
  <c r="AZ16" i="13"/>
  <c r="BB16" i="13" s="1"/>
  <c r="BA16" i="13"/>
  <c r="BC16" i="13"/>
  <c r="BD16" i="13"/>
  <c r="BE16" i="13"/>
  <c r="BF16" i="13"/>
  <c r="BG16" i="13"/>
  <c r="BH16" i="13"/>
  <c r="BT16" i="13"/>
  <c r="AH17" i="13"/>
  <c r="AJ17" i="13"/>
  <c r="AK17" i="13"/>
  <c r="AL17" i="13"/>
  <c r="AM17" i="13"/>
  <c r="AN17" i="13"/>
  <c r="AO17" i="13"/>
  <c r="AP17" i="13"/>
  <c r="BO17" i="13" s="1" a="1"/>
  <c r="BO17" i="13" s="1"/>
  <c r="AQ17" i="13"/>
  <c r="AR17" i="13"/>
  <c r="AS17" i="13"/>
  <c r="AT17" i="13"/>
  <c r="AU17" i="13"/>
  <c r="BJ17" i="13" s="1"/>
  <c r="BL17" i="13" s="1"/>
  <c r="AV17" i="13"/>
  <c r="BK17" i="13" s="1"/>
  <c r="AX17" i="13"/>
  <c r="AY17" i="13"/>
  <c r="AZ17" i="13"/>
  <c r="BA17" i="13"/>
  <c r="BC17" i="13"/>
  <c r="BD17" i="13"/>
  <c r="BE17" i="13"/>
  <c r="BF17" i="13"/>
  <c r="BG17" i="13" s="1"/>
  <c r="BH17" i="13"/>
  <c r="BT17" i="13"/>
  <c r="BU17" i="13"/>
  <c r="AH18" i="13"/>
  <c r="AJ18" i="13"/>
  <c r="AK18" i="13"/>
  <c r="AL18" i="13"/>
  <c r="AM18" i="13"/>
  <c r="AN18" i="13"/>
  <c r="AO18" i="13"/>
  <c r="AP18" i="13"/>
  <c r="AQ18" i="13"/>
  <c r="AR18" i="13"/>
  <c r="AS18" i="13"/>
  <c r="AT18" i="13"/>
  <c r="AU18" i="13"/>
  <c r="BJ18" i="13" s="1"/>
  <c r="AV18" i="13"/>
  <c r="BK18" i="13" s="1"/>
  <c r="AW18" i="13"/>
  <c r="AX18" i="13"/>
  <c r="AY18" i="13"/>
  <c r="AZ18" i="13"/>
  <c r="BB18" i="13" s="1"/>
  <c r="BA18" i="13"/>
  <c r="BC18" i="13"/>
  <c r="BD18" i="13"/>
  <c r="BE18" i="13"/>
  <c r="BF18" i="13"/>
  <c r="BG18" i="13"/>
  <c r="BH18" i="13"/>
  <c r="BL18" i="13"/>
  <c r="BS18" i="13"/>
  <c r="BU18" i="13"/>
  <c r="AH19" i="13"/>
  <c r="AJ19" i="13"/>
  <c r="AK19" i="13"/>
  <c r="AL19" i="13"/>
  <c r="AM19" i="13"/>
  <c r="AN19" i="13"/>
  <c r="AO19" i="13"/>
  <c r="AP19" i="13"/>
  <c r="BO19" i="13" s="1" a="1"/>
  <c r="BO19" i="13" s="1"/>
  <c r="AQ19" i="13"/>
  <c r="AR19" i="13"/>
  <c r="AS19" i="13"/>
  <c r="AT19" i="13"/>
  <c r="AU19" i="13"/>
  <c r="BJ19" i="13" s="1"/>
  <c r="BL19" i="13" s="1"/>
  <c r="AV19" i="13"/>
  <c r="AX19" i="13"/>
  <c r="AY19" i="13"/>
  <c r="AZ19" i="13"/>
  <c r="BA19" i="13"/>
  <c r="BB19" i="13" s="1"/>
  <c r="BC19" i="13"/>
  <c r="BD19" i="13"/>
  <c r="BE19" i="13"/>
  <c r="BF19" i="13"/>
  <c r="BG19" i="13"/>
  <c r="BH19" i="13"/>
  <c r="BK19" i="13"/>
  <c r="BU19" i="13"/>
  <c r="AH20" i="13"/>
  <c r="AJ20" i="13"/>
  <c r="AK20" i="13"/>
  <c r="AL20" i="13"/>
  <c r="AM20" i="13"/>
  <c r="AN20" i="13"/>
  <c r="AO20" i="13"/>
  <c r="AP20" i="13"/>
  <c r="BO20" i="13" s="1" a="1"/>
  <c r="BO20" i="13" s="1"/>
  <c r="AQ20" i="13"/>
  <c r="AR20" i="13"/>
  <c r="AS20" i="13"/>
  <c r="AT20" i="13"/>
  <c r="AU20" i="13"/>
  <c r="BJ20" i="13" s="1"/>
  <c r="BL20" i="13" s="1"/>
  <c r="AV20" i="13"/>
  <c r="AX20" i="13"/>
  <c r="AY20" i="13"/>
  <c r="AZ20" i="13"/>
  <c r="BB20" i="13" s="1"/>
  <c r="BA20" i="13"/>
  <c r="BC20" i="13"/>
  <c r="BD20" i="13"/>
  <c r="BE20" i="13"/>
  <c r="BF20" i="13"/>
  <c r="BG20" i="13"/>
  <c r="BH20" i="13"/>
  <c r="BK20" i="13"/>
  <c r="BU20" i="13"/>
  <c r="AH21" i="13"/>
  <c r="AJ21" i="13"/>
  <c r="AK21" i="13"/>
  <c r="AL21" i="13"/>
  <c r="AM21" i="13"/>
  <c r="AN21" i="13"/>
  <c r="AO21" i="13"/>
  <c r="AP21" i="13"/>
  <c r="BM21" i="13" s="1" a="1"/>
  <c r="BM21" i="13" s="1"/>
  <c r="AQ21" i="13"/>
  <c r="AR21" i="13"/>
  <c r="AS21" i="13"/>
  <c r="AT21" i="13"/>
  <c r="AU21" i="13"/>
  <c r="BJ21" i="13" s="1"/>
  <c r="BL21" i="13" s="1"/>
  <c r="AV21" i="13"/>
  <c r="AX21" i="13"/>
  <c r="AY21" i="13"/>
  <c r="AZ21" i="13"/>
  <c r="BA21" i="13"/>
  <c r="BB21" i="13"/>
  <c r="BC21" i="13"/>
  <c r="BD21" i="13"/>
  <c r="BE21" i="13"/>
  <c r="BF21" i="13"/>
  <c r="BG21" i="13"/>
  <c r="BH21" i="13"/>
  <c r="BK21" i="13"/>
  <c r="BS21" i="13"/>
  <c r="AH22" i="13"/>
  <c r="AJ22" i="13"/>
  <c r="AK22" i="13"/>
  <c r="AL22" i="13"/>
  <c r="AM22" i="13"/>
  <c r="AN22" i="13"/>
  <c r="AO22" i="13"/>
  <c r="AP22" i="13"/>
  <c r="AQ22" i="13"/>
  <c r="AR22" i="13"/>
  <c r="AS22" i="13"/>
  <c r="AT22" i="13"/>
  <c r="AU22" i="13"/>
  <c r="AW22" i="13" s="1"/>
  <c r="AV22" i="13"/>
  <c r="BK22" i="13" s="1"/>
  <c r="AX22" i="13"/>
  <c r="AY22" i="13"/>
  <c r="AZ22" i="13"/>
  <c r="BA22" i="13"/>
  <c r="BB22" i="13" s="1"/>
  <c r="BC22" i="13"/>
  <c r="BD22" i="13"/>
  <c r="BE22" i="13"/>
  <c r="BF22" i="13"/>
  <c r="BG22" i="13"/>
  <c r="BH22" i="13"/>
  <c r="AH23" i="13"/>
  <c r="AJ23" i="13"/>
  <c r="AK23" i="13"/>
  <c r="AL23" i="13"/>
  <c r="AM23" i="13"/>
  <c r="AN23" i="13"/>
  <c r="AO23" i="13"/>
  <c r="AP23" i="13"/>
  <c r="BO23" i="13" s="1" a="1"/>
  <c r="AQ23" i="13"/>
  <c r="AR23" i="13"/>
  <c r="AS23" i="13"/>
  <c r="AT23" i="13"/>
  <c r="AU23" i="13"/>
  <c r="AW23" i="13" s="1"/>
  <c r="AV23" i="13"/>
  <c r="AX23" i="13"/>
  <c r="AY23" i="13"/>
  <c r="AZ23" i="13"/>
  <c r="BA23" i="13"/>
  <c r="BB23" i="13"/>
  <c r="BC23" i="13"/>
  <c r="BD23" i="13"/>
  <c r="BE23" i="13"/>
  <c r="BF23" i="13"/>
  <c r="BG23" i="13"/>
  <c r="BH23" i="13"/>
  <c r="BK23" i="13"/>
  <c r="AH24" i="13"/>
  <c r="AJ24" i="13"/>
  <c r="AK24" i="13"/>
  <c r="AL24" i="13"/>
  <c r="AM24" i="13"/>
  <c r="AN24" i="13"/>
  <c r="AO24" i="13"/>
  <c r="AP24" i="13"/>
  <c r="BO24" i="13" s="1" a="1"/>
  <c r="BO24" i="13" s="1"/>
  <c r="AQ24" i="13"/>
  <c r="AR24" i="13"/>
  <c r="AS24" i="13"/>
  <c r="AT24" i="13"/>
  <c r="AU24" i="13"/>
  <c r="AV24" i="13"/>
  <c r="AW24" i="13" s="1"/>
  <c r="AX24" i="13"/>
  <c r="AY24" i="13"/>
  <c r="AZ24" i="13"/>
  <c r="BA24" i="13"/>
  <c r="BB24" i="13"/>
  <c r="BC24" i="13"/>
  <c r="BD24" i="13"/>
  <c r="BE24" i="13"/>
  <c r="BJ24" i="13" s="1"/>
  <c r="BL24" i="13" s="1"/>
  <c r="BF24" i="13"/>
  <c r="BK24" i="13" s="1"/>
  <c r="BG24" i="13"/>
  <c r="BH24" i="13"/>
  <c r="AH25" i="13"/>
  <c r="AJ25" i="13"/>
  <c r="AK25" i="13"/>
  <c r="AL25" i="13"/>
  <c r="AM25" i="13"/>
  <c r="AN25" i="13"/>
  <c r="AO25" i="13"/>
  <c r="AP25" i="13"/>
  <c r="AQ25" i="13"/>
  <c r="AR25" i="13"/>
  <c r="AS25" i="13"/>
  <c r="AT25" i="13"/>
  <c r="AU25" i="13"/>
  <c r="AW25" i="13" s="1"/>
  <c r="AV25" i="13"/>
  <c r="AX25" i="13"/>
  <c r="AY25" i="13"/>
  <c r="AZ25" i="13"/>
  <c r="BA25" i="13"/>
  <c r="BB25" i="13"/>
  <c r="BC25" i="13"/>
  <c r="BD25" i="13"/>
  <c r="BE25" i="13"/>
  <c r="BG25" i="13" s="1"/>
  <c r="BF25" i="13"/>
  <c r="BH25" i="13"/>
  <c r="BJ25" i="13"/>
  <c r="BL25" i="13" s="1"/>
  <c r="AH26" i="13"/>
  <c r="AJ26" i="13"/>
  <c r="AK26" i="13"/>
  <c r="AL26" i="13"/>
  <c r="AM26" i="13"/>
  <c r="AN26" i="13"/>
  <c r="AO26" i="13"/>
  <c r="AP26" i="13"/>
  <c r="BO26" i="13" s="1" a="1"/>
  <c r="BO26" i="13" s="1"/>
  <c r="AQ26" i="13"/>
  <c r="AR26" i="13"/>
  <c r="AS26" i="13"/>
  <c r="AT26" i="13"/>
  <c r="AU26" i="13"/>
  <c r="AV26" i="13"/>
  <c r="AW26" i="13"/>
  <c r="AX26" i="13"/>
  <c r="AY26" i="13"/>
  <c r="AZ26" i="13"/>
  <c r="BA26" i="13"/>
  <c r="BB26" i="13"/>
  <c r="BC26" i="13"/>
  <c r="BD26" i="13"/>
  <c r="BE26" i="13"/>
  <c r="BG26" i="13" s="1"/>
  <c r="BF26" i="13"/>
  <c r="BH26" i="13"/>
  <c r="AH27" i="13"/>
  <c r="AJ27" i="13"/>
  <c r="AK27" i="13"/>
  <c r="AL27" i="13"/>
  <c r="AM27" i="13"/>
  <c r="AN27" i="13"/>
  <c r="AO27" i="13"/>
  <c r="AP27" i="13"/>
  <c r="AQ27" i="13"/>
  <c r="AR27" i="13"/>
  <c r="AS27" i="13"/>
  <c r="AT27" i="13"/>
  <c r="AU27" i="13"/>
  <c r="AV27" i="13"/>
  <c r="AX27" i="13"/>
  <c r="AY27" i="13"/>
  <c r="AZ27" i="13"/>
  <c r="BA27" i="13"/>
  <c r="BB27" i="13"/>
  <c r="BC27" i="13"/>
  <c r="BD27" i="13"/>
  <c r="BE27" i="13"/>
  <c r="BG27" i="13" s="1"/>
  <c r="BF27" i="13"/>
  <c r="BH27" i="13"/>
  <c r="AH28" i="13"/>
  <c r="AJ28" i="13"/>
  <c r="AK28" i="13"/>
  <c r="AL28" i="13"/>
  <c r="AM28" i="13"/>
  <c r="AN28" i="13"/>
  <c r="AO28" i="13"/>
  <c r="AP28" i="13"/>
  <c r="AQ28" i="13"/>
  <c r="AR28" i="13"/>
  <c r="AS28" i="13"/>
  <c r="AT28" i="13"/>
  <c r="AU28" i="13"/>
  <c r="AV28" i="13"/>
  <c r="AW28" i="13"/>
  <c r="AX28" i="13"/>
  <c r="AY28" i="13"/>
  <c r="AZ28" i="13"/>
  <c r="BB28" i="13" s="1"/>
  <c r="BA28" i="13"/>
  <c r="BC28" i="13"/>
  <c r="BD28" i="13"/>
  <c r="BE28" i="13"/>
  <c r="BG28" i="13" s="1"/>
  <c r="BF28" i="13"/>
  <c r="BH28" i="13"/>
  <c r="AH29" i="13"/>
  <c r="AJ29" i="13"/>
  <c r="AK29" i="13"/>
  <c r="AL29" i="13"/>
  <c r="AM29" i="13"/>
  <c r="AN29" i="13"/>
  <c r="AO29" i="13"/>
  <c r="AP29" i="13"/>
  <c r="BM29" i="13" s="1" a="1"/>
  <c r="BM29" i="13" s="1"/>
  <c r="BS29" i="13" s="1"/>
  <c r="AQ29" i="13"/>
  <c r="AR29" i="13"/>
  <c r="AS29" i="13"/>
  <c r="AT29" i="13"/>
  <c r="AU29" i="13"/>
  <c r="AV29" i="13"/>
  <c r="BK29" i="13" s="1"/>
  <c r="AW29" i="13"/>
  <c r="AX29" i="13"/>
  <c r="AY29" i="13"/>
  <c r="AZ29" i="13"/>
  <c r="BB29" i="13" s="1"/>
  <c r="BA29" i="13"/>
  <c r="BC29" i="13"/>
  <c r="BD29" i="13"/>
  <c r="BE29" i="13"/>
  <c r="BG29" i="13" s="1"/>
  <c r="BF29" i="13"/>
  <c r="BH29" i="13"/>
  <c r="AH30" i="13"/>
  <c r="AJ30" i="13"/>
  <c r="AK30" i="13"/>
  <c r="AL30" i="13"/>
  <c r="AM30" i="13"/>
  <c r="AN30" i="13"/>
  <c r="AO30" i="13"/>
  <c r="AP30" i="13"/>
  <c r="BO30" i="13" s="1" a="1"/>
  <c r="BO30" i="13" s="1"/>
  <c r="AQ30" i="13"/>
  <c r="AR30" i="13"/>
  <c r="AS30" i="13"/>
  <c r="AT30" i="13"/>
  <c r="AU30" i="13"/>
  <c r="AV30" i="13"/>
  <c r="BK30" i="13" s="1"/>
  <c r="AW30" i="13"/>
  <c r="AX30" i="13"/>
  <c r="AY30" i="13"/>
  <c r="AZ30" i="13"/>
  <c r="BB30" i="13" s="1"/>
  <c r="BA30" i="13"/>
  <c r="BC30" i="13"/>
  <c r="BD30" i="13"/>
  <c r="BE30" i="13"/>
  <c r="BF30" i="13"/>
  <c r="BG30" i="13" s="1"/>
  <c r="BH30" i="13"/>
  <c r="BS30" i="13"/>
  <c r="BU30" i="13"/>
  <c r="AH31" i="13"/>
  <c r="AJ31" i="13"/>
  <c r="AK31" i="13"/>
  <c r="AL31" i="13"/>
  <c r="AM31" i="13"/>
  <c r="AN31" i="13"/>
  <c r="AO31" i="13"/>
  <c r="AP31" i="13"/>
  <c r="AQ31" i="13"/>
  <c r="AR31" i="13"/>
  <c r="AS31" i="13"/>
  <c r="AT31" i="13"/>
  <c r="AU31" i="13"/>
  <c r="AV31" i="13"/>
  <c r="AW31" i="13"/>
  <c r="AX31" i="13"/>
  <c r="AY31" i="13"/>
  <c r="AZ31" i="13"/>
  <c r="BA31" i="13"/>
  <c r="BB31" i="13"/>
  <c r="BC31" i="13"/>
  <c r="BD31" i="13"/>
  <c r="BE31" i="13"/>
  <c r="BG31" i="13" s="1"/>
  <c r="BF31" i="13"/>
  <c r="BH31" i="13"/>
  <c r="BT31" i="13"/>
  <c r="BU31" i="13"/>
  <c r="AH32" i="13"/>
  <c r="AJ32" i="13"/>
  <c r="AK32" i="13"/>
  <c r="AL32" i="13"/>
  <c r="AM32" i="13"/>
  <c r="AN32" i="13"/>
  <c r="AO32" i="13"/>
  <c r="AP32" i="13"/>
  <c r="BN32" i="13" s="1" a="1"/>
  <c r="BN32" i="13" s="1"/>
  <c r="AQ32" i="13"/>
  <c r="AR32" i="13"/>
  <c r="AS32" i="13"/>
  <c r="AT32" i="13"/>
  <c r="AU32" i="13"/>
  <c r="BJ32" i="13" s="1"/>
  <c r="BL32" i="13" s="1"/>
  <c r="AV32" i="13"/>
  <c r="BK32" i="13" s="1"/>
  <c r="AW32" i="13"/>
  <c r="AX32" i="13"/>
  <c r="AY32" i="13"/>
  <c r="AZ32" i="13"/>
  <c r="BA32" i="13"/>
  <c r="BB32" i="13"/>
  <c r="BC32" i="13"/>
  <c r="BD32" i="13"/>
  <c r="BE32" i="13"/>
  <c r="BF32" i="13"/>
  <c r="BG32" i="13"/>
  <c r="BH32" i="13"/>
  <c r="BT32" i="13"/>
  <c r="BU32" i="13"/>
  <c r="AH33" i="13"/>
  <c r="AJ33" i="13"/>
  <c r="AK33" i="13"/>
  <c r="AL33" i="13"/>
  <c r="AM33" i="13"/>
  <c r="AN33" i="13"/>
  <c r="AO33" i="13"/>
  <c r="AP33" i="13"/>
  <c r="BO33" i="13" s="1" a="1"/>
  <c r="BO33" i="13" s="1"/>
  <c r="AQ33" i="13"/>
  <c r="AR33" i="13"/>
  <c r="AS33" i="13"/>
  <c r="AT33" i="13"/>
  <c r="AU33" i="13"/>
  <c r="BJ33" i="13" s="1"/>
  <c r="AV33" i="13"/>
  <c r="BK33" i="13" s="1"/>
  <c r="AW33" i="13"/>
  <c r="AX33" i="13"/>
  <c r="AY33" i="13"/>
  <c r="AZ33" i="13"/>
  <c r="BA33" i="13"/>
  <c r="BC33" i="13"/>
  <c r="BD33" i="13"/>
  <c r="BE33" i="13"/>
  <c r="BF33" i="13"/>
  <c r="BG33" i="13" s="1"/>
  <c r="BH33" i="13"/>
  <c r="BL33" i="13"/>
  <c r="BT33" i="13"/>
  <c r="BU33" i="13"/>
  <c r="AH34" i="13"/>
  <c r="AJ34" i="13"/>
  <c r="AK34" i="13"/>
  <c r="AL34" i="13"/>
  <c r="AM34" i="13"/>
  <c r="AN34" i="13"/>
  <c r="AO34" i="13"/>
  <c r="AP34" i="13"/>
  <c r="AQ34" i="13"/>
  <c r="AR34" i="13"/>
  <c r="AS34" i="13"/>
  <c r="AT34" i="13"/>
  <c r="AU34" i="13"/>
  <c r="BJ34" i="13" s="1"/>
  <c r="BL34" i="13" s="1"/>
  <c r="AV34" i="13"/>
  <c r="AX34" i="13"/>
  <c r="AY34" i="13"/>
  <c r="AZ34" i="13"/>
  <c r="BB34" i="13" s="1"/>
  <c r="BA34" i="13"/>
  <c r="BC34" i="13"/>
  <c r="BD34" i="13"/>
  <c r="BE34" i="13"/>
  <c r="BF34" i="13"/>
  <c r="BG34" i="13"/>
  <c r="BH34" i="13"/>
  <c r="BK34" i="13"/>
  <c r="AH35" i="13"/>
  <c r="AJ35" i="13"/>
  <c r="AK35" i="13"/>
  <c r="AL35" i="13"/>
  <c r="AM35" i="13"/>
  <c r="AN35" i="13"/>
  <c r="AO35" i="13"/>
  <c r="AP35" i="13"/>
  <c r="BO35" i="13" s="1" a="1"/>
  <c r="BO35" i="13" s="1"/>
  <c r="AQ35" i="13"/>
  <c r="AR35" i="13"/>
  <c r="AS35" i="13"/>
  <c r="AT35" i="13"/>
  <c r="AU35" i="13"/>
  <c r="BJ35" i="13" s="1"/>
  <c r="BL35" i="13" s="1"/>
  <c r="AV35" i="13"/>
  <c r="AX35" i="13"/>
  <c r="AY35" i="13"/>
  <c r="AZ35" i="13"/>
  <c r="BA35" i="13"/>
  <c r="BB35" i="13" s="1"/>
  <c r="BC35" i="13"/>
  <c r="BD35" i="13"/>
  <c r="BE35" i="13"/>
  <c r="BF35" i="13"/>
  <c r="BG35" i="13"/>
  <c r="BH35" i="13"/>
  <c r="BK35" i="13"/>
  <c r="BU35" i="13"/>
  <c r="AH36" i="13"/>
  <c r="AJ36" i="13"/>
  <c r="AK36" i="13"/>
  <c r="AL36" i="13"/>
  <c r="AM36" i="13"/>
  <c r="AN36" i="13"/>
  <c r="AO36" i="13"/>
  <c r="AP36" i="13"/>
  <c r="BO36" i="13" s="1" a="1"/>
  <c r="BO36" i="13" s="1"/>
  <c r="AQ36" i="13"/>
  <c r="AR36" i="13"/>
  <c r="AS36" i="13"/>
  <c r="AT36" i="13"/>
  <c r="AU36" i="13"/>
  <c r="BJ36" i="13" s="1"/>
  <c r="BL36" i="13" s="1"/>
  <c r="AV36" i="13"/>
  <c r="AX36" i="13"/>
  <c r="AY36" i="13"/>
  <c r="AZ36" i="13"/>
  <c r="BB36" i="13" s="1"/>
  <c r="BA36" i="13"/>
  <c r="BC36" i="13"/>
  <c r="BD36" i="13"/>
  <c r="BE36" i="13"/>
  <c r="BF36" i="13"/>
  <c r="BG36" i="13"/>
  <c r="BH36" i="13"/>
  <c r="BK36" i="13"/>
  <c r="BU36" i="13"/>
  <c r="AH37" i="13"/>
  <c r="AJ37" i="13"/>
  <c r="AK37" i="13"/>
  <c r="AL37" i="13"/>
  <c r="AM37" i="13"/>
  <c r="AN37" i="13"/>
  <c r="AO37" i="13"/>
  <c r="AP37" i="13"/>
  <c r="BM37" i="13" s="1" a="1"/>
  <c r="BM37" i="13" s="1"/>
  <c r="AQ37" i="13"/>
  <c r="AR37" i="13"/>
  <c r="AS37" i="13"/>
  <c r="AT37" i="13"/>
  <c r="AU37" i="13"/>
  <c r="BJ37" i="13" s="1"/>
  <c r="BL37" i="13" s="1"/>
  <c r="AV37" i="13"/>
  <c r="AX37" i="13"/>
  <c r="AY37" i="13"/>
  <c r="AZ37" i="13"/>
  <c r="BA37" i="13"/>
  <c r="BB37" i="13"/>
  <c r="BC37" i="13"/>
  <c r="BD37" i="13"/>
  <c r="BE37" i="13"/>
  <c r="BF37" i="13"/>
  <c r="BG37" i="13"/>
  <c r="BH37" i="13"/>
  <c r="BK37" i="13"/>
  <c r="BS37" i="13"/>
  <c r="AH38" i="13"/>
  <c r="AJ38" i="13"/>
  <c r="AK38" i="13"/>
  <c r="AL38" i="13"/>
  <c r="AM38" i="13"/>
  <c r="AN38" i="13"/>
  <c r="AO38" i="13"/>
  <c r="AP38" i="13"/>
  <c r="AQ38" i="13"/>
  <c r="AR38" i="13"/>
  <c r="AS38" i="13"/>
  <c r="AT38" i="13"/>
  <c r="AU38" i="13"/>
  <c r="AW38" i="13" s="1"/>
  <c r="AV38" i="13"/>
  <c r="BK38" i="13" s="1"/>
  <c r="AX38" i="13"/>
  <c r="AY38" i="13"/>
  <c r="AZ38" i="13"/>
  <c r="BA38" i="13"/>
  <c r="BB38" i="13" s="1"/>
  <c r="BC38" i="13"/>
  <c r="BD38" i="13"/>
  <c r="BE38" i="13"/>
  <c r="BF38" i="13"/>
  <c r="BG38" i="13"/>
  <c r="BH38" i="13"/>
  <c r="AH39" i="13"/>
  <c r="AJ39" i="13"/>
  <c r="AK39" i="13"/>
  <c r="AL39" i="13"/>
  <c r="AM39" i="13"/>
  <c r="AN39" i="13"/>
  <c r="AO39" i="13"/>
  <c r="AP39" i="13"/>
  <c r="BO39" i="13" s="1" a="1"/>
  <c r="AQ39" i="13"/>
  <c r="AR39" i="13"/>
  <c r="AS39" i="13"/>
  <c r="AT39" i="13"/>
  <c r="AU39" i="13"/>
  <c r="AW39" i="13" s="1"/>
  <c r="AV39" i="13"/>
  <c r="AX39" i="13"/>
  <c r="AY39" i="13"/>
  <c r="AZ39" i="13"/>
  <c r="BA39" i="13"/>
  <c r="BB39" i="13"/>
  <c r="BC39" i="13"/>
  <c r="BD39" i="13"/>
  <c r="BE39" i="13"/>
  <c r="BF39" i="13"/>
  <c r="BG39" i="13"/>
  <c r="BH39" i="13"/>
  <c r="BK39" i="13"/>
  <c r="AH40" i="13"/>
  <c r="AJ40" i="13"/>
  <c r="AK40" i="13"/>
  <c r="AL40" i="13"/>
  <c r="AM40" i="13"/>
  <c r="AN40" i="13"/>
  <c r="AO40" i="13"/>
  <c r="AP40" i="13"/>
  <c r="AQ40" i="13"/>
  <c r="AR40" i="13"/>
  <c r="AS40" i="13"/>
  <c r="AT40" i="13"/>
  <c r="AU40" i="13"/>
  <c r="AV40" i="13"/>
  <c r="AW40" i="13" s="1"/>
  <c r="AX40" i="13"/>
  <c r="AY40" i="13"/>
  <c r="AZ40" i="13"/>
  <c r="BA40" i="13"/>
  <c r="BB40" i="13"/>
  <c r="BC40" i="13"/>
  <c r="BD40" i="13"/>
  <c r="BE40" i="13"/>
  <c r="BJ40" i="13" s="1"/>
  <c r="BL40" i="13" s="1"/>
  <c r="BF40" i="13"/>
  <c r="BK40" i="13" s="1"/>
  <c r="BG40" i="13"/>
  <c r="BH40" i="13"/>
  <c r="AH41" i="13"/>
  <c r="AJ41" i="13"/>
  <c r="AK41" i="13"/>
  <c r="AL41" i="13"/>
  <c r="AM41" i="13"/>
  <c r="AN41" i="13"/>
  <c r="AO41" i="13"/>
  <c r="AP41" i="13"/>
  <c r="AQ41" i="13"/>
  <c r="AR41" i="13"/>
  <c r="AS41" i="13"/>
  <c r="AT41" i="13"/>
  <c r="AU41" i="13"/>
  <c r="AW41" i="13" s="1"/>
  <c r="AV41" i="13"/>
  <c r="AX41" i="13"/>
  <c r="AY41" i="13"/>
  <c r="AZ41" i="13"/>
  <c r="BA41" i="13"/>
  <c r="BB41" i="13"/>
  <c r="BC41" i="13"/>
  <c r="BD41" i="13"/>
  <c r="BE41" i="13"/>
  <c r="BG41" i="13" s="1"/>
  <c r="BF41" i="13"/>
  <c r="BH41" i="13"/>
  <c r="BJ41" i="13"/>
  <c r="BL41" i="13" s="1"/>
  <c r="AH42" i="13"/>
  <c r="AJ42" i="13"/>
  <c r="AK42" i="13"/>
  <c r="AL42" i="13"/>
  <c r="AM42" i="13"/>
  <c r="AN42" i="13"/>
  <c r="AO42" i="13"/>
  <c r="AP42" i="13"/>
  <c r="BM42" i="13" s="1" a="1"/>
  <c r="BM42" i="13" s="1"/>
  <c r="BS42" i="13" s="1"/>
  <c r="AQ42" i="13"/>
  <c r="AR42" i="13"/>
  <c r="AS42" i="13"/>
  <c r="AT42" i="13"/>
  <c r="AU42" i="13"/>
  <c r="AV42" i="13"/>
  <c r="AW42" i="13"/>
  <c r="AX42" i="13"/>
  <c r="AY42" i="13"/>
  <c r="AZ42" i="13"/>
  <c r="BA42" i="13"/>
  <c r="BB42" i="13"/>
  <c r="BC42" i="13"/>
  <c r="BD42" i="13"/>
  <c r="BE42" i="13"/>
  <c r="BG42" i="13" s="1"/>
  <c r="BF42" i="13"/>
  <c r="BH42" i="13"/>
  <c r="AH43" i="13"/>
  <c r="AJ43" i="13"/>
  <c r="AK43" i="13"/>
  <c r="AL43" i="13"/>
  <c r="AM43" i="13"/>
  <c r="AN43" i="13"/>
  <c r="AO43" i="13"/>
  <c r="AP43" i="13"/>
  <c r="AQ43" i="13"/>
  <c r="AR43" i="13"/>
  <c r="AS43" i="13"/>
  <c r="AT43" i="13"/>
  <c r="AU43" i="13"/>
  <c r="AV43" i="13"/>
  <c r="AX43" i="13"/>
  <c r="AY43" i="13"/>
  <c r="AZ43" i="13"/>
  <c r="BB43" i="13" s="1"/>
  <c r="BA43" i="13"/>
  <c r="BC43" i="13"/>
  <c r="BD43" i="13"/>
  <c r="BE43" i="13"/>
  <c r="BG43" i="13" s="1"/>
  <c r="BF43" i="13"/>
  <c r="BH43" i="13"/>
  <c r="AH44" i="13"/>
  <c r="AJ44" i="13"/>
  <c r="AK44" i="13"/>
  <c r="AL44" i="13"/>
  <c r="AM44" i="13"/>
  <c r="AN44" i="13"/>
  <c r="AO44" i="13"/>
  <c r="AP44" i="13"/>
  <c r="AQ44" i="13"/>
  <c r="AR44" i="13"/>
  <c r="AS44" i="13"/>
  <c r="AT44" i="13"/>
  <c r="AU44" i="13"/>
  <c r="AV44" i="13"/>
  <c r="AW44" i="13"/>
  <c r="AX44" i="13"/>
  <c r="AY44" i="13"/>
  <c r="AZ44" i="13"/>
  <c r="BB44" i="13" s="1"/>
  <c r="BA44" i="13"/>
  <c r="BC44" i="13"/>
  <c r="BD44" i="13"/>
  <c r="BE44" i="13"/>
  <c r="BG44" i="13" s="1"/>
  <c r="BF44" i="13"/>
  <c r="BH44" i="13"/>
  <c r="AH45" i="13"/>
  <c r="AJ45" i="13"/>
  <c r="AK45" i="13"/>
  <c r="AL45" i="13"/>
  <c r="AM45" i="13"/>
  <c r="AN45" i="13"/>
  <c r="AO45" i="13"/>
  <c r="AP45" i="13"/>
  <c r="BM45" i="13" s="1" a="1"/>
  <c r="BM45" i="13" s="1"/>
  <c r="BS45" i="13" s="1"/>
  <c r="AQ45" i="13"/>
  <c r="AR45" i="13"/>
  <c r="AS45" i="13"/>
  <c r="AT45" i="13"/>
  <c r="AU45" i="13"/>
  <c r="AV45" i="13"/>
  <c r="BK45" i="13" s="1"/>
  <c r="AW45" i="13"/>
  <c r="AX45" i="13"/>
  <c r="AY45" i="13"/>
  <c r="AZ45" i="13"/>
  <c r="BB45" i="13" s="1"/>
  <c r="BA45" i="13"/>
  <c r="BC45" i="13"/>
  <c r="BD45" i="13"/>
  <c r="BE45" i="13"/>
  <c r="BG45" i="13" s="1"/>
  <c r="BF45" i="13"/>
  <c r="BH45" i="13"/>
  <c r="AH46" i="13"/>
  <c r="AJ46" i="13"/>
  <c r="AK46" i="13"/>
  <c r="AL46" i="13"/>
  <c r="AM46" i="13"/>
  <c r="AN46" i="13"/>
  <c r="AO46" i="13"/>
  <c r="AP46" i="13"/>
  <c r="BO46" i="13" s="1" a="1"/>
  <c r="BO46" i="13" s="1"/>
  <c r="AQ46" i="13"/>
  <c r="AR46" i="13"/>
  <c r="AS46" i="13"/>
  <c r="AT46" i="13"/>
  <c r="AU46" i="13"/>
  <c r="AV46" i="13"/>
  <c r="BK46" i="13" s="1"/>
  <c r="AW46" i="13"/>
  <c r="AX46" i="13"/>
  <c r="AY46" i="13"/>
  <c r="AZ46" i="13"/>
  <c r="BB46" i="13" s="1"/>
  <c r="BA46" i="13"/>
  <c r="BC46" i="13"/>
  <c r="BD46" i="13"/>
  <c r="BE46" i="13"/>
  <c r="BF46" i="13"/>
  <c r="BG46" i="13" s="1"/>
  <c r="BH46" i="13"/>
  <c r="BS46" i="13"/>
  <c r="BT46" i="13"/>
  <c r="BU46" i="13"/>
  <c r="AH47" i="13"/>
  <c r="AJ47" i="13"/>
  <c r="AK47" i="13"/>
  <c r="AL47" i="13"/>
  <c r="AM47" i="13"/>
  <c r="AN47" i="13"/>
  <c r="AO47" i="13"/>
  <c r="AP47" i="13"/>
  <c r="AQ47" i="13"/>
  <c r="AR47" i="13"/>
  <c r="AS47" i="13"/>
  <c r="AT47" i="13"/>
  <c r="AU47" i="13"/>
  <c r="AV47" i="13"/>
  <c r="AW47" i="13"/>
  <c r="AX47" i="13"/>
  <c r="AY47" i="13"/>
  <c r="AZ47" i="13"/>
  <c r="BA47" i="13"/>
  <c r="BB47" i="13"/>
  <c r="BC47" i="13"/>
  <c r="BD47" i="13"/>
  <c r="BE47" i="13"/>
  <c r="BG47" i="13" s="1"/>
  <c r="BF47" i="13"/>
  <c r="BH47" i="13"/>
  <c r="BS47" i="13"/>
  <c r="AH48" i="13"/>
  <c r="AJ48" i="13"/>
  <c r="AK48" i="13"/>
  <c r="AL48" i="13"/>
  <c r="AM48" i="13"/>
  <c r="AN48" i="13"/>
  <c r="AO48" i="13"/>
  <c r="AP48" i="13"/>
  <c r="BN48" i="13" s="1" a="1"/>
  <c r="BN48" i="13" s="1"/>
  <c r="AQ48" i="13"/>
  <c r="AR48" i="13"/>
  <c r="AS48" i="13"/>
  <c r="AT48" i="13"/>
  <c r="AU48" i="13"/>
  <c r="BJ48" i="13" s="1"/>
  <c r="BL48" i="13" s="1"/>
  <c r="AV48" i="13"/>
  <c r="AX48" i="13"/>
  <c r="AY48" i="13"/>
  <c r="AZ48" i="13"/>
  <c r="BA48" i="13"/>
  <c r="BB48" i="13"/>
  <c r="BC48" i="13"/>
  <c r="BD48" i="13"/>
  <c r="BE48" i="13"/>
  <c r="BF48" i="13"/>
  <c r="BG48" i="13"/>
  <c r="BH48" i="13"/>
  <c r="BT48" i="13"/>
  <c r="AH49" i="13"/>
  <c r="AJ49" i="13"/>
  <c r="AK49" i="13"/>
  <c r="AL49" i="13"/>
  <c r="AM49" i="13"/>
  <c r="AN49" i="13"/>
  <c r="AO49" i="13"/>
  <c r="AP49" i="13"/>
  <c r="BO49" i="13" s="1" a="1"/>
  <c r="BO49" i="13" s="1"/>
  <c r="AQ49" i="13"/>
  <c r="AR49" i="13"/>
  <c r="AS49" i="13"/>
  <c r="AT49" i="13"/>
  <c r="AU49" i="13"/>
  <c r="BJ49" i="13" s="1"/>
  <c r="BL49" i="13" s="1"/>
  <c r="AV49" i="13"/>
  <c r="BK49" i="13" s="1"/>
  <c r="AX49" i="13"/>
  <c r="AY49" i="13"/>
  <c r="AZ49" i="13"/>
  <c r="BA49" i="13"/>
  <c r="BC49" i="13"/>
  <c r="BD49" i="13"/>
  <c r="BE49" i="13"/>
  <c r="BF49" i="13"/>
  <c r="BG49" i="13" s="1"/>
  <c r="BH49" i="13"/>
  <c r="BS49" i="13"/>
  <c r="BU49" i="13"/>
  <c r="BQ9" i="13" a="1"/>
  <c r="BQ9" i="13" s="1"/>
  <c r="BH10" i="13"/>
  <c r="BD10" i="13"/>
  <c r="BE10" i="13"/>
  <c r="BF10" i="13"/>
  <c r="BC10" i="13"/>
  <c r="AY10" i="13"/>
  <c r="AZ10" i="13"/>
  <c r="BA10" i="13"/>
  <c r="AX10" i="13"/>
  <c r="AH10" i="13"/>
  <c r="AI10" i="13"/>
  <c r="AJ10" i="13"/>
  <c r="AK10" i="13"/>
  <c r="AL10" i="13"/>
  <c r="AM10" i="13"/>
  <c r="AN10" i="13"/>
  <c r="AO10" i="13"/>
  <c r="AP10" i="13"/>
  <c r="AQ10" i="13"/>
  <c r="AR10" i="13"/>
  <c r="AS10" i="13"/>
  <c r="AT10" i="13"/>
  <c r="AU10" i="13"/>
  <c r="AW10" i="13" s="1"/>
  <c r="AV10" i="13"/>
  <c r="AB10" i="13"/>
  <c r="W10" i="13"/>
  <c r="R10" i="13"/>
  <c r="AH9" i="17"/>
  <c r="AL23" i="17" a="1"/>
  <c r="AL23" i="17" s="1"/>
  <c r="AL22" i="17" a="1"/>
  <c r="AL22" i="17" s="1"/>
  <c r="AL21" i="17" a="1"/>
  <c r="AL21" i="17" s="1"/>
  <c r="AL20" i="17" a="1"/>
  <c r="AL20" i="17" s="1"/>
  <c r="AL19" i="17" a="1"/>
  <c r="AL19" i="17"/>
  <c r="AL18" i="17" a="1"/>
  <c r="AL18" i="17" s="1"/>
  <c r="AL17" i="17" a="1"/>
  <c r="AL17" i="17"/>
  <c r="AL16" i="17" a="1"/>
  <c r="AL16" i="17"/>
  <c r="AL15" i="17" a="1"/>
  <c r="AL15" i="17" s="1"/>
  <c r="AL14" i="17" a="1"/>
  <c r="AL14" i="17" s="1"/>
  <c r="AL8" i="17" a="1"/>
  <c r="AL8" i="17" s="1"/>
  <c r="T10" i="17"/>
  <c r="V10" i="17"/>
  <c r="W10" i="17"/>
  <c r="X10" i="17"/>
  <c r="Y10" i="17"/>
  <c r="Z10" i="17"/>
  <c r="AA10" i="17"/>
  <c r="AB10" i="17"/>
  <c r="AC10" i="17"/>
  <c r="AD10" i="17"/>
  <c r="AF10" i="17" s="1"/>
  <c r="AE10" i="17"/>
  <c r="AG10" i="17"/>
  <c r="AH10" i="17"/>
  <c r="AJ10" i="17"/>
  <c r="T11" i="17"/>
  <c r="V11" i="17"/>
  <c r="W11" i="17"/>
  <c r="X11" i="17"/>
  <c r="Y11" i="17"/>
  <c r="Z11" i="17"/>
  <c r="AA11" i="17"/>
  <c r="AB11" i="17"/>
  <c r="AC11" i="17"/>
  <c r="AD11" i="17"/>
  <c r="AJ11" i="17" s="1"/>
  <c r="AE11" i="17"/>
  <c r="AG11" i="17"/>
  <c r="AH11" i="17"/>
  <c r="T12" i="17"/>
  <c r="V12" i="17"/>
  <c r="W12" i="17"/>
  <c r="X12" i="17"/>
  <c r="Y12" i="17"/>
  <c r="Z12" i="17"/>
  <c r="AA12" i="17"/>
  <c r="AB12" i="17"/>
  <c r="AC12" i="17"/>
  <c r="AD12" i="17"/>
  <c r="AF12" i="17" s="1"/>
  <c r="AE12" i="17"/>
  <c r="AG12" i="17"/>
  <c r="AH12" i="17"/>
  <c r="T13" i="17"/>
  <c r="V13" i="17"/>
  <c r="W13" i="17"/>
  <c r="X13" i="17"/>
  <c r="Y13" i="17"/>
  <c r="Z13" i="17"/>
  <c r="AA13" i="17"/>
  <c r="AB13" i="17"/>
  <c r="AC13" i="17"/>
  <c r="AD13" i="17"/>
  <c r="AF13" i="17" s="1"/>
  <c r="AE13" i="17"/>
  <c r="AG13" i="17"/>
  <c r="AH13" i="17"/>
  <c r="AJ13" i="17"/>
  <c r="T14" i="17"/>
  <c r="V14" i="17"/>
  <c r="W14" i="17"/>
  <c r="X14" i="17"/>
  <c r="Y14" i="17"/>
  <c r="Z14" i="17"/>
  <c r="AA14" i="17"/>
  <c r="AB14" i="17"/>
  <c r="AC14" i="17"/>
  <c r="AD14" i="17"/>
  <c r="AE14" i="17"/>
  <c r="AF14" i="17"/>
  <c r="AG14" i="17"/>
  <c r="AH14" i="17"/>
  <c r="AJ14" i="17"/>
  <c r="AM14" i="17"/>
  <c r="T15" i="17"/>
  <c r="V15" i="17"/>
  <c r="W15" i="17"/>
  <c r="X15" i="17"/>
  <c r="Y15" i="17"/>
  <c r="Z15" i="17"/>
  <c r="AA15" i="17"/>
  <c r="AB15" i="17"/>
  <c r="AC15" i="17"/>
  <c r="AD15" i="17"/>
  <c r="AE15" i="17"/>
  <c r="AF15" i="17"/>
  <c r="AG15" i="17"/>
  <c r="AH15" i="17"/>
  <c r="AJ15" i="17"/>
  <c r="AM15" i="17"/>
  <c r="T16" i="17"/>
  <c r="V16" i="17"/>
  <c r="W16" i="17"/>
  <c r="X16" i="17"/>
  <c r="Y16" i="17"/>
  <c r="Z16" i="17"/>
  <c r="AA16" i="17"/>
  <c r="AB16" i="17"/>
  <c r="AC16" i="17"/>
  <c r="AD16" i="17"/>
  <c r="AF16" i="17" s="1"/>
  <c r="AE16" i="17"/>
  <c r="AG16" i="17"/>
  <c r="AH16" i="17"/>
  <c r="AJ16" i="17"/>
  <c r="AM16" i="17"/>
  <c r="T17" i="17"/>
  <c r="V17" i="17"/>
  <c r="W17" i="17"/>
  <c r="X17" i="17"/>
  <c r="Y17" i="17"/>
  <c r="Z17" i="17"/>
  <c r="AA17" i="17"/>
  <c r="AB17" i="17"/>
  <c r="AC17" i="17"/>
  <c r="AD17" i="17"/>
  <c r="AE17" i="17"/>
  <c r="AF17" i="17"/>
  <c r="AG17" i="17"/>
  <c r="AH17" i="17"/>
  <c r="AJ17" i="17"/>
  <c r="AM17" i="17"/>
  <c r="T18" i="17"/>
  <c r="V18" i="17"/>
  <c r="W18" i="17"/>
  <c r="X18" i="17"/>
  <c r="Y18" i="17"/>
  <c r="Z18" i="17"/>
  <c r="AA18" i="17"/>
  <c r="AB18" i="17"/>
  <c r="AC18" i="17"/>
  <c r="AD18" i="17"/>
  <c r="AE18" i="17"/>
  <c r="AF18" i="17"/>
  <c r="AG18" i="17"/>
  <c r="AH18" i="17"/>
  <c r="AJ18" i="17"/>
  <c r="T19" i="17"/>
  <c r="V19" i="17"/>
  <c r="W19" i="17"/>
  <c r="X19" i="17"/>
  <c r="Y19" i="17"/>
  <c r="Z19" i="17"/>
  <c r="AA19" i="17"/>
  <c r="AB19" i="17"/>
  <c r="AC19" i="17"/>
  <c r="AD19" i="17"/>
  <c r="AJ19" i="17" s="1"/>
  <c r="AE19" i="17"/>
  <c r="AF19" i="17"/>
  <c r="AG19" i="17"/>
  <c r="AH19" i="17"/>
  <c r="T20" i="17"/>
  <c r="V20" i="17"/>
  <c r="W20" i="17"/>
  <c r="X20" i="17"/>
  <c r="Y20" i="17"/>
  <c r="Z20" i="17"/>
  <c r="AA20" i="17"/>
  <c r="AB20" i="17"/>
  <c r="AC20" i="17"/>
  <c r="AD20" i="17"/>
  <c r="AF20" i="17" s="1"/>
  <c r="AE20" i="17"/>
  <c r="AG20" i="17"/>
  <c r="AH20" i="17"/>
  <c r="T21" i="17"/>
  <c r="V21" i="17"/>
  <c r="W21" i="17"/>
  <c r="X21" i="17"/>
  <c r="Y21" i="17"/>
  <c r="Z21" i="17"/>
  <c r="AA21" i="17"/>
  <c r="AB21" i="17"/>
  <c r="AC21" i="17"/>
  <c r="AD21" i="17"/>
  <c r="AF21" i="17" s="1"/>
  <c r="AE21" i="17"/>
  <c r="AG21" i="17"/>
  <c r="AH21" i="17"/>
  <c r="AJ21" i="17"/>
  <c r="AM21" i="17" s="1"/>
  <c r="T22" i="17"/>
  <c r="V22" i="17"/>
  <c r="W22" i="17"/>
  <c r="X22" i="17"/>
  <c r="Y22" i="17"/>
  <c r="Z22" i="17"/>
  <c r="AA22" i="17"/>
  <c r="AB22" i="17"/>
  <c r="AC22" i="17"/>
  <c r="AD22" i="17"/>
  <c r="AE22" i="17"/>
  <c r="AF22" i="17"/>
  <c r="AG22" i="17"/>
  <c r="AH22" i="17"/>
  <c r="AJ22" i="17"/>
  <c r="AM22" i="17"/>
  <c r="T23" i="17"/>
  <c r="V23" i="17"/>
  <c r="W23" i="17"/>
  <c r="X23" i="17"/>
  <c r="Y23" i="17"/>
  <c r="Z23" i="17"/>
  <c r="AA23" i="17"/>
  <c r="AB23" i="17"/>
  <c r="AC23" i="17"/>
  <c r="AD23" i="17"/>
  <c r="AE23" i="17"/>
  <c r="AF23" i="17"/>
  <c r="AG23" i="17"/>
  <c r="AH23" i="17"/>
  <c r="AJ23" i="17"/>
  <c r="AM23" i="17"/>
  <c r="AJ8" i="17"/>
  <c r="O10" i="17"/>
  <c r="O11" i="17"/>
  <c r="O12" i="17"/>
  <c r="O13" i="17"/>
  <c r="O14" i="17"/>
  <c r="O15" i="17"/>
  <c r="O16" i="17"/>
  <c r="O17" i="17"/>
  <c r="O18" i="17"/>
  <c r="O19" i="17"/>
  <c r="O20" i="17"/>
  <c r="O21" i="17"/>
  <c r="O22" i="17"/>
  <c r="O23" i="17"/>
  <c r="AJ12" i="35"/>
  <c r="AL12" i="35"/>
  <c r="AM12" i="35"/>
  <c r="AP12" i="35"/>
  <c r="AQ12" i="35"/>
  <c r="AR12" i="35"/>
  <c r="AS12" i="35"/>
  <c r="AT12" i="35"/>
  <c r="AU12" i="35"/>
  <c r="AV12" i="35"/>
  <c r="AW12" i="35"/>
  <c r="AX12" i="35"/>
  <c r="AY12" i="35"/>
  <c r="AZ12" i="35"/>
  <c r="BB12" i="35"/>
  <c r="BC12" i="35"/>
  <c r="BD12" i="35"/>
  <c r="BE12" i="35"/>
  <c r="BG12" i="35"/>
  <c r="BH12" i="35"/>
  <c r="BI12" i="35"/>
  <c r="BJ12" i="35"/>
  <c r="BL12" i="35"/>
  <c r="AJ13" i="35"/>
  <c r="AL13" i="35"/>
  <c r="AM13" i="35"/>
  <c r="AP13" i="35"/>
  <c r="AQ13" i="35"/>
  <c r="AR13" i="35"/>
  <c r="AS13" i="35"/>
  <c r="AT13" i="35"/>
  <c r="AU13" i="35"/>
  <c r="AV13" i="35"/>
  <c r="AW13" i="35"/>
  <c r="AX13" i="35"/>
  <c r="AY13" i="35"/>
  <c r="AZ13" i="35"/>
  <c r="BB13" i="35"/>
  <c r="BC13" i="35"/>
  <c r="BD13" i="35"/>
  <c r="BF13" i="35" s="1"/>
  <c r="BE13" i="35"/>
  <c r="BG13" i="35"/>
  <c r="BH13" i="35"/>
  <c r="BI13" i="35"/>
  <c r="BJ13" i="35"/>
  <c r="BL13" i="35"/>
  <c r="AJ14" i="35"/>
  <c r="AL14" i="35"/>
  <c r="AM14" i="35"/>
  <c r="AN14" i="35"/>
  <c r="AP14" i="35"/>
  <c r="AQ14" i="35"/>
  <c r="AR14" i="35"/>
  <c r="AS14" i="35"/>
  <c r="AT14" i="35"/>
  <c r="AU14" i="35"/>
  <c r="AV14" i="35"/>
  <c r="AW14" i="35"/>
  <c r="AX14" i="35"/>
  <c r="BB14" i="35"/>
  <c r="BC14" i="35"/>
  <c r="BD14" i="35"/>
  <c r="BE14" i="35"/>
  <c r="BG14" i="35"/>
  <c r="BH14" i="35"/>
  <c r="BI14" i="35"/>
  <c r="BJ14" i="35"/>
  <c r="BK14" i="35"/>
  <c r="BL14" i="35"/>
  <c r="AJ15" i="35"/>
  <c r="AL15" i="35"/>
  <c r="AM15" i="35"/>
  <c r="AN15" i="35"/>
  <c r="AP15" i="35"/>
  <c r="AQ15" i="35"/>
  <c r="AR15" i="35"/>
  <c r="AS15" i="35"/>
  <c r="AT15" i="35"/>
  <c r="AU15" i="35"/>
  <c r="AV15" i="35"/>
  <c r="AW15" i="35"/>
  <c r="AX15" i="35"/>
  <c r="AY15" i="35"/>
  <c r="AZ15" i="35"/>
  <c r="BA15" i="35"/>
  <c r="BB15" i="35"/>
  <c r="BC15" i="35"/>
  <c r="BD15" i="35"/>
  <c r="BE15" i="35"/>
  <c r="BG15" i="35"/>
  <c r="BH15" i="35"/>
  <c r="BI15" i="35"/>
  <c r="BJ15" i="35"/>
  <c r="BL15" i="35"/>
  <c r="AJ16" i="35"/>
  <c r="AL16" i="35"/>
  <c r="AM16" i="35"/>
  <c r="AN16" i="35"/>
  <c r="AP16" i="35"/>
  <c r="AQ16" i="35"/>
  <c r="AR16" i="35"/>
  <c r="AS16" i="35"/>
  <c r="AT16" i="35"/>
  <c r="AU16" i="35"/>
  <c r="AW16" i="35"/>
  <c r="AX16" i="35"/>
  <c r="AY16" i="35"/>
  <c r="AZ16" i="35"/>
  <c r="BA16" i="35"/>
  <c r="BB16" i="35"/>
  <c r="BC16" i="35"/>
  <c r="BD16" i="35"/>
  <c r="BF16" i="35" s="1"/>
  <c r="BE16" i="35"/>
  <c r="BG16" i="35"/>
  <c r="BH16" i="35"/>
  <c r="BI16" i="35"/>
  <c r="BJ16" i="35"/>
  <c r="BL16" i="35"/>
  <c r="AJ17" i="35"/>
  <c r="AL17" i="35"/>
  <c r="AM17" i="35"/>
  <c r="AN17" i="35"/>
  <c r="AP17" i="35"/>
  <c r="AQ17" i="35"/>
  <c r="AR17" i="35"/>
  <c r="AS17" i="35"/>
  <c r="AT17" i="35"/>
  <c r="AU17" i="35"/>
  <c r="AV17" i="35"/>
  <c r="AW17" i="35"/>
  <c r="AX17" i="35"/>
  <c r="AY17" i="35"/>
  <c r="AZ17" i="35"/>
  <c r="BB17" i="35"/>
  <c r="BC17" i="35"/>
  <c r="BD17" i="35"/>
  <c r="BF17" i="35" s="1"/>
  <c r="BE17" i="35"/>
  <c r="BG17" i="35"/>
  <c r="BH17" i="35"/>
  <c r="BI17" i="35"/>
  <c r="BJ17" i="35"/>
  <c r="BK17" i="35"/>
  <c r="BL17" i="35"/>
  <c r="AJ18" i="35"/>
  <c r="AL18" i="35"/>
  <c r="AM18" i="35"/>
  <c r="AN18" i="35"/>
  <c r="AP18" i="35"/>
  <c r="AQ18" i="35"/>
  <c r="AR18" i="35"/>
  <c r="AS18" i="35"/>
  <c r="AT18" i="35"/>
  <c r="AU18" i="35"/>
  <c r="AV18" i="35"/>
  <c r="AW18" i="35"/>
  <c r="AX18" i="35"/>
  <c r="AY18" i="35"/>
  <c r="AZ18" i="35"/>
  <c r="BB18" i="35"/>
  <c r="BC18" i="35"/>
  <c r="BD18" i="35"/>
  <c r="BE18" i="35"/>
  <c r="BF18" i="35" s="1"/>
  <c r="BG18" i="35"/>
  <c r="BH18" i="35"/>
  <c r="BI18" i="35"/>
  <c r="BK18" i="35" s="1"/>
  <c r="BJ18" i="35"/>
  <c r="BL18" i="35"/>
  <c r="AJ19" i="35"/>
  <c r="AL19" i="35"/>
  <c r="AM19" i="35"/>
  <c r="AN19" i="35"/>
  <c r="AP19" i="35"/>
  <c r="AQ19" i="35"/>
  <c r="AR19" i="35"/>
  <c r="AS19" i="35"/>
  <c r="AT19" i="35"/>
  <c r="AU19" i="35"/>
  <c r="AV19" i="35"/>
  <c r="AW19" i="35"/>
  <c r="AX19" i="35"/>
  <c r="AY19" i="35"/>
  <c r="AZ19" i="35"/>
  <c r="BA19" i="35"/>
  <c r="BB19" i="35"/>
  <c r="BC19" i="35"/>
  <c r="BD19" i="35"/>
  <c r="BE19" i="35"/>
  <c r="BG19" i="35"/>
  <c r="BH19" i="35"/>
  <c r="BI19" i="35"/>
  <c r="BJ19" i="35"/>
  <c r="BK19" i="35"/>
  <c r="BL19" i="35"/>
  <c r="AJ20" i="35"/>
  <c r="AL20" i="35"/>
  <c r="AM20" i="35"/>
  <c r="AN20" i="35"/>
  <c r="AP20" i="35"/>
  <c r="AQ20" i="35"/>
  <c r="AR20" i="35"/>
  <c r="AS20" i="35"/>
  <c r="AT20" i="35"/>
  <c r="AU20" i="35"/>
  <c r="AV20" i="35"/>
  <c r="AW20" i="35"/>
  <c r="AX20" i="35"/>
  <c r="AY20" i="35"/>
  <c r="AZ20" i="35"/>
  <c r="BA20" i="35"/>
  <c r="BB20" i="35"/>
  <c r="BC20" i="35"/>
  <c r="BD20" i="35"/>
  <c r="BF20" i="35" s="1"/>
  <c r="BE20" i="35"/>
  <c r="BG20" i="35"/>
  <c r="BH20" i="35"/>
  <c r="BI20" i="35"/>
  <c r="BJ20" i="35"/>
  <c r="BL20" i="35"/>
  <c r="AJ21" i="35"/>
  <c r="AL21" i="35"/>
  <c r="AM21" i="35"/>
  <c r="AN21" i="35"/>
  <c r="AP21" i="35"/>
  <c r="AQ21" i="35"/>
  <c r="AR21" i="35"/>
  <c r="AS21" i="35"/>
  <c r="AT21" i="35"/>
  <c r="AU21" i="35"/>
  <c r="AV21" i="35"/>
  <c r="AW21" i="35"/>
  <c r="AX21" i="35"/>
  <c r="AY21" i="35"/>
  <c r="AZ21" i="35"/>
  <c r="BB21" i="35"/>
  <c r="BC21" i="35"/>
  <c r="BD21" i="35"/>
  <c r="BF21" i="35" s="1"/>
  <c r="BE21" i="35"/>
  <c r="BG21" i="35"/>
  <c r="BH21" i="35"/>
  <c r="BI21" i="35"/>
  <c r="BJ21" i="35"/>
  <c r="BK21" i="35" s="1"/>
  <c r="BL21" i="35"/>
  <c r="AJ22" i="35"/>
  <c r="AL22" i="35"/>
  <c r="AM22" i="35"/>
  <c r="AN22" i="35"/>
  <c r="AP22" i="35"/>
  <c r="AQ22" i="35"/>
  <c r="AR22" i="35"/>
  <c r="AS22" i="35"/>
  <c r="AT22" i="35"/>
  <c r="AU22" i="35"/>
  <c r="AV22" i="35"/>
  <c r="AW22" i="35"/>
  <c r="AX22" i="35"/>
  <c r="AY22" i="35"/>
  <c r="AZ22" i="35"/>
  <c r="BB22" i="35"/>
  <c r="BC22" i="35"/>
  <c r="BD22" i="35"/>
  <c r="BF22" i="35" s="1"/>
  <c r="BE22" i="35"/>
  <c r="BG22" i="35"/>
  <c r="BH22" i="35"/>
  <c r="BI22" i="35"/>
  <c r="BJ22" i="35"/>
  <c r="BK22" i="35" s="1"/>
  <c r="BL22" i="35"/>
  <c r="AJ23" i="35"/>
  <c r="AL23" i="35"/>
  <c r="AM23" i="35"/>
  <c r="AN23" i="35"/>
  <c r="AP23" i="35"/>
  <c r="AQ23" i="35"/>
  <c r="AR23" i="35"/>
  <c r="AS23" i="35"/>
  <c r="AT23" i="35"/>
  <c r="AU23" i="35"/>
  <c r="AV23" i="35"/>
  <c r="AW23" i="35"/>
  <c r="AX23" i="35"/>
  <c r="AY23" i="35"/>
  <c r="AZ23" i="35"/>
  <c r="BB23" i="35"/>
  <c r="BC23" i="35"/>
  <c r="BD23" i="35"/>
  <c r="BE23" i="35"/>
  <c r="BG23" i="35"/>
  <c r="BH23" i="35"/>
  <c r="BI23" i="35"/>
  <c r="BK23" i="35" s="1"/>
  <c r="BJ23" i="35"/>
  <c r="BL23" i="35"/>
  <c r="AJ24" i="35"/>
  <c r="AL24" i="35"/>
  <c r="AM24" i="35"/>
  <c r="AN24" i="35"/>
  <c r="AP24" i="35"/>
  <c r="AQ24" i="35"/>
  <c r="AR24" i="35"/>
  <c r="AS24" i="35"/>
  <c r="AT24" i="35"/>
  <c r="AU24" i="35"/>
  <c r="AV24" i="35"/>
  <c r="AW24" i="35"/>
  <c r="AX24" i="35"/>
  <c r="AY24" i="35"/>
  <c r="AZ24" i="35"/>
  <c r="BB24" i="35"/>
  <c r="BC24" i="35"/>
  <c r="BD24" i="35"/>
  <c r="BE24" i="35"/>
  <c r="BF24" i="35"/>
  <c r="BG24" i="35"/>
  <c r="BH24" i="35"/>
  <c r="BI24" i="35"/>
  <c r="BK24" i="35" s="1"/>
  <c r="BJ24" i="35"/>
  <c r="BL24" i="35"/>
  <c r="AJ25" i="35"/>
  <c r="AL25" i="35"/>
  <c r="AM25" i="35"/>
  <c r="AN25" i="35"/>
  <c r="AP25" i="35"/>
  <c r="AQ25" i="35"/>
  <c r="AR25" i="35"/>
  <c r="AS25" i="35"/>
  <c r="AT25" i="35"/>
  <c r="AU25" i="35"/>
  <c r="AV25" i="35"/>
  <c r="AW25" i="35"/>
  <c r="AX25" i="35"/>
  <c r="AY25" i="35"/>
  <c r="AZ25" i="35"/>
  <c r="BB25" i="35"/>
  <c r="BC25" i="35"/>
  <c r="BD25" i="35"/>
  <c r="BE25" i="35"/>
  <c r="BG25" i="35"/>
  <c r="BH25" i="35"/>
  <c r="BI25" i="35"/>
  <c r="BK25" i="35" s="1"/>
  <c r="BJ25" i="35"/>
  <c r="BL25" i="35"/>
  <c r="AJ26" i="35"/>
  <c r="AL26" i="35"/>
  <c r="AM26" i="35"/>
  <c r="AN26" i="35"/>
  <c r="AP26" i="35"/>
  <c r="AQ26" i="35"/>
  <c r="AR26" i="35"/>
  <c r="AS26" i="35"/>
  <c r="AT26" i="35"/>
  <c r="AU26" i="35"/>
  <c r="AV26" i="35"/>
  <c r="AW26" i="35"/>
  <c r="AX26" i="35"/>
  <c r="AY26" i="35"/>
  <c r="AZ26" i="35"/>
  <c r="BB26" i="35"/>
  <c r="BC26" i="35"/>
  <c r="BD26" i="35"/>
  <c r="BE26" i="35"/>
  <c r="BF26" i="35"/>
  <c r="BG26" i="35"/>
  <c r="BH26" i="35"/>
  <c r="BI26" i="35"/>
  <c r="BJ26" i="35"/>
  <c r="BL26" i="35"/>
  <c r="AJ27" i="35"/>
  <c r="AL27" i="35"/>
  <c r="AM27" i="35"/>
  <c r="AN27" i="35"/>
  <c r="AP27" i="35"/>
  <c r="AQ27" i="35"/>
  <c r="AR27" i="35"/>
  <c r="AS27" i="35"/>
  <c r="AT27" i="35"/>
  <c r="AU27" i="35"/>
  <c r="AV27" i="35"/>
  <c r="AW27" i="35"/>
  <c r="AX27" i="35"/>
  <c r="AY27" i="35"/>
  <c r="AZ27" i="35"/>
  <c r="BB27" i="35"/>
  <c r="BC27" i="35"/>
  <c r="BD27" i="35"/>
  <c r="BE27" i="35"/>
  <c r="BG27" i="35"/>
  <c r="BH27" i="35"/>
  <c r="BI27" i="35"/>
  <c r="BJ27" i="35"/>
  <c r="BK27" i="35"/>
  <c r="BL27" i="35"/>
  <c r="AJ28" i="35"/>
  <c r="AL28" i="35"/>
  <c r="AM28" i="35"/>
  <c r="AN28" i="35"/>
  <c r="AP28" i="35"/>
  <c r="AQ28" i="35"/>
  <c r="AR28" i="35"/>
  <c r="AS28" i="35"/>
  <c r="AT28" i="35"/>
  <c r="AU28" i="35"/>
  <c r="AV28" i="35"/>
  <c r="AW28" i="35"/>
  <c r="AX28" i="35"/>
  <c r="AY28" i="35"/>
  <c r="BA28" i="35" s="1"/>
  <c r="AZ28" i="35"/>
  <c r="BB28" i="35"/>
  <c r="BC28" i="35"/>
  <c r="BD28" i="35"/>
  <c r="BE28" i="35"/>
  <c r="BG28" i="35"/>
  <c r="BH28" i="35"/>
  <c r="BI28" i="35"/>
  <c r="BJ28" i="35"/>
  <c r="BL28" i="35"/>
  <c r="AJ29" i="35"/>
  <c r="AL29" i="35"/>
  <c r="AM29" i="35"/>
  <c r="AN29" i="35"/>
  <c r="AP29" i="35"/>
  <c r="AQ29" i="35"/>
  <c r="AR29" i="35"/>
  <c r="AS29" i="35"/>
  <c r="AT29" i="35"/>
  <c r="AU29" i="35"/>
  <c r="AV29" i="35"/>
  <c r="AW29" i="35"/>
  <c r="AX29" i="35"/>
  <c r="AY29" i="35"/>
  <c r="AZ29" i="35"/>
  <c r="BA29" i="35" s="1"/>
  <c r="BB29" i="35"/>
  <c r="BC29" i="35"/>
  <c r="BD29" i="35"/>
  <c r="BF29" i="35" s="1"/>
  <c r="BE29" i="35"/>
  <c r="BG29" i="35"/>
  <c r="BH29" i="35"/>
  <c r="BI29" i="35"/>
  <c r="BJ29" i="35"/>
  <c r="BK29" i="35" s="1"/>
  <c r="BL29" i="35"/>
  <c r="AJ30" i="35"/>
  <c r="AL30" i="35"/>
  <c r="AM30" i="35"/>
  <c r="AN30" i="35"/>
  <c r="AP30" i="35"/>
  <c r="AQ30" i="35"/>
  <c r="AR30" i="35"/>
  <c r="AS30" i="35"/>
  <c r="AT30" i="35"/>
  <c r="AU30" i="35"/>
  <c r="AV30" i="35"/>
  <c r="AW30" i="35"/>
  <c r="AX30" i="35"/>
  <c r="AY30" i="35"/>
  <c r="AZ30" i="35"/>
  <c r="BB30" i="35"/>
  <c r="BC30" i="35"/>
  <c r="BD30" i="35"/>
  <c r="BE30" i="35"/>
  <c r="BF30" i="35"/>
  <c r="BG30" i="35"/>
  <c r="BH30" i="35"/>
  <c r="BI30" i="35"/>
  <c r="BJ30" i="35"/>
  <c r="BL30" i="35"/>
  <c r="AJ31" i="35"/>
  <c r="AL31" i="35"/>
  <c r="AM31" i="35"/>
  <c r="AN31" i="35"/>
  <c r="AP31" i="35"/>
  <c r="AQ31" i="35"/>
  <c r="AR31" i="35"/>
  <c r="AS31" i="35"/>
  <c r="AT31" i="35"/>
  <c r="AU31" i="35"/>
  <c r="AV31" i="35"/>
  <c r="AW31" i="35"/>
  <c r="AX31" i="35"/>
  <c r="AY31" i="35"/>
  <c r="AZ31" i="35"/>
  <c r="BA31" i="35"/>
  <c r="BB31" i="35"/>
  <c r="BC31" i="35"/>
  <c r="BD31" i="35"/>
  <c r="BF31" i="35" s="1"/>
  <c r="BE31" i="35"/>
  <c r="BG31" i="35"/>
  <c r="BH31" i="35"/>
  <c r="BI31" i="35"/>
  <c r="BJ31" i="35"/>
  <c r="BK31" i="35"/>
  <c r="BL31" i="35"/>
  <c r="AJ32" i="35"/>
  <c r="AL32" i="35"/>
  <c r="AM32" i="35"/>
  <c r="AN32" i="35"/>
  <c r="AP32" i="35"/>
  <c r="AQ32" i="35"/>
  <c r="AR32" i="35"/>
  <c r="AS32" i="35"/>
  <c r="AT32" i="35"/>
  <c r="AU32" i="35"/>
  <c r="AV32" i="35"/>
  <c r="AW32" i="35"/>
  <c r="AX32" i="35"/>
  <c r="AY32" i="35"/>
  <c r="AZ32" i="35"/>
  <c r="BA32" i="35"/>
  <c r="BB32" i="35"/>
  <c r="BC32" i="35"/>
  <c r="BD32" i="35"/>
  <c r="BF32" i="35" s="1"/>
  <c r="BE32" i="35"/>
  <c r="BG32" i="35"/>
  <c r="BH32" i="35"/>
  <c r="BI32" i="35"/>
  <c r="BJ32" i="35"/>
  <c r="BL32" i="35"/>
  <c r="AJ33" i="35"/>
  <c r="AL33" i="35"/>
  <c r="AM33" i="35"/>
  <c r="AN33" i="35"/>
  <c r="AP33" i="35"/>
  <c r="AQ33" i="35"/>
  <c r="AR33" i="35"/>
  <c r="AS33" i="35"/>
  <c r="AT33" i="35"/>
  <c r="AU33" i="35"/>
  <c r="AV33" i="35"/>
  <c r="AW33" i="35"/>
  <c r="AX33" i="35"/>
  <c r="AY33" i="35"/>
  <c r="AZ33" i="35"/>
  <c r="BB33" i="35"/>
  <c r="BC33" i="35"/>
  <c r="BD33" i="35"/>
  <c r="BE33" i="35"/>
  <c r="BG33" i="35"/>
  <c r="BH33" i="35"/>
  <c r="BI33" i="35"/>
  <c r="BJ33" i="35"/>
  <c r="BL33" i="35"/>
  <c r="AJ34" i="35"/>
  <c r="AL34" i="35"/>
  <c r="AM34" i="35"/>
  <c r="AN34" i="35"/>
  <c r="AP34" i="35"/>
  <c r="AQ34" i="35"/>
  <c r="AR34" i="35"/>
  <c r="AS34" i="35"/>
  <c r="AT34" i="35"/>
  <c r="AU34" i="35"/>
  <c r="AV34" i="35"/>
  <c r="AW34" i="35"/>
  <c r="AX34" i="35"/>
  <c r="AY34" i="35"/>
  <c r="AZ34" i="35"/>
  <c r="BB34" i="35"/>
  <c r="BC34" i="35"/>
  <c r="BD34" i="35"/>
  <c r="BE34" i="35"/>
  <c r="BG34" i="35"/>
  <c r="BH34" i="35"/>
  <c r="BI34" i="35"/>
  <c r="BJ34" i="35"/>
  <c r="BL34" i="35"/>
  <c r="AJ35" i="35"/>
  <c r="AL35" i="35"/>
  <c r="AM35" i="35"/>
  <c r="AN35" i="35"/>
  <c r="AP35" i="35"/>
  <c r="AQ35" i="35"/>
  <c r="AR35" i="35"/>
  <c r="AS35" i="35"/>
  <c r="AT35" i="35"/>
  <c r="AU35" i="35"/>
  <c r="AV35" i="35"/>
  <c r="AW35" i="35"/>
  <c r="AX35" i="35"/>
  <c r="AY35" i="35"/>
  <c r="BA35" i="35" s="1"/>
  <c r="AZ35" i="35"/>
  <c r="BB35" i="35"/>
  <c r="BC35" i="35"/>
  <c r="BD35" i="35"/>
  <c r="BE35" i="35"/>
  <c r="BF35" i="35"/>
  <c r="BG35" i="35"/>
  <c r="BH35" i="35"/>
  <c r="BI35" i="35"/>
  <c r="BJ35" i="35"/>
  <c r="BL35" i="35"/>
  <c r="AJ36" i="35"/>
  <c r="AL36" i="35"/>
  <c r="AM36" i="35"/>
  <c r="AN36" i="35"/>
  <c r="AP36" i="35"/>
  <c r="AQ36" i="35"/>
  <c r="AR36" i="35"/>
  <c r="AS36" i="35"/>
  <c r="AT36" i="35"/>
  <c r="AU36" i="35"/>
  <c r="AV36" i="35"/>
  <c r="AW36" i="35"/>
  <c r="AX36" i="35"/>
  <c r="AY36" i="35"/>
  <c r="BA36" i="35" s="1"/>
  <c r="AZ36" i="35"/>
  <c r="BB36" i="35"/>
  <c r="BC36" i="35"/>
  <c r="BD36" i="35"/>
  <c r="BE36" i="35"/>
  <c r="BF36" i="35"/>
  <c r="BG36" i="35"/>
  <c r="BH36" i="35"/>
  <c r="BI36" i="35"/>
  <c r="BJ36" i="35"/>
  <c r="BL36" i="35"/>
  <c r="AJ37" i="35"/>
  <c r="AL37" i="35"/>
  <c r="AM37" i="35"/>
  <c r="AN37" i="35"/>
  <c r="AP37" i="35"/>
  <c r="AQ37" i="35"/>
  <c r="AR37" i="35"/>
  <c r="AS37" i="35"/>
  <c r="AT37" i="35"/>
  <c r="AU37" i="35"/>
  <c r="AV37" i="35"/>
  <c r="AW37" i="35"/>
  <c r="AX37" i="35"/>
  <c r="AY37" i="35"/>
  <c r="BA37" i="35" s="1"/>
  <c r="AZ37" i="35"/>
  <c r="BB37" i="35"/>
  <c r="BC37" i="35"/>
  <c r="BD37" i="35"/>
  <c r="BE37" i="35"/>
  <c r="BG37" i="35"/>
  <c r="BH37" i="35"/>
  <c r="BI37" i="35"/>
  <c r="BK37" i="35" s="1"/>
  <c r="BJ37" i="35"/>
  <c r="BL37" i="35"/>
  <c r="AJ38" i="35"/>
  <c r="AL38" i="35"/>
  <c r="AM38" i="35"/>
  <c r="AN38" i="35"/>
  <c r="AP38" i="35"/>
  <c r="AQ38" i="35"/>
  <c r="AR38" i="35"/>
  <c r="AS38" i="35"/>
  <c r="AT38" i="35"/>
  <c r="AU38" i="35"/>
  <c r="AV38" i="35"/>
  <c r="AW38" i="35"/>
  <c r="AX38" i="35"/>
  <c r="AY38" i="35"/>
  <c r="AZ38" i="35"/>
  <c r="BB38" i="35"/>
  <c r="BC38" i="35"/>
  <c r="BD38" i="35"/>
  <c r="BE38" i="35"/>
  <c r="BF38" i="35"/>
  <c r="BG38" i="35"/>
  <c r="BH38" i="35"/>
  <c r="BI38" i="35"/>
  <c r="BJ38" i="35"/>
  <c r="BK38" i="35"/>
  <c r="BL38" i="35"/>
  <c r="AJ39" i="35"/>
  <c r="AL39" i="35"/>
  <c r="AM39" i="35"/>
  <c r="AN39" i="35"/>
  <c r="AP39" i="35"/>
  <c r="AQ39" i="35"/>
  <c r="AR39" i="35"/>
  <c r="AS39" i="35"/>
  <c r="AT39" i="35"/>
  <c r="AU39" i="35"/>
  <c r="AV39" i="35"/>
  <c r="AW39" i="35"/>
  <c r="AX39" i="35"/>
  <c r="AY39" i="35"/>
  <c r="AZ39" i="35"/>
  <c r="BB39" i="35"/>
  <c r="BC39" i="35"/>
  <c r="BD39" i="35"/>
  <c r="BE39" i="35"/>
  <c r="BG39" i="35"/>
  <c r="BH39" i="35"/>
  <c r="BI39" i="35"/>
  <c r="BK39" i="35" s="1"/>
  <c r="BJ39" i="35"/>
  <c r="BL39" i="35"/>
  <c r="AJ40" i="35"/>
  <c r="AL40" i="35"/>
  <c r="AM40" i="35"/>
  <c r="AN40" i="35"/>
  <c r="AP40" i="35"/>
  <c r="AQ40" i="35"/>
  <c r="AR40" i="35"/>
  <c r="AS40" i="35"/>
  <c r="AT40" i="35"/>
  <c r="AU40" i="35"/>
  <c r="AV40" i="35"/>
  <c r="AW40" i="35"/>
  <c r="AX40" i="35"/>
  <c r="AY40" i="35"/>
  <c r="BA40" i="35" s="1"/>
  <c r="AZ40" i="35"/>
  <c r="BB40" i="35"/>
  <c r="BC40" i="35"/>
  <c r="BD40" i="35"/>
  <c r="BE40" i="35"/>
  <c r="BG40" i="35"/>
  <c r="BH40" i="35"/>
  <c r="BI40" i="35"/>
  <c r="BJ40" i="35"/>
  <c r="BK40" i="35" s="1"/>
  <c r="BL40" i="35"/>
  <c r="AJ41" i="35"/>
  <c r="AL41" i="35"/>
  <c r="AM41" i="35"/>
  <c r="AN41" i="35"/>
  <c r="AP41" i="35"/>
  <c r="AQ41" i="35"/>
  <c r="AR41" i="35"/>
  <c r="AS41" i="35"/>
  <c r="AT41" i="35"/>
  <c r="AU41" i="35"/>
  <c r="AV41" i="35"/>
  <c r="AW41" i="35"/>
  <c r="AX41" i="35"/>
  <c r="AY41" i="35"/>
  <c r="AZ41" i="35"/>
  <c r="BB41" i="35"/>
  <c r="BC41" i="35"/>
  <c r="BD41" i="35"/>
  <c r="BF41" i="35" s="1"/>
  <c r="BE41" i="35"/>
  <c r="BG41" i="35"/>
  <c r="BH41" i="35"/>
  <c r="BI41" i="35"/>
  <c r="BJ41" i="35"/>
  <c r="BK41" i="35"/>
  <c r="BL41" i="35"/>
  <c r="AJ42" i="35"/>
  <c r="AL42" i="35"/>
  <c r="AM42" i="35"/>
  <c r="AN42" i="35"/>
  <c r="AP42" i="35"/>
  <c r="AQ42" i="35"/>
  <c r="AR42" i="35"/>
  <c r="AS42" i="35"/>
  <c r="AT42" i="35"/>
  <c r="AU42" i="35"/>
  <c r="AV42" i="35"/>
  <c r="AW42" i="35"/>
  <c r="AX42" i="35"/>
  <c r="AY42" i="35"/>
  <c r="BA42" i="35" s="1"/>
  <c r="AZ42" i="35"/>
  <c r="BB42" i="35"/>
  <c r="BC42" i="35"/>
  <c r="BD42" i="35"/>
  <c r="BE42" i="35"/>
  <c r="BG42" i="35"/>
  <c r="BH42" i="35"/>
  <c r="BI42" i="35"/>
  <c r="BJ42" i="35"/>
  <c r="BL42" i="35"/>
  <c r="AJ43" i="35"/>
  <c r="AL43" i="35"/>
  <c r="AM43" i="35"/>
  <c r="AN43" i="35"/>
  <c r="AP43" i="35"/>
  <c r="AQ43" i="35"/>
  <c r="AR43" i="35"/>
  <c r="AS43" i="35"/>
  <c r="AT43" i="35"/>
  <c r="AU43" i="35"/>
  <c r="AV43" i="35"/>
  <c r="AW43" i="35"/>
  <c r="AX43" i="35"/>
  <c r="AY43" i="35"/>
  <c r="AZ43" i="35"/>
  <c r="BB43" i="35"/>
  <c r="BC43" i="35"/>
  <c r="BD43" i="35"/>
  <c r="BE43" i="35"/>
  <c r="BG43" i="35"/>
  <c r="BH43" i="35"/>
  <c r="BI43" i="35"/>
  <c r="BJ43" i="35"/>
  <c r="BK43" i="35"/>
  <c r="BL43" i="35"/>
  <c r="AJ44" i="35"/>
  <c r="AL44" i="35"/>
  <c r="AM44" i="35"/>
  <c r="AN44" i="35"/>
  <c r="AP44" i="35"/>
  <c r="AQ44" i="35"/>
  <c r="AR44" i="35"/>
  <c r="AS44" i="35"/>
  <c r="AT44" i="35"/>
  <c r="AU44" i="35"/>
  <c r="AV44" i="35"/>
  <c r="AW44" i="35"/>
  <c r="AX44" i="35"/>
  <c r="AY44" i="35"/>
  <c r="AZ44" i="35"/>
  <c r="BA44" i="35"/>
  <c r="BB44" i="35"/>
  <c r="BC44" i="35"/>
  <c r="BD44" i="35"/>
  <c r="BF44" i="35" s="1"/>
  <c r="BE44" i="35"/>
  <c r="BG44" i="35"/>
  <c r="BH44" i="35"/>
  <c r="BI44" i="35"/>
  <c r="BJ44" i="35"/>
  <c r="BL44" i="35"/>
  <c r="AJ45" i="35"/>
  <c r="AL45" i="35"/>
  <c r="AM45" i="35"/>
  <c r="AN45" i="35"/>
  <c r="AP45" i="35"/>
  <c r="AQ45" i="35"/>
  <c r="AR45" i="35"/>
  <c r="AS45" i="35"/>
  <c r="AT45" i="35"/>
  <c r="AU45" i="35"/>
  <c r="AV45" i="35"/>
  <c r="AW45" i="35"/>
  <c r="AX45" i="35"/>
  <c r="AY45" i="35"/>
  <c r="AZ45" i="35"/>
  <c r="BA45" i="35"/>
  <c r="BB45" i="35"/>
  <c r="BC45" i="35"/>
  <c r="BD45" i="35"/>
  <c r="BF45" i="35" s="1"/>
  <c r="BE45" i="35"/>
  <c r="BG45" i="35"/>
  <c r="BH45" i="35"/>
  <c r="BI45" i="35"/>
  <c r="BJ45" i="35"/>
  <c r="BL45" i="35"/>
  <c r="AJ46" i="35"/>
  <c r="AL46" i="35"/>
  <c r="AM46" i="35"/>
  <c r="AN46" i="35"/>
  <c r="AP46" i="35"/>
  <c r="AQ46" i="35"/>
  <c r="AR46" i="35"/>
  <c r="AS46" i="35"/>
  <c r="AT46" i="35"/>
  <c r="AU46" i="35"/>
  <c r="AV46" i="35"/>
  <c r="AW46" i="35"/>
  <c r="AX46" i="35"/>
  <c r="AY46" i="35"/>
  <c r="AZ46" i="35"/>
  <c r="BB46" i="35"/>
  <c r="BC46" i="35"/>
  <c r="BD46" i="35"/>
  <c r="BF46" i="35" s="1"/>
  <c r="BE46" i="35"/>
  <c r="BG46" i="35"/>
  <c r="BH46" i="35"/>
  <c r="BI46" i="35"/>
  <c r="BJ46" i="35"/>
  <c r="BL46" i="35"/>
  <c r="AJ47" i="35"/>
  <c r="AL47" i="35"/>
  <c r="AM47" i="35"/>
  <c r="AN47" i="35"/>
  <c r="AP47" i="35"/>
  <c r="AQ47" i="35"/>
  <c r="AR47" i="35"/>
  <c r="AS47" i="35"/>
  <c r="AT47" i="35"/>
  <c r="AU47" i="35"/>
  <c r="AV47" i="35"/>
  <c r="AW47" i="35"/>
  <c r="AX47" i="35"/>
  <c r="AY47" i="35"/>
  <c r="AZ47" i="35"/>
  <c r="BA47" i="35"/>
  <c r="BB47" i="35"/>
  <c r="BC47" i="35"/>
  <c r="BD47" i="35"/>
  <c r="BE47" i="35"/>
  <c r="BG47" i="35"/>
  <c r="BH47" i="35"/>
  <c r="BI47" i="35"/>
  <c r="BJ47" i="35"/>
  <c r="BL47" i="35"/>
  <c r="AJ48" i="35"/>
  <c r="AL48" i="35"/>
  <c r="AM48" i="35"/>
  <c r="AN48" i="35"/>
  <c r="AP48" i="35"/>
  <c r="AQ48" i="35"/>
  <c r="AR48" i="35"/>
  <c r="AS48" i="35"/>
  <c r="AT48" i="35"/>
  <c r="AU48" i="35"/>
  <c r="AV48" i="35"/>
  <c r="AW48" i="35"/>
  <c r="AX48" i="35"/>
  <c r="AY48" i="35"/>
  <c r="AZ48" i="35"/>
  <c r="BB48" i="35"/>
  <c r="BC48" i="35"/>
  <c r="BD48" i="35"/>
  <c r="BE48" i="35"/>
  <c r="BF48" i="35"/>
  <c r="BG48" i="35"/>
  <c r="BH48" i="35"/>
  <c r="BI48" i="35"/>
  <c r="BJ48" i="35"/>
  <c r="BL48" i="35"/>
  <c r="AJ49" i="35"/>
  <c r="AL49" i="35"/>
  <c r="AM49" i="35"/>
  <c r="AN49" i="35"/>
  <c r="AP49" i="35"/>
  <c r="AQ49" i="35"/>
  <c r="AR49" i="35"/>
  <c r="AS49" i="35"/>
  <c r="AT49" i="35"/>
  <c r="AU49" i="35"/>
  <c r="AV49" i="35"/>
  <c r="AW49" i="35"/>
  <c r="AX49" i="35"/>
  <c r="AY49" i="35"/>
  <c r="AZ49" i="35"/>
  <c r="BB49" i="35"/>
  <c r="BC49" i="35"/>
  <c r="BD49" i="35"/>
  <c r="BE49" i="35"/>
  <c r="BG49" i="35"/>
  <c r="BH49" i="35"/>
  <c r="BI49" i="35"/>
  <c r="BJ49" i="35"/>
  <c r="BK49" i="35"/>
  <c r="BL49" i="35"/>
  <c r="AJ50" i="35"/>
  <c r="AL50" i="35"/>
  <c r="AM50" i="35"/>
  <c r="AN50" i="35"/>
  <c r="AP50" i="35"/>
  <c r="AQ50" i="35"/>
  <c r="AR50" i="35"/>
  <c r="AS50" i="35"/>
  <c r="AT50" i="35"/>
  <c r="AU50" i="35"/>
  <c r="AV50" i="35"/>
  <c r="AW50" i="35"/>
  <c r="AX50" i="35"/>
  <c r="AY50" i="35"/>
  <c r="BA50" i="35" s="1"/>
  <c r="AZ50" i="35"/>
  <c r="BB50" i="35"/>
  <c r="BC50" i="35"/>
  <c r="BD50" i="35"/>
  <c r="BE50" i="35"/>
  <c r="BG50" i="35"/>
  <c r="BH50" i="35"/>
  <c r="BI50" i="35"/>
  <c r="BJ50" i="35"/>
  <c r="BK50" i="35" s="1"/>
  <c r="BL50" i="35"/>
  <c r="BU10" i="35" a="1"/>
  <c r="BU10" i="35" s="1"/>
  <c r="BH11" i="35"/>
  <c r="BI11" i="35"/>
  <c r="BJ11" i="35"/>
  <c r="BG11" i="35"/>
  <c r="BE11" i="35"/>
  <c r="BC11" i="35"/>
  <c r="BB11" i="35"/>
  <c r="AV11" i="35"/>
  <c r="AK11" i="35"/>
  <c r="AL11" i="35"/>
  <c r="AM11" i="35"/>
  <c r="AN11" i="35"/>
  <c r="AP11" i="35"/>
  <c r="AQ11" i="35"/>
  <c r="AR11" i="35"/>
  <c r="AS11" i="35"/>
  <c r="AT11" i="35"/>
  <c r="AU11" i="35"/>
  <c r="AW11" i="35"/>
  <c r="AX11" i="35"/>
  <c r="AY11" i="35"/>
  <c r="BA11" i="35" s="1"/>
  <c r="AZ11" i="35"/>
  <c r="AD11" i="35"/>
  <c r="T18" i="35"/>
  <c r="T11" i="35"/>
  <c r="AQ10" i="35"/>
  <c r="BM10" i="14"/>
  <c r="BK10" i="14"/>
  <c r="AX10" i="14"/>
  <c r="AY10" i="14"/>
  <c r="C18" i="34"/>
  <c r="AF11" i="17" l="1"/>
  <c r="BR12" i="35" a="1"/>
  <c r="BR12" i="35" s="1"/>
  <c r="BN12" i="35"/>
  <c r="BO12" i="35"/>
  <c r="BQ12" i="35" a="1"/>
  <c r="BQ12" i="35" s="1"/>
  <c r="BS12" i="35" s="1"/>
  <c r="BN17" i="35"/>
  <c r="BO17" i="35"/>
  <c r="BQ17" i="35" a="1"/>
  <c r="BQ17" i="35" s="1"/>
  <c r="BS17" i="35" s="1"/>
  <c r="BR17" i="35" a="1"/>
  <c r="BR17" i="35" s="1"/>
  <c r="BQ11" i="35" a="1"/>
  <c r="BQ11" i="35" s="1"/>
  <c r="BS11" i="35" s="1"/>
  <c r="BO11" i="35"/>
  <c r="BN11" i="35"/>
  <c r="BR11" i="35" a="1"/>
  <c r="BR11" i="35" s="1"/>
  <c r="BO15" i="35"/>
  <c r="BN15" i="35"/>
  <c r="BP15" i="35" s="1"/>
  <c r="BQ15" i="35" a="1"/>
  <c r="BQ15" i="35" s="1"/>
  <c r="BS15" i="35" s="1"/>
  <c r="BR15" i="35" a="1"/>
  <c r="BR15" i="35" s="1"/>
  <c r="BQ13" i="35" a="1"/>
  <c r="BQ13" i="35" s="1"/>
  <c r="BS13" i="35" s="1"/>
  <c r="BR13" i="35" a="1"/>
  <c r="BR13" i="35" s="1"/>
  <c r="BN13" i="35"/>
  <c r="BO13" i="35"/>
  <c r="BQ14" i="35" a="1"/>
  <c r="BQ14" i="35" s="1"/>
  <c r="BS14" i="35" s="1"/>
  <c r="BN14" i="35"/>
  <c r="BR14" i="35" a="1"/>
  <c r="BR14" i="35" s="1"/>
  <c r="BO14" i="35"/>
  <c r="BA12" i="35"/>
  <c r="BQ16" i="35" a="1"/>
  <c r="BQ16" i="35" s="1"/>
  <c r="BS16" i="35" s="1"/>
  <c r="BR16" i="35" a="1"/>
  <c r="BR16" i="35" s="1"/>
  <c r="BN16" i="35"/>
  <c r="BP16" i="35" s="1"/>
  <c r="BO16" i="35"/>
  <c r="V9" i="31"/>
  <c r="V11" i="31"/>
  <c r="AC15" i="31"/>
  <c r="AB15" i="31" a="1"/>
  <c r="AB15" i="31" s="1"/>
  <c r="AC23" i="31"/>
  <c r="AB23" i="31" a="1"/>
  <c r="AB23" i="31" s="1"/>
  <c r="AC43" i="31"/>
  <c r="AB43" i="31" a="1"/>
  <c r="AB43" i="31" s="1"/>
  <c r="AC45" i="31"/>
  <c r="AC37" i="31"/>
  <c r="AC21" i="31"/>
  <c r="AC41" i="31"/>
  <c r="AB41" i="31" a="1"/>
  <c r="AB41" i="31" s="1"/>
  <c r="AC27" i="31"/>
  <c r="AB27" i="31" a="1"/>
  <c r="AB27" i="31" s="1"/>
  <c r="AC38" i="31"/>
  <c r="AC35" i="31"/>
  <c r="AC22" i="31"/>
  <c r="AC39" i="31"/>
  <c r="AB39" i="31" a="1"/>
  <c r="AB39" i="31" s="1"/>
  <c r="AB31" i="31" a="1"/>
  <c r="AB31" i="31" s="1"/>
  <c r="AC31" i="31"/>
  <c r="AC33" i="31"/>
  <c r="AC17" i="31"/>
  <c r="AC47" i="31"/>
  <c r="AB47" i="31" a="1"/>
  <c r="AB47" i="31" s="1"/>
  <c r="AC25" i="31"/>
  <c r="AB25" i="31" a="1"/>
  <c r="AB25" i="31" s="1"/>
  <c r="AC11" i="31"/>
  <c r="AB11" i="31" a="1"/>
  <c r="AB11" i="31" s="1"/>
  <c r="BK16" i="35"/>
  <c r="BA30" i="35"/>
  <c r="BP18" i="35"/>
  <c r="BK45" i="35"/>
  <c r="BF25" i="35"/>
  <c r="BF49" i="35"/>
  <c r="BA39" i="35"/>
  <c r="BF50" i="35"/>
  <c r="BF43" i="35"/>
  <c r="BA27" i="35"/>
  <c r="BK32" i="35"/>
  <c r="BA21" i="35"/>
  <c r="Z46" i="31"/>
  <c r="Z42" i="31"/>
  <c r="Z38" i="31"/>
  <c r="AB38" i="31" s="1" a="1"/>
  <c r="AB38" i="31" s="1"/>
  <c r="Z34" i="31"/>
  <c r="AB34" i="31" s="1" a="1"/>
  <c r="AB34" i="31" s="1"/>
  <c r="Z30" i="31"/>
  <c r="Z26" i="31"/>
  <c r="Z22" i="31"/>
  <c r="AB22" i="31" s="1" a="1"/>
  <c r="AB22" i="31" s="1"/>
  <c r="Z18" i="31"/>
  <c r="AB18" i="31" s="1" a="1"/>
  <c r="AB18" i="31" s="1"/>
  <c r="Z14" i="31"/>
  <c r="Z10" i="31"/>
  <c r="BA43" i="35"/>
  <c r="BK47" i="35"/>
  <c r="BF34" i="35"/>
  <c r="BP31" i="35"/>
  <c r="BF27" i="35"/>
  <c r="BK13" i="35"/>
  <c r="BK35" i="35"/>
  <c r="BK26" i="35"/>
  <c r="BK48" i="35"/>
  <c r="BU24" i="13"/>
  <c r="BR45" i="13" a="1"/>
  <c r="BR45" i="13" s="1"/>
  <c r="BU45" i="13"/>
  <c r="BR13" i="13" a="1"/>
  <c r="BR13" i="13" s="1"/>
  <c r="BU13" i="13"/>
  <c r="BQ13" i="13" a="1"/>
  <c r="BQ13" i="13" s="1"/>
  <c r="BU26" i="13"/>
  <c r="BQ37" i="13" a="1"/>
  <c r="BQ37" i="13" s="1"/>
  <c r="BU48" i="13"/>
  <c r="BQ34" i="13" a="1"/>
  <c r="BQ34" i="13" s="1"/>
  <c r="BR34" i="13" a="1"/>
  <c r="BR34" i="13" s="1"/>
  <c r="BU34" i="13"/>
  <c r="BU16" i="13"/>
  <c r="BR16" i="13" a="1"/>
  <c r="BR16" i="13" s="1"/>
  <c r="BR32" i="13" a="1"/>
  <c r="BR32" i="13" s="1"/>
  <c r="BN40" i="13" a="1"/>
  <c r="BN40" i="13" s="1"/>
  <c r="BT40" i="13" s="1"/>
  <c r="BM40" i="13" a="1"/>
  <c r="BM40" i="13" s="1"/>
  <c r="BS40" i="13" s="1"/>
  <c r="BU23" i="13"/>
  <c r="BR23" i="13" a="1"/>
  <c r="BR23" i="13" s="1"/>
  <c r="BO40" i="13" a="1"/>
  <c r="BO40" i="13" s="1"/>
  <c r="AW37" i="13"/>
  <c r="AW36" i="13"/>
  <c r="AW35" i="13"/>
  <c r="AW34" i="13"/>
  <c r="AW21" i="13"/>
  <c r="AW20" i="13"/>
  <c r="AW19" i="13"/>
  <c r="BR30" i="13" a="1"/>
  <c r="BR30" i="13" s="1"/>
  <c r="BN44" i="13" a="1"/>
  <c r="BN44" i="13" s="1"/>
  <c r="BT44" i="13" s="1"/>
  <c r="BO44" i="13" a="1"/>
  <c r="BO44" i="13" s="1"/>
  <c r="BJ42" i="13"/>
  <c r="BL42" i="13" s="1"/>
  <c r="BM41" i="13" a="1"/>
  <c r="BM41" i="13" s="1"/>
  <c r="BS41" i="13" s="1"/>
  <c r="BO41" i="13" a="1"/>
  <c r="BO41" i="13" s="1"/>
  <c r="BN41" i="13" a="1"/>
  <c r="BN41" i="13" s="1"/>
  <c r="BT41" i="13" s="1"/>
  <c r="BN28" i="13" a="1"/>
  <c r="BN28" i="13" s="1"/>
  <c r="BT28" i="13" s="1"/>
  <c r="BO28" i="13" a="1"/>
  <c r="BO28" i="13" s="1"/>
  <c r="BJ26" i="13"/>
  <c r="BL26" i="13" s="1"/>
  <c r="BQ26" i="13" s="1" a="1"/>
  <c r="BQ26" i="13" s="1"/>
  <c r="BM25" i="13" a="1"/>
  <c r="BM25" i="13" s="1"/>
  <c r="BS25" i="13" s="1"/>
  <c r="BO25" i="13" a="1"/>
  <c r="BO25" i="13" s="1"/>
  <c r="BN25" i="13" a="1"/>
  <c r="BN25" i="13" s="1"/>
  <c r="BT25" i="13" s="1"/>
  <c r="BK11" i="13"/>
  <c r="BN37" i="13" a="1"/>
  <c r="BN37" i="13" s="1"/>
  <c r="BT37" i="13" s="1"/>
  <c r="BM44" i="13" a="1"/>
  <c r="BM44" i="13" s="1"/>
  <c r="BS44" i="13" s="1"/>
  <c r="BU39" i="13"/>
  <c r="BG12" i="13"/>
  <c r="BR17" i="13" a="1"/>
  <c r="BR17" i="13" s="1"/>
  <c r="BQ17" i="13" a="1"/>
  <c r="BQ17" i="13" s="1"/>
  <c r="BJ14" i="13"/>
  <c r="BL14" i="13" s="1"/>
  <c r="BQ14" i="13" s="1" a="1"/>
  <c r="BQ14" i="13" s="1"/>
  <c r="BU21" i="13"/>
  <c r="BR21" i="13" a="1"/>
  <c r="BR21" i="13" s="1"/>
  <c r="BK43" i="13"/>
  <c r="BR33" i="13" a="1"/>
  <c r="BR33" i="13" s="1"/>
  <c r="BQ33" i="13" a="1"/>
  <c r="BQ33" i="13" s="1"/>
  <c r="BK27" i="13"/>
  <c r="BR31" i="13" a="1"/>
  <c r="BR31" i="13" s="1"/>
  <c r="BJ43" i="13"/>
  <c r="BL43" i="13" s="1"/>
  <c r="BJ27" i="13"/>
  <c r="BL27" i="13" s="1"/>
  <c r="BR47" i="13" a="1"/>
  <c r="BR47" i="13" s="1"/>
  <c r="BQ47" i="13" a="1"/>
  <c r="BQ47" i="13" s="1"/>
  <c r="BJ46" i="13"/>
  <c r="BL46" i="13" s="1"/>
  <c r="BQ46" i="13" s="1" a="1"/>
  <c r="BQ46" i="13" s="1"/>
  <c r="BJ30" i="13"/>
  <c r="BL30" i="13" s="1"/>
  <c r="BQ30" i="13" s="1" a="1"/>
  <c r="BQ30" i="13" s="1"/>
  <c r="BQ21" i="13" a="1"/>
  <c r="BQ21" i="13" s="1"/>
  <c r="BJ39" i="13"/>
  <c r="BL39" i="13" s="1"/>
  <c r="BQ39" i="13" s="1" a="1"/>
  <c r="BQ39" i="13" s="1"/>
  <c r="BJ23" i="13"/>
  <c r="BL23" i="13" s="1"/>
  <c r="BQ23" i="13" s="1" a="1"/>
  <c r="BQ23" i="13" s="1"/>
  <c r="BJ15" i="13"/>
  <c r="BL15" i="13" s="1"/>
  <c r="BJ12" i="13"/>
  <c r="BL12" i="13" s="1"/>
  <c r="BM26" i="13" a="1"/>
  <c r="BM26" i="13" s="1"/>
  <c r="BS26" i="13" s="1"/>
  <c r="BN42" i="13" a="1"/>
  <c r="BN42" i="13" s="1"/>
  <c r="BT42" i="13" s="1"/>
  <c r="BJ45" i="13"/>
  <c r="BL45" i="13" s="1"/>
  <c r="BQ45" i="13" s="1" a="1"/>
  <c r="BQ45" i="13" s="1"/>
  <c r="BK14" i="13"/>
  <c r="BJ38" i="13"/>
  <c r="BL38" i="13" s="1"/>
  <c r="BK12" i="13"/>
  <c r="BQ18" i="13" a="1"/>
  <c r="BQ18" i="13" s="1"/>
  <c r="BR18" i="13" a="1"/>
  <c r="BR18" i="13" s="1"/>
  <c r="BR29" i="13" a="1"/>
  <c r="BR29" i="13" s="1"/>
  <c r="BB49" i="13"/>
  <c r="BK47" i="13"/>
  <c r="BB17" i="13"/>
  <c r="BJ29" i="13"/>
  <c r="BL29" i="13" s="1"/>
  <c r="BJ22" i="13"/>
  <c r="BL22" i="13" s="1"/>
  <c r="BK15" i="13"/>
  <c r="BO11" i="13" a="1"/>
  <c r="BO11" i="13" s="1"/>
  <c r="BM11" i="13" a="1"/>
  <c r="BM11" i="13" s="1"/>
  <c r="BN11" i="13" a="1"/>
  <c r="BN11" i="13" s="1"/>
  <c r="BJ47" i="13"/>
  <c r="BL47" i="13" s="1"/>
  <c r="BK31" i="13"/>
  <c r="BQ31" i="13" s="1" a="1"/>
  <c r="BQ31" i="13" s="1"/>
  <c r="BN26" i="13" a="1"/>
  <c r="BN26" i="13" s="1"/>
  <c r="BT26" i="13" s="1"/>
  <c r="BQ29" i="13" a="1"/>
  <c r="BQ29" i="13" s="1"/>
  <c r="BQ32" i="13" a="1"/>
  <c r="BQ32" i="13" s="1"/>
  <c r="BM39" i="13" a="1"/>
  <c r="BM39" i="13" s="1"/>
  <c r="BS39" i="13" s="1"/>
  <c r="BO42" i="13" a="1"/>
  <c r="BO42" i="13" s="1"/>
  <c r="BU37" i="13"/>
  <c r="BR37" i="13" a="1"/>
  <c r="BR37" i="13" s="1"/>
  <c r="BO38" i="13" a="1"/>
  <c r="BO38" i="13" s="1"/>
  <c r="BN38" i="13" a="1"/>
  <c r="BN38" i="13" s="1"/>
  <c r="BT38" i="13" s="1"/>
  <c r="BM38" i="13" a="1"/>
  <c r="BM38" i="13" s="1"/>
  <c r="BS38" i="13" s="1"/>
  <c r="BR36" i="13" a="1"/>
  <c r="BR36" i="13" s="1"/>
  <c r="BQ36" i="13" a="1"/>
  <c r="BQ36" i="13" s="1"/>
  <c r="BO22" i="13" a="1"/>
  <c r="BO22" i="13" s="1"/>
  <c r="BN22" i="13" a="1"/>
  <c r="BN22" i="13" s="1"/>
  <c r="BT22" i="13" s="1"/>
  <c r="BM22" i="13" a="1"/>
  <c r="BM22" i="13" s="1"/>
  <c r="BS22" i="13" s="1"/>
  <c r="AW48" i="13"/>
  <c r="BU47" i="13"/>
  <c r="BK44" i="13"/>
  <c r="BO43" i="13" a="1"/>
  <c r="BO43" i="13" s="1"/>
  <c r="BN43" i="13" a="1"/>
  <c r="BN43" i="13" s="1"/>
  <c r="BT43" i="13" s="1"/>
  <c r="BM43" i="13" a="1"/>
  <c r="BM43" i="13" s="1"/>
  <c r="BS43" i="13" s="1"/>
  <c r="BK42" i="13"/>
  <c r="BK41" i="13"/>
  <c r="BB33" i="13"/>
  <c r="BJ31" i="13"/>
  <c r="BL31" i="13" s="1"/>
  <c r="BK28" i="13"/>
  <c r="BO27" i="13" a="1"/>
  <c r="BO27" i="13" s="1"/>
  <c r="BN27" i="13" a="1"/>
  <c r="BN27" i="13" s="1"/>
  <c r="BT27" i="13" s="1"/>
  <c r="BM27" i="13" a="1"/>
  <c r="BM27" i="13" s="1"/>
  <c r="BS27" i="13" s="1"/>
  <c r="BK26" i="13"/>
  <c r="BK25" i="13"/>
  <c r="BK16" i="13"/>
  <c r="BN24" i="13" a="1"/>
  <c r="BN24" i="13" s="1"/>
  <c r="BT24" i="13" s="1"/>
  <c r="BM24" i="13" a="1"/>
  <c r="BM24" i="13" s="1"/>
  <c r="BS24" i="13" s="1"/>
  <c r="BN12" i="13" a="1"/>
  <c r="BN12" i="13" s="1"/>
  <c r="BO12" i="13" a="1"/>
  <c r="BO12" i="13" s="1"/>
  <c r="BR20" i="13" a="1"/>
  <c r="BR20" i="13" s="1"/>
  <c r="BQ20" i="13" a="1"/>
  <c r="BQ20" i="13" s="1"/>
  <c r="BR15" i="13" a="1"/>
  <c r="BR15" i="13" s="1"/>
  <c r="BQ15" i="13" a="1"/>
  <c r="BQ15" i="13" s="1"/>
  <c r="AW49" i="13"/>
  <c r="BK48" i="13"/>
  <c r="BJ44" i="13"/>
  <c r="BL44" i="13" s="1"/>
  <c r="BJ28" i="13"/>
  <c r="BL28" i="13" s="1"/>
  <c r="AW17" i="13"/>
  <c r="BJ16" i="13"/>
  <c r="BL16" i="13" s="1"/>
  <c r="BQ16" i="13" s="1" a="1"/>
  <c r="BQ16" i="13" s="1"/>
  <c r="BM23" i="13" a="1"/>
  <c r="BM23" i="13" s="1"/>
  <c r="BS23" i="13" s="1"/>
  <c r="BN39" i="13" a="1"/>
  <c r="BN39" i="13" s="1"/>
  <c r="BT39" i="13" s="1"/>
  <c r="BN49" i="13" a="1"/>
  <c r="BN49" i="13" s="1"/>
  <c r="BT49" i="13" s="1"/>
  <c r="AW43" i="13"/>
  <c r="AW27" i="13"/>
  <c r="AW11" i="13"/>
  <c r="BM19" i="13" a="1"/>
  <c r="BM19" i="13" s="1"/>
  <c r="BQ19" i="13" s="1" a="1"/>
  <c r="BQ19" i="13" s="1"/>
  <c r="BM35" i="13" a="1"/>
  <c r="BM35" i="13" s="1"/>
  <c r="BS35" i="13" s="1"/>
  <c r="BM16" i="13" a="1"/>
  <c r="BM16" i="13" s="1"/>
  <c r="BS16" i="13" s="1"/>
  <c r="BN19" i="13" a="1"/>
  <c r="BN19" i="13" s="1"/>
  <c r="BT19" i="13" s="1"/>
  <c r="BM32" i="13" a="1"/>
  <c r="BM32" i="13" s="1"/>
  <c r="BS32" i="13" s="1"/>
  <c r="BN35" i="13" a="1"/>
  <c r="BN35" i="13" s="1"/>
  <c r="BT35" i="13" s="1"/>
  <c r="BM48" i="13" a="1"/>
  <c r="BM48" i="13" s="1"/>
  <c r="BS48" i="13" s="1"/>
  <c r="AM19" i="17"/>
  <c r="AJ20" i="17"/>
  <c r="AJ12" i="17"/>
  <c r="AM18" i="17"/>
  <c r="BK20" i="35"/>
  <c r="BF39" i="35"/>
  <c r="BP13" i="35"/>
  <c r="BF33" i="35"/>
  <c r="BK15" i="35"/>
  <c r="BF23" i="35"/>
  <c r="BK46" i="35"/>
  <c r="BA26" i="35"/>
  <c r="BP42" i="35"/>
  <c r="BF40" i="35"/>
  <c r="BF12" i="35"/>
  <c r="BF42" i="35"/>
  <c r="BK42" i="35"/>
  <c r="BA34" i="35"/>
  <c r="BP27" i="35"/>
  <c r="BK30" i="35"/>
  <c r="BA38" i="35"/>
  <c r="BP25" i="35"/>
  <c r="BA18" i="35"/>
  <c r="BP26" i="35"/>
  <c r="BF15" i="35"/>
  <c r="BU22" i="35" a="1"/>
  <c r="BU22" i="35" s="1"/>
  <c r="BP19" i="35"/>
  <c r="BU19" i="35" s="1" a="1"/>
  <c r="BU19" i="35" s="1"/>
  <c r="BK44" i="35"/>
  <c r="BP36" i="35"/>
  <c r="BK33" i="35"/>
  <c r="BA49" i="35"/>
  <c r="BF28" i="35"/>
  <c r="BP40" i="35"/>
  <c r="BP45" i="35"/>
  <c r="BP47" i="35"/>
  <c r="BP49" i="35"/>
  <c r="BP41" i="35"/>
  <c r="BF37" i="35"/>
  <c r="BA24" i="35"/>
  <c r="BP46" i="35"/>
  <c r="BP43" i="35"/>
  <c r="BP50" i="35"/>
  <c r="BF47" i="35"/>
  <c r="BP32" i="35"/>
  <c r="BA13" i="35"/>
  <c r="BF19" i="35"/>
  <c r="BF14" i="35"/>
  <c r="BP24" i="35"/>
  <c r="BA17" i="35"/>
  <c r="BP17" i="35"/>
  <c r="BA48" i="35"/>
  <c r="BP39" i="35"/>
  <c r="BP22" i="35"/>
  <c r="BA22" i="35"/>
  <c r="BA23" i="35"/>
  <c r="BP23" i="35"/>
  <c r="BP48" i="35"/>
  <c r="BA46" i="35"/>
  <c r="BK34" i="35"/>
  <c r="BP34" i="35"/>
  <c r="BK36" i="35"/>
  <c r="BA33" i="35"/>
  <c r="BP20" i="35"/>
  <c r="BP44" i="35"/>
  <c r="BP35" i="35"/>
  <c r="BP33" i="35"/>
  <c r="BU33" i="35" s="1" a="1"/>
  <c r="BU33" i="35" s="1"/>
  <c r="BP30" i="35"/>
  <c r="BA25" i="35"/>
  <c r="BA41" i="35"/>
  <c r="BP37" i="35"/>
  <c r="BP28" i="35"/>
  <c r="BK12" i="35"/>
  <c r="BP38" i="35"/>
  <c r="BP29" i="35"/>
  <c r="BK28" i="35"/>
  <c r="BP21" i="35"/>
  <c r="BU21" i="35" s="1" a="1"/>
  <c r="BU21" i="35" s="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B18" i="34"/>
  <c r="B20" i="34"/>
  <c r="E15" i="32"/>
  <c r="E12" i="32"/>
  <c r="AF13" i="35" a="1"/>
  <c r="AF13" i="35" s="1"/>
  <c r="AG13" i="35" s="1" a="1"/>
  <c r="AG13" i="35" s="1"/>
  <c r="AF14" i="35" a="1"/>
  <c r="AF14" i="35" s="1"/>
  <c r="AG14" i="35" s="1" a="1"/>
  <c r="AG14" i="35" s="1"/>
  <c r="AF15" i="35" a="1"/>
  <c r="AF15" i="35" s="1"/>
  <c r="AG15" i="35" a="1"/>
  <c r="AG15" i="35" s="1"/>
  <c r="M9" i="1"/>
  <c r="Q9" i="1" s="1"/>
  <c r="Q8" i="32" a="1"/>
  <c r="Q8" i="32" s="1"/>
  <c r="AG14" i="25" a="1"/>
  <c r="AG14" i="25"/>
  <c r="AG15" i="25" a="1"/>
  <c r="AG15" i="25"/>
  <c r="AG16" i="25" a="1"/>
  <c r="AG16" i="25"/>
  <c r="AG17" i="25" a="1"/>
  <c r="AG17" i="25" s="1"/>
  <c r="AG18" i="25" a="1"/>
  <c r="AG18" i="25"/>
  <c r="AG19" i="25" a="1"/>
  <c r="AG19" i="25"/>
  <c r="AG20" i="25" a="1"/>
  <c r="AG20" i="25"/>
  <c r="AG21" i="25" a="1"/>
  <c r="AG21" i="25" s="1"/>
  <c r="AG22" i="25" a="1"/>
  <c r="AG22" i="25"/>
  <c r="AG23" i="25" a="1"/>
  <c r="AG23" i="25"/>
  <c r="AG24" i="25" a="1"/>
  <c r="AG24" i="25"/>
  <c r="AG25" i="25" a="1"/>
  <c r="AG25" i="25" s="1"/>
  <c r="AG26" i="25" a="1"/>
  <c r="AG26" i="25"/>
  <c r="AG27" i="25" a="1"/>
  <c r="AG27" i="25"/>
  <c r="AG28" i="25" a="1"/>
  <c r="AG28" i="25"/>
  <c r="AG29" i="25" a="1"/>
  <c r="AG29" i="25" s="1"/>
  <c r="AG30" i="25" a="1"/>
  <c r="AG30" i="25"/>
  <c r="AG31" i="25" a="1"/>
  <c r="AG31" i="25"/>
  <c r="AG32" i="25" a="1"/>
  <c r="AG32" i="25"/>
  <c r="AG33" i="25" a="1"/>
  <c r="AG33" i="25" s="1"/>
  <c r="AG34" i="25" a="1"/>
  <c r="AG34" i="25"/>
  <c r="AG35" i="25" a="1"/>
  <c r="AG35" i="25"/>
  <c r="AG36" i="25" a="1"/>
  <c r="AG36" i="25"/>
  <c r="AG37" i="25" a="1"/>
  <c r="AG37" i="25" s="1"/>
  <c r="AG38" i="25" a="1"/>
  <c r="AG38" i="25"/>
  <c r="AG39" i="25" a="1"/>
  <c r="AG39" i="25"/>
  <c r="AG40" i="25" a="1"/>
  <c r="AG40" i="25"/>
  <c r="AG41" i="25" a="1"/>
  <c r="AG41" i="25" s="1"/>
  <c r="AG42" i="25" a="1"/>
  <c r="AG42" i="25"/>
  <c r="AG43" i="25" a="1"/>
  <c r="AG43" i="25"/>
  <c r="AG44" i="25" a="1"/>
  <c r="AG44" i="25"/>
  <c r="AG45" i="25" a="1"/>
  <c r="AG45" i="25" s="1"/>
  <c r="AG46" i="25" a="1"/>
  <c r="AG46" i="25"/>
  <c r="AG47" i="25" a="1"/>
  <c r="AG47" i="25"/>
  <c r="AG48" i="25" a="1"/>
  <c r="AG48" i="25"/>
  <c r="AG8" i="25" a="1"/>
  <c r="AG8" i="25" s="1"/>
  <c r="BR9" i="14" a="1"/>
  <c r="BR9" i="14" s="1"/>
  <c r="BR9" i="13" a="1"/>
  <c r="BR9" i="13" s="1"/>
  <c r="BV10" i="35" a="1"/>
  <c r="BV10" i="35" s="1"/>
  <c r="AK8" i="1" a="1"/>
  <c r="AK8" i="1" s="1"/>
  <c r="AE9" i="1"/>
  <c r="AF9" i="1"/>
  <c r="AD10" i="1"/>
  <c r="AE10" i="1"/>
  <c r="AF10" i="1"/>
  <c r="AD11" i="1"/>
  <c r="AE11" i="1"/>
  <c r="AF11" i="1"/>
  <c r="AD12" i="1"/>
  <c r="AE12" i="1"/>
  <c r="AF12" i="1"/>
  <c r="AD13" i="1"/>
  <c r="AE13" i="1"/>
  <c r="AF13" i="1"/>
  <c r="AD14" i="1"/>
  <c r="AE14" i="1"/>
  <c r="AF14" i="1"/>
  <c r="AD15" i="1"/>
  <c r="AE15" i="1"/>
  <c r="AF15" i="1"/>
  <c r="AD16" i="1"/>
  <c r="AE16" i="1"/>
  <c r="AF16" i="1"/>
  <c r="AD17" i="1"/>
  <c r="AE17" i="1"/>
  <c r="AF17" i="1"/>
  <c r="AD18" i="1"/>
  <c r="AE18" i="1"/>
  <c r="AF18" i="1"/>
  <c r="AD19" i="1"/>
  <c r="AE19" i="1"/>
  <c r="AF19" i="1"/>
  <c r="AD20" i="1"/>
  <c r="AE20" i="1"/>
  <c r="AF20" i="1"/>
  <c r="AD21" i="1"/>
  <c r="AE21" i="1"/>
  <c r="AF21" i="1"/>
  <c r="AD22" i="1"/>
  <c r="AE22" i="1"/>
  <c r="AF22" i="1"/>
  <c r="AD23" i="1"/>
  <c r="AE23" i="1"/>
  <c r="AF23" i="1"/>
  <c r="AD24" i="1"/>
  <c r="AE24" i="1"/>
  <c r="AF24" i="1"/>
  <c r="AD25" i="1"/>
  <c r="AE25" i="1"/>
  <c r="AF25" i="1"/>
  <c r="AD26" i="1"/>
  <c r="AE26" i="1"/>
  <c r="AF26" i="1"/>
  <c r="AD27" i="1"/>
  <c r="AE27" i="1"/>
  <c r="AF27" i="1"/>
  <c r="AD28" i="1"/>
  <c r="AE28" i="1"/>
  <c r="AF28" i="1"/>
  <c r="AD29" i="1"/>
  <c r="AE29" i="1"/>
  <c r="AF29" i="1"/>
  <c r="AD30" i="1"/>
  <c r="AE30" i="1"/>
  <c r="AF30" i="1"/>
  <c r="AD31" i="1"/>
  <c r="AE31" i="1"/>
  <c r="AF31" i="1"/>
  <c r="AD32" i="1"/>
  <c r="AE32" i="1"/>
  <c r="AF32" i="1"/>
  <c r="AD33" i="1"/>
  <c r="AE33" i="1"/>
  <c r="AF33" i="1"/>
  <c r="AD34" i="1"/>
  <c r="AE34" i="1"/>
  <c r="AF34" i="1"/>
  <c r="AD35" i="1"/>
  <c r="AE35" i="1"/>
  <c r="AF35" i="1"/>
  <c r="AD36" i="1"/>
  <c r="AE36" i="1"/>
  <c r="AF36" i="1"/>
  <c r="AD37" i="1"/>
  <c r="AE37" i="1"/>
  <c r="AF37" i="1"/>
  <c r="AD38" i="1"/>
  <c r="AE38" i="1"/>
  <c r="AF38" i="1"/>
  <c r="AD39" i="1"/>
  <c r="AE39" i="1"/>
  <c r="AF39" i="1"/>
  <c r="AD40" i="1"/>
  <c r="AE40" i="1"/>
  <c r="AF40" i="1"/>
  <c r="AD41" i="1"/>
  <c r="AE41" i="1"/>
  <c r="AF41" i="1"/>
  <c r="AD42" i="1"/>
  <c r="AE42" i="1"/>
  <c r="AF42" i="1"/>
  <c r="AD43" i="1"/>
  <c r="AE43" i="1"/>
  <c r="AF43" i="1"/>
  <c r="AD44" i="1"/>
  <c r="AE44" i="1"/>
  <c r="AF44" i="1"/>
  <c r="AD45" i="1"/>
  <c r="AE45" i="1"/>
  <c r="AF45" i="1"/>
  <c r="AD46" i="1"/>
  <c r="AE46" i="1"/>
  <c r="AF46" i="1"/>
  <c r="AD47" i="1"/>
  <c r="AE47" i="1"/>
  <c r="AF47" i="1"/>
  <c r="AD48" i="1"/>
  <c r="AE48" i="1"/>
  <c r="AF48" i="1"/>
  <c r="AD49" i="1"/>
  <c r="AE49" i="1"/>
  <c r="AF49" i="1"/>
  <c r="AD50" i="1"/>
  <c r="AE50" i="1"/>
  <c r="AF50" i="1"/>
  <c r="AD51" i="1"/>
  <c r="AE51" i="1"/>
  <c r="AF51" i="1"/>
  <c r="AD52" i="1"/>
  <c r="AE52" i="1"/>
  <c r="AF52" i="1"/>
  <c r="AD53" i="1"/>
  <c r="AE53" i="1"/>
  <c r="AF53" i="1"/>
  <c r="AD54" i="1"/>
  <c r="AE54" i="1"/>
  <c r="AF54" i="1"/>
  <c r="AD55" i="1"/>
  <c r="AE55" i="1"/>
  <c r="AF55" i="1"/>
  <c r="AD56" i="1"/>
  <c r="AE56" i="1"/>
  <c r="AF56" i="1"/>
  <c r="AD57" i="1"/>
  <c r="AE57" i="1"/>
  <c r="AF57" i="1"/>
  <c r="AD58" i="1"/>
  <c r="AE58" i="1"/>
  <c r="AF58" i="1"/>
  <c r="AD59" i="1"/>
  <c r="AE59" i="1"/>
  <c r="AF59" i="1"/>
  <c r="AD60" i="1"/>
  <c r="AE60" i="1"/>
  <c r="AF60" i="1"/>
  <c r="AD61" i="1"/>
  <c r="AE61" i="1"/>
  <c r="AF61" i="1"/>
  <c r="AD62" i="1"/>
  <c r="AE62" i="1"/>
  <c r="AF62" i="1"/>
  <c r="AD63" i="1"/>
  <c r="AE63" i="1"/>
  <c r="AF63" i="1"/>
  <c r="AD64" i="1"/>
  <c r="AE64" i="1"/>
  <c r="AF64" i="1"/>
  <c r="AD65" i="1"/>
  <c r="AE65" i="1"/>
  <c r="AF65" i="1"/>
  <c r="AD66" i="1"/>
  <c r="AE66" i="1"/>
  <c r="AF66" i="1"/>
  <c r="AD67" i="1"/>
  <c r="AE67" i="1"/>
  <c r="AF67" i="1"/>
  <c r="AD68" i="1"/>
  <c r="AE68" i="1"/>
  <c r="AF68" i="1"/>
  <c r="AD9" i="1"/>
  <c r="AA9" i="1"/>
  <c r="BU46" i="35" l="1" a="1"/>
  <c r="BU46" i="35" s="1"/>
  <c r="AB10" i="31" a="1"/>
  <c r="AB10" i="31" s="1"/>
  <c r="AC10" i="31"/>
  <c r="AB14" i="31" a="1"/>
  <c r="AB14" i="31" s="1"/>
  <c r="AC14" i="31"/>
  <c r="AB46" i="31" a="1"/>
  <c r="AB46" i="31" s="1"/>
  <c r="AC46" i="31"/>
  <c r="BU37" i="35" a="1"/>
  <c r="BU37" i="35" s="1"/>
  <c r="BU40" i="35" a="1"/>
  <c r="BU40" i="35" s="1"/>
  <c r="AB26" i="31" a="1"/>
  <c r="AB26" i="31" s="1"/>
  <c r="AC26" i="31"/>
  <c r="BU23" i="35" a="1"/>
  <c r="BU23" i="35" s="1"/>
  <c r="BU29" i="35" a="1"/>
  <c r="BU29" i="35" s="1"/>
  <c r="AB30" i="31" a="1"/>
  <c r="AB30" i="31" s="1"/>
  <c r="AC30" i="31"/>
  <c r="BU45" i="35" a="1"/>
  <c r="BU45" i="35" s="1"/>
  <c r="BU30" i="35" a="1"/>
  <c r="BU30" i="35" s="1"/>
  <c r="AC18" i="31"/>
  <c r="AB42" i="31" a="1"/>
  <c r="AB42" i="31" s="1"/>
  <c r="AC42" i="31"/>
  <c r="AC34" i="31"/>
  <c r="BR35" i="13" a="1"/>
  <c r="BR35" i="13" s="1"/>
  <c r="BU42" i="13"/>
  <c r="BR42" i="13" a="1"/>
  <c r="BR42" i="13" s="1"/>
  <c r="BQ42" i="13" a="1"/>
  <c r="BQ42" i="13" s="1"/>
  <c r="BQ12" i="13" a="1"/>
  <c r="BQ12" i="13" s="1"/>
  <c r="BQ49" i="13" a="1"/>
  <c r="BQ49" i="13" s="1"/>
  <c r="BR41" i="13" a="1"/>
  <c r="BR41" i="13" s="1"/>
  <c r="BQ41" i="13" a="1"/>
  <c r="BQ41" i="13" s="1"/>
  <c r="BU41" i="13"/>
  <c r="BR26" i="13" a="1"/>
  <c r="BR26" i="13" s="1"/>
  <c r="BQ35" i="13" a="1"/>
  <c r="BQ35" i="13" s="1"/>
  <c r="BU40" i="13"/>
  <c r="BR40" i="13" a="1"/>
  <c r="BR40" i="13" s="1"/>
  <c r="BQ40" i="13" a="1"/>
  <c r="BQ40" i="13" s="1"/>
  <c r="BU43" i="13"/>
  <c r="BQ43" i="13" a="1"/>
  <c r="BQ43" i="13" s="1"/>
  <c r="BR43" i="13" a="1"/>
  <c r="BR43" i="13" s="1"/>
  <c r="BU44" i="13"/>
  <c r="BQ44" i="13" a="1"/>
  <c r="BQ44" i="13" s="1"/>
  <c r="BR44" i="13" a="1"/>
  <c r="BR44" i="13" s="1"/>
  <c r="BQ22" i="13" a="1"/>
  <c r="BQ22" i="13" s="1"/>
  <c r="BU22" i="13"/>
  <c r="BR22" i="13" a="1"/>
  <c r="BR22" i="13" s="1"/>
  <c r="BR19" i="13" a="1"/>
  <c r="BR19" i="13" s="1"/>
  <c r="BS19" i="13"/>
  <c r="BR28" i="13" a="1"/>
  <c r="BR28" i="13" s="1"/>
  <c r="BQ28" i="13" a="1"/>
  <c r="BQ28" i="13" s="1"/>
  <c r="BU28" i="13"/>
  <c r="BQ11" i="13" a="1"/>
  <c r="BQ11" i="13" s="1"/>
  <c r="BQ38" i="13" a="1"/>
  <c r="BQ38" i="13" s="1"/>
  <c r="BU38" i="13"/>
  <c r="BR38" i="13" a="1"/>
  <c r="BR38" i="13" s="1"/>
  <c r="BU27" i="13"/>
  <c r="BR27" i="13" a="1"/>
  <c r="BR27" i="13" s="1"/>
  <c r="BQ27" i="13" a="1"/>
  <c r="BQ27" i="13" s="1"/>
  <c r="BR24" i="13" a="1"/>
  <c r="BR24" i="13" s="1"/>
  <c r="BR49" i="13" a="1"/>
  <c r="BR49" i="13" s="1"/>
  <c r="BR25" i="13" a="1"/>
  <c r="BR25" i="13" s="1"/>
  <c r="BQ25" i="13" a="1"/>
  <c r="BQ25" i="13" s="1"/>
  <c r="BU25" i="13"/>
  <c r="BQ48" i="13" a="1"/>
  <c r="BQ48" i="13" s="1"/>
  <c r="BQ24" i="13" a="1"/>
  <c r="BQ24" i="13" s="1"/>
  <c r="BR39" i="13" a="1"/>
  <c r="BR39" i="13" s="1"/>
  <c r="BR48" i="13" a="1"/>
  <c r="BR48" i="13" s="1"/>
  <c r="AM20" i="17"/>
  <c r="BU24" i="35" a="1"/>
  <c r="BU24" i="35" s="1"/>
  <c r="BU47" i="35" a="1"/>
  <c r="BU47" i="35" s="1"/>
  <c r="BX14" i="35"/>
  <c r="BU32" i="35" a="1"/>
  <c r="BU32" i="35" s="1"/>
  <c r="BW15" i="35"/>
  <c r="BX13" i="35"/>
  <c r="BP14" i="35"/>
  <c r="BU43" i="35" a="1"/>
  <c r="BU43" i="35" s="1"/>
  <c r="BW14" i="35"/>
  <c r="BU17" i="35" a="1"/>
  <c r="BU17" i="35" s="1"/>
  <c r="BU38" i="35" a="1"/>
  <c r="BU38" i="35" s="1"/>
  <c r="BW13" i="35"/>
  <c r="BU48" i="35" a="1"/>
  <c r="BU48" i="35" s="1"/>
  <c r="BU44" i="35" a="1"/>
  <c r="BU44" i="35" s="1"/>
  <c r="BU28" i="35" a="1"/>
  <c r="BU28" i="35" s="1"/>
  <c r="BU20" i="35" a="1"/>
  <c r="BU20" i="35" s="1"/>
  <c r="BU25" i="35" a="1"/>
  <c r="BU25" i="35" s="1"/>
  <c r="BU42" i="35" a="1"/>
  <c r="BU42" i="35" s="1"/>
  <c r="BU50" i="35" a="1"/>
  <c r="BU50" i="35" s="1"/>
  <c r="BU39" i="35" a="1"/>
  <c r="BU39" i="35" s="1"/>
  <c r="BU26" i="35" a="1"/>
  <c r="BU26" i="35" s="1"/>
  <c r="BU31" i="35" a="1"/>
  <c r="BU31" i="35" s="1"/>
  <c r="BU49" i="35" a="1"/>
  <c r="BU49" i="35" s="1"/>
  <c r="BU34" i="35" a="1"/>
  <c r="BU34" i="35" s="1"/>
  <c r="BU18" i="35" a="1"/>
  <c r="BU18" i="35" s="1"/>
  <c r="BU35" i="35" a="1"/>
  <c r="BU35" i="35" s="1"/>
  <c r="BX15" i="35"/>
  <c r="BP12" i="35"/>
  <c r="BU36" i="35" a="1"/>
  <c r="BU36" i="35" s="1"/>
  <c r="BU27" i="35" a="1"/>
  <c r="BU27" i="35" s="1"/>
  <c r="BU41" i="35" a="1"/>
  <c r="BU41" i="35" s="1"/>
  <c r="O113" i="23"/>
  <c r="O114" i="23"/>
  <c r="O115" i="23"/>
  <c r="O103" i="23"/>
  <c r="O104" i="23"/>
  <c r="O105" i="23"/>
  <c r="O93" i="23"/>
  <c r="O94" i="23"/>
  <c r="O95" i="23"/>
  <c r="O83" i="23"/>
  <c r="O84" i="23"/>
  <c r="O85" i="23"/>
  <c r="O73" i="23"/>
  <c r="O74" i="23"/>
  <c r="O75" i="23"/>
  <c r="O63" i="23"/>
  <c r="O64" i="23"/>
  <c r="O65" i="23"/>
  <c r="O53" i="23"/>
  <c r="O54" i="23"/>
  <c r="O55" i="23"/>
  <c r="C40" i="23"/>
  <c r="F40" i="23" s="1"/>
  <c r="O44" i="23"/>
  <c r="O45" i="23"/>
  <c r="O76" i="23" l="1"/>
  <c r="O106" i="23"/>
  <c r="O116" i="23"/>
  <c r="O96" i="23"/>
  <c r="O86" i="23"/>
  <c r="O66" i="23"/>
  <c r="O56" i="23"/>
  <c r="L40" i="23"/>
  <c r="H40" i="23"/>
  <c r="E89" i="36"/>
  <c r="F89" i="36"/>
  <c r="G89" i="36"/>
  <c r="H89" i="36"/>
  <c r="E90" i="36"/>
  <c r="F90" i="36"/>
  <c r="G90" i="36"/>
  <c r="H90" i="36"/>
  <c r="E91" i="36"/>
  <c r="F91" i="36"/>
  <c r="G91" i="36"/>
  <c r="H91" i="36"/>
  <c r="E92" i="36"/>
  <c r="F92" i="36"/>
  <c r="G92" i="36"/>
  <c r="H92" i="36"/>
  <c r="H88" i="36"/>
  <c r="G88" i="36"/>
  <c r="F88" i="36"/>
  <c r="E88" i="36"/>
  <c r="E83" i="36"/>
  <c r="F83" i="36"/>
  <c r="G83" i="36"/>
  <c r="H83" i="36"/>
  <c r="E84" i="36"/>
  <c r="F84" i="36"/>
  <c r="G84" i="36"/>
  <c r="H84" i="36"/>
  <c r="E85" i="36"/>
  <c r="F85" i="36"/>
  <c r="G85" i="36"/>
  <c r="H85" i="36"/>
  <c r="E86" i="36"/>
  <c r="F86" i="36"/>
  <c r="G86" i="36"/>
  <c r="H86" i="36"/>
  <c r="G82" i="36"/>
  <c r="H82" i="36"/>
  <c r="F82" i="36"/>
  <c r="E82" i="36"/>
  <c r="H72" i="36"/>
  <c r="H73" i="36"/>
  <c r="H74" i="36"/>
  <c r="H75" i="36"/>
  <c r="H76" i="36"/>
  <c r="H77" i="36"/>
  <c r="H78" i="36"/>
  <c r="H79" i="36"/>
  <c r="H80" i="36"/>
  <c r="H71" i="36"/>
  <c r="E72" i="36"/>
  <c r="F72" i="36"/>
  <c r="E73" i="36"/>
  <c r="F73" i="36"/>
  <c r="E74" i="36"/>
  <c r="F74" i="36"/>
  <c r="E75" i="36"/>
  <c r="F75" i="36"/>
  <c r="E76" i="36"/>
  <c r="F76" i="36"/>
  <c r="E77" i="36"/>
  <c r="F77" i="36"/>
  <c r="E78" i="36"/>
  <c r="F78" i="36"/>
  <c r="E79" i="36"/>
  <c r="F79" i="36"/>
  <c r="E80" i="36"/>
  <c r="F80" i="36"/>
  <c r="F71" i="36"/>
  <c r="E71" i="36"/>
  <c r="E66" i="36"/>
  <c r="F66" i="36"/>
  <c r="G66" i="36"/>
  <c r="H66" i="36"/>
  <c r="I66" i="36"/>
  <c r="E67" i="36"/>
  <c r="F67" i="36"/>
  <c r="G67" i="36"/>
  <c r="H67" i="36"/>
  <c r="I67" i="36"/>
  <c r="E68" i="36"/>
  <c r="F68" i="36"/>
  <c r="G68" i="36"/>
  <c r="H68" i="36"/>
  <c r="I68" i="36"/>
  <c r="E69" i="36"/>
  <c r="F69" i="36"/>
  <c r="G69" i="36"/>
  <c r="H69" i="36"/>
  <c r="I69" i="36"/>
  <c r="I65" i="36"/>
  <c r="H65" i="36"/>
  <c r="G65" i="36"/>
  <c r="F65" i="36"/>
  <c r="E65" i="36"/>
  <c r="E60" i="36"/>
  <c r="F60" i="36"/>
  <c r="G60" i="36"/>
  <c r="H60" i="36"/>
  <c r="I60" i="36"/>
  <c r="E61" i="36"/>
  <c r="F61" i="36"/>
  <c r="G61" i="36"/>
  <c r="H61" i="36"/>
  <c r="I61" i="36"/>
  <c r="E62" i="36"/>
  <c r="F62" i="36"/>
  <c r="G62" i="36"/>
  <c r="H62" i="36"/>
  <c r="I62" i="36"/>
  <c r="E63" i="36"/>
  <c r="F63" i="36"/>
  <c r="G63" i="36"/>
  <c r="H63" i="36"/>
  <c r="I63" i="36"/>
  <c r="K62" i="36"/>
  <c r="K63" i="36"/>
  <c r="G59" i="36"/>
  <c r="H59" i="36"/>
  <c r="I59" i="36"/>
  <c r="F59" i="36"/>
  <c r="E59" i="36"/>
  <c r="E54" i="36"/>
  <c r="F54" i="36"/>
  <c r="G54" i="36"/>
  <c r="H54" i="36"/>
  <c r="I54" i="36"/>
  <c r="E55" i="36"/>
  <c r="F55" i="36"/>
  <c r="G55" i="36"/>
  <c r="H55" i="36"/>
  <c r="I55" i="36"/>
  <c r="E56" i="36"/>
  <c r="F56" i="36"/>
  <c r="G56" i="36"/>
  <c r="H56" i="36"/>
  <c r="I56" i="36"/>
  <c r="E57" i="36"/>
  <c r="F57" i="36"/>
  <c r="G57" i="36"/>
  <c r="H57" i="36"/>
  <c r="I57" i="36"/>
  <c r="I53" i="36"/>
  <c r="H53" i="36"/>
  <c r="G53" i="36"/>
  <c r="F53" i="36"/>
  <c r="E53" i="36"/>
  <c r="I48" i="36"/>
  <c r="I49" i="36"/>
  <c r="I50" i="36"/>
  <c r="I51" i="36"/>
  <c r="I47" i="36"/>
  <c r="H48" i="36"/>
  <c r="H49" i="36"/>
  <c r="H50" i="36"/>
  <c r="H51" i="36"/>
  <c r="H47" i="36"/>
  <c r="G47" i="36"/>
  <c r="F48" i="36"/>
  <c r="F49" i="36"/>
  <c r="F50" i="36"/>
  <c r="F51" i="36"/>
  <c r="F47" i="36"/>
  <c r="E48" i="36"/>
  <c r="E49" i="36"/>
  <c r="E50" i="36"/>
  <c r="E51" i="36"/>
  <c r="E47" i="36"/>
  <c r="C111" i="23"/>
  <c r="F111" i="23" s="1"/>
  <c r="C112" i="23"/>
  <c r="F112" i="23" s="1"/>
  <c r="C110" i="23"/>
  <c r="F110" i="23" s="1"/>
  <c r="C101" i="23"/>
  <c r="F101" i="23" s="1"/>
  <c r="C102" i="23"/>
  <c r="F102" i="23" s="1"/>
  <c r="C100" i="23"/>
  <c r="F100" i="23" s="1"/>
  <c r="C91" i="23"/>
  <c r="F91" i="23" s="1"/>
  <c r="C92" i="23"/>
  <c r="F92" i="23" s="1"/>
  <c r="C90" i="23"/>
  <c r="F90" i="23" s="1"/>
  <c r="C81" i="23"/>
  <c r="F81" i="23" s="1"/>
  <c r="C82" i="23"/>
  <c r="F82" i="23" s="1"/>
  <c r="C80" i="23"/>
  <c r="F80" i="23" s="1"/>
  <c r="C71" i="23"/>
  <c r="F71" i="23" s="1"/>
  <c r="C72" i="23"/>
  <c r="F72" i="23" s="1"/>
  <c r="C70" i="23"/>
  <c r="F70" i="23" s="1"/>
  <c r="C62" i="23"/>
  <c r="F62" i="23" s="1"/>
  <c r="C61" i="23"/>
  <c r="F61" i="23" s="1"/>
  <c r="C60" i="23"/>
  <c r="F60" i="23" s="1"/>
  <c r="C52" i="23"/>
  <c r="F52" i="23" s="1"/>
  <c r="C51" i="23"/>
  <c r="F51" i="23" s="1"/>
  <c r="C50" i="23"/>
  <c r="F50" i="23" s="1"/>
  <c r="C42" i="23"/>
  <c r="D20" i="23"/>
  <c r="F42" i="23" l="1"/>
  <c r="L42" i="23"/>
  <c r="L71" i="23"/>
  <c r="H71" i="23"/>
  <c r="L100" i="23"/>
  <c r="H100" i="23"/>
  <c r="L111" i="23"/>
  <c r="H111" i="23"/>
  <c r="H102" i="23"/>
  <c r="L102" i="23"/>
  <c r="L62" i="23"/>
  <c r="H62" i="23"/>
  <c r="L90" i="23"/>
  <c r="H90" i="23"/>
  <c r="L101" i="23"/>
  <c r="H101" i="23"/>
  <c r="H92" i="23"/>
  <c r="L92" i="23"/>
  <c r="H61" i="23"/>
  <c r="L61" i="23"/>
  <c r="H80" i="23"/>
  <c r="L80" i="23"/>
  <c r="L91" i="23"/>
  <c r="H91" i="23"/>
  <c r="H82" i="23"/>
  <c r="L82" i="23"/>
  <c r="L50" i="23"/>
  <c r="H50" i="23"/>
  <c r="H52" i="23"/>
  <c r="L52" i="23"/>
  <c r="H70" i="23"/>
  <c r="L70" i="23"/>
  <c r="L81" i="23"/>
  <c r="H81" i="23"/>
  <c r="H110" i="23"/>
  <c r="L110" i="23"/>
  <c r="H51" i="23"/>
  <c r="L51" i="23"/>
  <c r="H72" i="23"/>
  <c r="L72" i="23"/>
  <c r="L112" i="23"/>
  <c r="H112" i="23"/>
  <c r="E11" i="32" l="1"/>
  <c r="E14" i="32"/>
  <c r="E16" i="32"/>
  <c r="E18" i="32"/>
  <c r="E19" i="32"/>
  <c r="E20" i="32"/>
  <c r="E21" i="32"/>
  <c r="E22" i="32"/>
  <c r="E23" i="32"/>
  <c r="E24" i="32"/>
  <c r="E25" i="32"/>
  <c r="E26" i="32"/>
  <c r="E27" i="32"/>
  <c r="E28" i="32"/>
  <c r="E29" i="32"/>
  <c r="E30" i="32"/>
  <c r="E31" i="32"/>
  <c r="E32" i="32"/>
  <c r="I9" i="25"/>
  <c r="W9" i="25" s="1"/>
  <c r="AS9" i="14"/>
  <c r="BI9" i="14"/>
  <c r="BK9" i="14"/>
  <c r="BM9" i="14"/>
  <c r="AC9" i="14" a="1"/>
  <c r="AC9" i="14" s="1"/>
  <c r="BL9" i="14" s="1"/>
  <c r="AA9" i="14" a="1"/>
  <c r="AA9" i="14" s="1"/>
  <c r="AE9" i="14" s="1"/>
  <c r="AF9" i="14" s="1"/>
  <c r="BO9" i="14" s="1"/>
  <c r="U10"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BI11" i="14"/>
  <c r="BI12" i="14"/>
  <c r="BI13" i="14"/>
  <c r="BI14" i="14"/>
  <c r="BI15" i="14"/>
  <c r="BI16" i="14"/>
  <c r="BI17" i="14"/>
  <c r="BI18" i="14"/>
  <c r="BI19" i="14"/>
  <c r="BI20" i="14"/>
  <c r="BI21" i="14"/>
  <c r="BI22" i="14"/>
  <c r="BI23" i="14"/>
  <c r="BI24" i="14"/>
  <c r="BI25" i="14"/>
  <c r="BI26" i="14"/>
  <c r="BI27" i="14"/>
  <c r="BI28" i="14"/>
  <c r="BI29" i="14"/>
  <c r="BI30" i="14"/>
  <c r="BI31" i="14"/>
  <c r="BI32" i="14"/>
  <c r="BI33" i="14"/>
  <c r="BI34" i="14"/>
  <c r="BI35" i="14"/>
  <c r="BI36" i="14"/>
  <c r="BI37" i="14"/>
  <c r="BI38" i="14"/>
  <c r="BI39" i="14"/>
  <c r="BI40" i="14"/>
  <c r="BI41" i="14"/>
  <c r="BI42" i="14"/>
  <c r="BI43" i="14"/>
  <c r="BI44" i="14"/>
  <c r="BI45" i="14"/>
  <c r="BI46" i="14"/>
  <c r="BI47" i="14"/>
  <c r="BI48" i="14"/>
  <c r="BI49" i="14"/>
  <c r="BI10" i="14"/>
  <c r="AE17" i="14"/>
  <c r="AE18"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C17" i="14" a="1"/>
  <c r="AC17" i="14" s="1"/>
  <c r="AC18" i="14" a="1"/>
  <c r="AC18" i="14" s="1"/>
  <c r="AC19" i="14" a="1"/>
  <c r="AC19" i="14" s="1"/>
  <c r="AC20" i="14" a="1"/>
  <c r="AC20" i="14" s="1"/>
  <c r="AC21" i="14" a="1"/>
  <c r="AC21" i="14" s="1"/>
  <c r="AC22" i="14" a="1"/>
  <c r="AC22" i="14" s="1"/>
  <c r="AC23" i="14" a="1"/>
  <c r="AC23" i="14" s="1"/>
  <c r="AC24" i="14" a="1"/>
  <c r="AC24" i="14" s="1"/>
  <c r="AC25" i="14" a="1"/>
  <c r="AC25" i="14" s="1"/>
  <c r="AC26" i="14" a="1"/>
  <c r="AC26" i="14" s="1"/>
  <c r="AC27" i="14" a="1"/>
  <c r="AC27" i="14" s="1"/>
  <c r="AC28" i="14" a="1"/>
  <c r="AC28" i="14" s="1"/>
  <c r="AC29" i="14" a="1"/>
  <c r="AC29" i="14" s="1"/>
  <c r="AC30" i="14" a="1"/>
  <c r="AC30" i="14" s="1"/>
  <c r="AC31" i="14" a="1"/>
  <c r="AC31" i="14" s="1"/>
  <c r="AC32" i="14" a="1"/>
  <c r="AC32" i="14" s="1"/>
  <c r="AC33" i="14" a="1"/>
  <c r="AC33" i="14" s="1"/>
  <c r="AC34" i="14" a="1"/>
  <c r="AC34" i="14" s="1"/>
  <c r="AC35" i="14" a="1"/>
  <c r="AC35" i="14" s="1"/>
  <c r="AC36" i="14" a="1"/>
  <c r="AC36" i="14" s="1"/>
  <c r="AC37" i="14" a="1"/>
  <c r="AC37" i="14" s="1"/>
  <c r="AC38" i="14" a="1"/>
  <c r="AC38" i="14" s="1"/>
  <c r="AC39" i="14" a="1"/>
  <c r="AC39" i="14" s="1"/>
  <c r="AC40" i="14" a="1"/>
  <c r="AC40" i="14" s="1"/>
  <c r="AC41" i="14" a="1"/>
  <c r="AC41" i="14" s="1"/>
  <c r="AC42" i="14" a="1"/>
  <c r="AC42" i="14" s="1"/>
  <c r="AC43" i="14" a="1"/>
  <c r="AC43" i="14" s="1"/>
  <c r="AC44" i="14" a="1"/>
  <c r="AC44" i="14" s="1"/>
  <c r="AC45" i="14" a="1"/>
  <c r="AC45" i="14" s="1"/>
  <c r="AC46" i="14" a="1"/>
  <c r="AC46" i="14" s="1"/>
  <c r="AC47" i="14" a="1"/>
  <c r="AC47" i="14" s="1"/>
  <c r="AC48" i="14" a="1"/>
  <c r="AC48" i="14" s="1"/>
  <c r="AC49" i="14" a="1"/>
  <c r="AC49" i="14" s="1"/>
  <c r="AC10" i="14" a="1"/>
  <c r="AC10" i="14" s="1"/>
  <c r="AA17" i="14" a="1"/>
  <c r="AA17" i="14" s="1"/>
  <c r="AA18" i="14" a="1"/>
  <c r="AA18" i="14" s="1"/>
  <c r="AA19" i="14" a="1"/>
  <c r="AA19" i="14" s="1"/>
  <c r="AA20" i="14" a="1"/>
  <c r="AA20" i="14" s="1"/>
  <c r="AA21" i="14" a="1"/>
  <c r="AA21" i="14" s="1"/>
  <c r="AA22" i="14" a="1"/>
  <c r="AA22" i="14" s="1"/>
  <c r="AA23" i="14" a="1"/>
  <c r="AA23" i="14" s="1"/>
  <c r="AA24" i="14" a="1"/>
  <c r="AA24" i="14" s="1"/>
  <c r="AA25" i="14" a="1"/>
  <c r="AA25" i="14" s="1"/>
  <c r="AA26" i="14" a="1"/>
  <c r="AA26" i="14" s="1"/>
  <c r="AA27" i="14" a="1"/>
  <c r="AA27" i="14" s="1"/>
  <c r="AA28" i="14" a="1"/>
  <c r="AA28" i="14" s="1"/>
  <c r="AA29" i="14" a="1"/>
  <c r="AA29" i="14" s="1"/>
  <c r="AA30" i="14" a="1"/>
  <c r="AA30" i="14" s="1"/>
  <c r="AA31" i="14" a="1"/>
  <c r="AA31" i="14" s="1"/>
  <c r="AA32" i="14" a="1"/>
  <c r="AA32" i="14" s="1"/>
  <c r="AA33" i="14" a="1"/>
  <c r="AA33" i="14"/>
  <c r="AA34" i="14" a="1"/>
  <c r="AA34" i="14" s="1"/>
  <c r="AA35" i="14" a="1"/>
  <c r="AA35" i="14" s="1"/>
  <c r="AA36" i="14" a="1"/>
  <c r="AA36" i="14" s="1"/>
  <c r="AA37" i="14" a="1"/>
  <c r="AA37" i="14" s="1"/>
  <c r="AA38" i="14" a="1"/>
  <c r="AA38" i="14" s="1"/>
  <c r="AA39" i="14" a="1"/>
  <c r="AA39" i="14" s="1"/>
  <c r="AA40" i="14" a="1"/>
  <c r="AA40" i="14" s="1"/>
  <c r="AA41" i="14" a="1"/>
  <c r="AA41" i="14" s="1"/>
  <c r="AA42" i="14" a="1"/>
  <c r="AA42" i="14" s="1"/>
  <c r="AA43" i="14" a="1"/>
  <c r="AA43" i="14" s="1"/>
  <c r="AA44" i="14" a="1"/>
  <c r="AA44" i="14" s="1"/>
  <c r="AA45" i="14" a="1"/>
  <c r="AA45" i="14" s="1"/>
  <c r="AA46" i="14" a="1"/>
  <c r="AA46" i="14" s="1"/>
  <c r="AA47" i="14" a="1"/>
  <c r="AA47" i="14" s="1"/>
  <c r="AA48" i="14" a="1"/>
  <c r="AA48" i="14" s="1"/>
  <c r="AA49" i="14" a="1"/>
  <c r="AA49" i="14" s="1"/>
  <c r="AA10" i="14" a="1"/>
  <c r="AA10" i="14" s="1"/>
  <c r="AE10" i="14" s="1"/>
  <c r="AA10"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BN9" i="14" l="1"/>
  <c r="BS9" i="14" s="1" a="1"/>
  <c r="BS9" i="14" s="1"/>
  <c r="BJ9" i="14"/>
  <c r="F25" i="36" l="1"/>
  <c r="E9" i="36"/>
  <c r="L14" i="36"/>
  <c r="J14" i="36"/>
  <c r="H14" i="36"/>
  <c r="F14" i="36"/>
  <c r="L12" i="36"/>
  <c r="J12" i="36"/>
  <c r="F12" i="36"/>
  <c r="H12" i="36"/>
  <c r="E16" i="36"/>
  <c r="D18" i="34"/>
  <c r="G18" i="34"/>
  <c r="C20" i="34"/>
  <c r="D20" i="34"/>
  <c r="F20" i="34"/>
  <c r="G20" i="34"/>
  <c r="T24" i="23" l="1"/>
  <c r="X9" i="17" l="1"/>
  <c r="Y9" i="17"/>
  <c r="Z9" i="17"/>
  <c r="AA9" i="17"/>
  <c r="AB9" i="17"/>
  <c r="AC9" i="17"/>
  <c r="W9" i="17"/>
  <c r="G20" i="23" l="1"/>
  <c r="M9" i="25"/>
  <c r="AA9" i="25" s="1"/>
  <c r="AB9" i="25" s="1"/>
  <c r="AE9" i="25" s="1"/>
  <c r="BT12" i="14"/>
  <c r="BT13" i="14"/>
  <c r="BT14" i="14"/>
  <c r="BT15" i="14"/>
  <c r="BT16" i="14"/>
  <c r="BT17" i="14"/>
  <c r="BT18" i="14"/>
  <c r="BT19" i="14"/>
  <c r="BT20" i="14"/>
  <c r="BT21" i="14"/>
  <c r="BT22" i="14"/>
  <c r="BT23" i="14"/>
  <c r="BT24" i="14"/>
  <c r="BT25" i="14"/>
  <c r="BT26" i="14"/>
  <c r="BT27" i="14"/>
  <c r="BT28" i="14"/>
  <c r="BT29" i="14"/>
  <c r="BT30" i="14"/>
  <c r="BT31" i="14"/>
  <c r="BT32" i="14"/>
  <c r="BT33" i="14"/>
  <c r="BT34" i="14"/>
  <c r="BT35" i="14"/>
  <c r="BT36" i="14"/>
  <c r="BT37" i="14"/>
  <c r="BT38" i="14"/>
  <c r="BT39" i="14"/>
  <c r="BT40" i="14"/>
  <c r="BT41" i="14"/>
  <c r="BT42" i="14"/>
  <c r="BT43" i="14"/>
  <c r="BT44" i="14"/>
  <c r="BT45" i="14"/>
  <c r="BT46" i="14"/>
  <c r="BT47" i="14"/>
  <c r="BT48" i="14"/>
  <c r="BT49" i="14"/>
  <c r="BL10" i="14"/>
  <c r="BJ10" i="14"/>
  <c r="AM10" i="14"/>
  <c r="AN10" i="14"/>
  <c r="AO10" i="14"/>
  <c r="AP10" i="14"/>
  <c r="AQ10" i="14"/>
  <c r="AE50" i="14" l="1"/>
  <c r="AG50" i="35" l="1" a="1"/>
  <c r="AG50" i="35" s="1"/>
  <c r="BX50" i="35" s="1"/>
  <c r="AF50" i="35" a="1"/>
  <c r="AF50" i="35" s="1"/>
  <c r="BW50" i="35" s="1"/>
  <c r="AD50" i="35"/>
  <c r="Y50" i="35"/>
  <c r="T50" i="35"/>
  <c r="AG49" i="35" a="1"/>
  <c r="AG49" i="35" s="1"/>
  <c r="BX49" i="35" s="1"/>
  <c r="AF49" i="35" a="1"/>
  <c r="AF49" i="35" s="1"/>
  <c r="BW49" i="35" s="1"/>
  <c r="AD49" i="35"/>
  <c r="Y49" i="35"/>
  <c r="T49" i="35"/>
  <c r="AG48" i="35" a="1"/>
  <c r="AG48" i="35" s="1"/>
  <c r="BX48" i="35" s="1"/>
  <c r="AF48" i="35" a="1"/>
  <c r="AF48" i="35" s="1"/>
  <c r="BW48" i="35" s="1"/>
  <c r="AD48" i="35"/>
  <c r="Y48" i="35"/>
  <c r="T48" i="35"/>
  <c r="AG47" i="35" a="1"/>
  <c r="AG47" i="35" s="1"/>
  <c r="BX47" i="35" s="1"/>
  <c r="AF47" i="35" a="1"/>
  <c r="AF47" i="35" s="1"/>
  <c r="BW47" i="35" s="1"/>
  <c r="AD47" i="35"/>
  <c r="Y47" i="35"/>
  <c r="T47" i="35"/>
  <c r="AG46" i="35" a="1"/>
  <c r="AG46" i="35" s="1"/>
  <c r="BX46" i="35" s="1"/>
  <c r="AF46" i="35" a="1"/>
  <c r="AF46" i="35" s="1"/>
  <c r="BW46" i="35" s="1"/>
  <c r="AD46" i="35"/>
  <c r="Y46" i="35"/>
  <c r="T46" i="35"/>
  <c r="AG45" i="35" a="1"/>
  <c r="AG45" i="35" s="1"/>
  <c r="BX45" i="35" s="1"/>
  <c r="AF45" i="35" a="1"/>
  <c r="AF45" i="35" s="1"/>
  <c r="BW45" i="35" s="1"/>
  <c r="AD45" i="35"/>
  <c r="Y45" i="35"/>
  <c r="T45" i="35"/>
  <c r="AG44" i="35" a="1"/>
  <c r="AG44" i="35" s="1"/>
  <c r="BX44" i="35" s="1"/>
  <c r="AF44" i="35" a="1"/>
  <c r="AF44" i="35" s="1"/>
  <c r="BW44" i="35" s="1"/>
  <c r="AD44" i="35"/>
  <c r="Y44" i="35"/>
  <c r="T44" i="35"/>
  <c r="AG43" i="35" a="1"/>
  <c r="AG43" i="35" s="1"/>
  <c r="BX43" i="35" s="1"/>
  <c r="AF43" i="35" a="1"/>
  <c r="AF43" i="35" s="1"/>
  <c r="BW43" i="35" s="1"/>
  <c r="AD43" i="35"/>
  <c r="Y43" i="35"/>
  <c r="T43" i="35"/>
  <c r="AG42" i="35" a="1"/>
  <c r="AG42" i="35" s="1"/>
  <c r="BX42" i="35" s="1"/>
  <c r="AF42" i="35" a="1"/>
  <c r="AF42" i="35" s="1"/>
  <c r="BW42" i="35" s="1"/>
  <c r="AD42" i="35"/>
  <c r="Y42" i="35"/>
  <c r="T42" i="35"/>
  <c r="AG41" i="35" a="1"/>
  <c r="AG41" i="35" s="1"/>
  <c r="BX41" i="35" s="1"/>
  <c r="AF41" i="35" a="1"/>
  <c r="AF41" i="35" s="1"/>
  <c r="BW41" i="35" s="1"/>
  <c r="AD41" i="35"/>
  <c r="Y41" i="35"/>
  <c r="T41" i="35"/>
  <c r="AG40" i="35" a="1"/>
  <c r="AG40" i="35" s="1"/>
  <c r="BX40" i="35" s="1"/>
  <c r="AF40" i="35" a="1"/>
  <c r="AF40" i="35" s="1"/>
  <c r="BW40" i="35" s="1"/>
  <c r="AD40" i="35"/>
  <c r="Y40" i="35"/>
  <c r="T40" i="35"/>
  <c r="AG39" i="35" a="1"/>
  <c r="AG39" i="35" s="1"/>
  <c r="BX39" i="35" s="1"/>
  <c r="AF39" i="35" a="1"/>
  <c r="AF39" i="35" s="1"/>
  <c r="BW39" i="35" s="1"/>
  <c r="AD39" i="35"/>
  <c r="Y39" i="35"/>
  <c r="T39" i="35"/>
  <c r="AG38" i="35" a="1"/>
  <c r="AG38" i="35" s="1"/>
  <c r="BX38" i="35" s="1"/>
  <c r="AF38" i="35" a="1"/>
  <c r="AF38" i="35" s="1"/>
  <c r="BW38" i="35" s="1"/>
  <c r="AD38" i="35"/>
  <c r="Y38" i="35"/>
  <c r="T38" i="35"/>
  <c r="AG37" i="35" a="1"/>
  <c r="AG37" i="35" s="1"/>
  <c r="BX37" i="35" s="1"/>
  <c r="AF37" i="35" a="1"/>
  <c r="AF37" i="35" s="1"/>
  <c r="BW37" i="35" s="1"/>
  <c r="AD37" i="35"/>
  <c r="Y37" i="35"/>
  <c r="T37" i="35"/>
  <c r="AG36" i="35" a="1"/>
  <c r="AG36" i="35" s="1"/>
  <c r="BX36" i="35" s="1"/>
  <c r="AF36" i="35" a="1"/>
  <c r="AF36" i="35" s="1"/>
  <c r="BW36" i="35" s="1"/>
  <c r="AD36" i="35"/>
  <c r="Y36" i="35"/>
  <c r="T36" i="35"/>
  <c r="AG35" i="35" a="1"/>
  <c r="AG35" i="35" s="1"/>
  <c r="BX35" i="35" s="1"/>
  <c r="AF35" i="35" a="1"/>
  <c r="AF35" i="35" s="1"/>
  <c r="BW35" i="35" s="1"/>
  <c r="AD35" i="35"/>
  <c r="Y35" i="35"/>
  <c r="T35" i="35"/>
  <c r="AG34" i="35" a="1"/>
  <c r="AG34" i="35" s="1"/>
  <c r="BX34" i="35" s="1"/>
  <c r="AF34" i="35" a="1"/>
  <c r="AF34" i="35" s="1"/>
  <c r="BW34" i="35" s="1"/>
  <c r="AD34" i="35"/>
  <c r="Y34" i="35"/>
  <c r="T34" i="35"/>
  <c r="AG33" i="35" a="1"/>
  <c r="AG33" i="35" s="1"/>
  <c r="BX33" i="35" s="1"/>
  <c r="AF33" i="35" a="1"/>
  <c r="AF33" i="35" s="1"/>
  <c r="BW33" i="35" s="1"/>
  <c r="AD33" i="35"/>
  <c r="Y33" i="35"/>
  <c r="T33" i="35"/>
  <c r="AG32" i="35" a="1"/>
  <c r="AG32" i="35" s="1"/>
  <c r="BX32" i="35" s="1"/>
  <c r="AF32" i="35" a="1"/>
  <c r="AF32" i="35" s="1"/>
  <c r="BW32" i="35" s="1"/>
  <c r="AD32" i="35"/>
  <c r="Y32" i="35"/>
  <c r="T32" i="35"/>
  <c r="AG31" i="35" a="1"/>
  <c r="AG31" i="35" s="1"/>
  <c r="BX31" i="35" s="1"/>
  <c r="AF31" i="35" a="1"/>
  <c r="AF31" i="35" s="1"/>
  <c r="BW31" i="35" s="1"/>
  <c r="AD31" i="35"/>
  <c r="Y31" i="35"/>
  <c r="T31" i="35"/>
  <c r="AG30" i="35" a="1"/>
  <c r="AG30" i="35" s="1"/>
  <c r="BX30" i="35" s="1"/>
  <c r="AF30" i="35" a="1"/>
  <c r="AF30" i="35" s="1"/>
  <c r="BW30" i="35" s="1"/>
  <c r="AD30" i="35"/>
  <c r="Y30" i="35"/>
  <c r="T30" i="35"/>
  <c r="AG29" i="35" a="1"/>
  <c r="AG29" i="35" s="1"/>
  <c r="BX29" i="35" s="1"/>
  <c r="AF29" i="35" a="1"/>
  <c r="AF29" i="35" s="1"/>
  <c r="BW29" i="35" s="1"/>
  <c r="AD29" i="35"/>
  <c r="Y29" i="35"/>
  <c r="T29" i="35"/>
  <c r="AG28" i="35" a="1"/>
  <c r="AG28" i="35" s="1"/>
  <c r="BX28" i="35" s="1"/>
  <c r="AF28" i="35" a="1"/>
  <c r="AF28" i="35" s="1"/>
  <c r="BW28" i="35" s="1"/>
  <c r="AD28" i="35"/>
  <c r="Y28" i="35"/>
  <c r="T28" i="35"/>
  <c r="AG27" i="35" a="1"/>
  <c r="AG27" i="35" s="1"/>
  <c r="BX27" i="35" s="1"/>
  <c r="AF27" i="35" a="1"/>
  <c r="AF27" i="35" s="1"/>
  <c r="BW27" i="35" s="1"/>
  <c r="AD27" i="35"/>
  <c r="Y27" i="35"/>
  <c r="T27" i="35"/>
  <c r="AG26" i="35" a="1"/>
  <c r="AG26" i="35" s="1"/>
  <c r="BX26" i="35" s="1"/>
  <c r="AF26" i="35" a="1"/>
  <c r="AF26" i="35" s="1"/>
  <c r="BW26" i="35" s="1"/>
  <c r="AD26" i="35"/>
  <c r="Y26" i="35"/>
  <c r="T26" i="35"/>
  <c r="AG25" i="35" a="1"/>
  <c r="AG25" i="35" s="1"/>
  <c r="BX25" i="35" s="1"/>
  <c r="AF25" i="35" a="1"/>
  <c r="AF25" i="35" s="1"/>
  <c r="BW25" i="35" s="1"/>
  <c r="AD25" i="35"/>
  <c r="Y25" i="35"/>
  <c r="T25" i="35"/>
  <c r="AG24" i="35" a="1"/>
  <c r="AG24" i="35" s="1"/>
  <c r="BX24" i="35" s="1"/>
  <c r="AF24" i="35" a="1"/>
  <c r="AF24" i="35" s="1"/>
  <c r="BW24" i="35" s="1"/>
  <c r="AD24" i="35"/>
  <c r="Y24" i="35"/>
  <c r="T24" i="35"/>
  <c r="AG23" i="35" a="1"/>
  <c r="AG23" i="35" s="1"/>
  <c r="BX23" i="35" s="1"/>
  <c r="AF23" i="35" a="1"/>
  <c r="AF23" i="35" s="1"/>
  <c r="BW23" i="35" s="1"/>
  <c r="AD23" i="35"/>
  <c r="Y23" i="35"/>
  <c r="T23" i="35"/>
  <c r="AG22" i="35" a="1"/>
  <c r="AG22" i="35" s="1"/>
  <c r="BX22" i="35" s="1"/>
  <c r="AF22" i="35" a="1"/>
  <c r="AF22" i="35" s="1"/>
  <c r="BW22" i="35" s="1"/>
  <c r="AD22" i="35"/>
  <c r="Y22" i="35"/>
  <c r="T22" i="35"/>
  <c r="AG21" i="35" a="1"/>
  <c r="AG21" i="35" s="1"/>
  <c r="BX21" i="35" s="1"/>
  <c r="AF21" i="35" a="1"/>
  <c r="AF21" i="35" s="1"/>
  <c r="BW21" i="35" s="1"/>
  <c r="AD21" i="35"/>
  <c r="Y21" i="35"/>
  <c r="T21" i="35"/>
  <c r="AG20" i="35" a="1"/>
  <c r="AG20" i="35" s="1"/>
  <c r="BX20" i="35" s="1"/>
  <c r="AF20" i="35" a="1"/>
  <c r="AF20" i="35" s="1"/>
  <c r="BW20" i="35" s="1"/>
  <c r="AD20" i="35"/>
  <c r="Y20" i="35"/>
  <c r="T20" i="35"/>
  <c r="AG19" i="35" a="1"/>
  <c r="AG19" i="35" s="1"/>
  <c r="BX19" i="35" s="1"/>
  <c r="AF19" i="35" a="1"/>
  <c r="AF19" i="35" s="1"/>
  <c r="BW19" i="35" s="1"/>
  <c r="AD19" i="35"/>
  <c r="Y19" i="35"/>
  <c r="T19" i="35"/>
  <c r="AG18" i="35" a="1"/>
  <c r="AG18" i="35" s="1"/>
  <c r="BX18" i="35" s="1"/>
  <c r="AF18" i="35" a="1"/>
  <c r="AF18" i="35" s="1"/>
  <c r="BW18" i="35" s="1"/>
  <c r="AD18" i="35"/>
  <c r="Y18" i="35"/>
  <c r="AG17" i="35" a="1"/>
  <c r="AG17" i="35" s="1"/>
  <c r="BX17" i="35" s="1"/>
  <c r="AF17" i="35" a="1"/>
  <c r="AF17" i="35" s="1"/>
  <c r="BW17" i="35" s="1"/>
  <c r="AD17" i="35"/>
  <c r="Y17" i="35"/>
  <c r="T17" i="35"/>
  <c r="AG16" i="35" a="1"/>
  <c r="AG16" i="35" s="1"/>
  <c r="BX16" i="35" s="1"/>
  <c r="AF16" i="35" a="1"/>
  <c r="AF16" i="35" s="1"/>
  <c r="BW16" i="35" s="1"/>
  <c r="AD16" i="35"/>
  <c r="Y16" i="35"/>
  <c r="T16" i="35"/>
  <c r="AD15" i="35"/>
  <c r="Y15" i="35"/>
  <c r="T15" i="35"/>
  <c r="AD14" i="35"/>
  <c r="Y14" i="35"/>
  <c r="T14" i="35"/>
  <c r="AD13" i="35"/>
  <c r="Y13" i="35"/>
  <c r="T13" i="35"/>
  <c r="AF12" i="35" a="1"/>
  <c r="AF12" i="35" s="1"/>
  <c r="AD12" i="35"/>
  <c r="Y12" i="35"/>
  <c r="T12" i="35"/>
  <c r="BL11" i="35"/>
  <c r="AJ11" i="35"/>
  <c r="AF11" i="35" a="1"/>
  <c r="AF11" i="35" s="1"/>
  <c r="AG12" i="35" l="1" a="1"/>
  <c r="AG12" i="35" s="1"/>
  <c r="BX12" i="35" s="1"/>
  <c r="BW12" i="35"/>
  <c r="AH13" i="35" a="1"/>
  <c r="AH13" i="35" s="1"/>
  <c r="AH30" i="35" a="1"/>
  <c r="AH30" i="35" s="1"/>
  <c r="AH15" i="35" a="1"/>
  <c r="AH15" i="35" s="1"/>
  <c r="AH14" i="35" a="1"/>
  <c r="AH14" i="35" s="1"/>
  <c r="BK11" i="35"/>
  <c r="AH43" i="35" a="1"/>
  <c r="AH43" i="35" s="1"/>
  <c r="AH34" i="35" a="1"/>
  <c r="AH34" i="35" s="1"/>
  <c r="AH47" i="35" a="1"/>
  <c r="AH47" i="35" s="1"/>
  <c r="AH23" i="35" a="1"/>
  <c r="AH23" i="35" s="1"/>
  <c r="AH19" i="35" a="1"/>
  <c r="AH19" i="35" s="1"/>
  <c r="AH49" i="35" a="1"/>
  <c r="AH49" i="35" s="1"/>
  <c r="AH18" i="35" a="1"/>
  <c r="AH18" i="35" s="1"/>
  <c r="AH27" i="35" a="1"/>
  <c r="AH27" i="35" s="1"/>
  <c r="AH24" i="35" a="1"/>
  <c r="AH24" i="35" s="1"/>
  <c r="AH45" i="35" a="1"/>
  <c r="AH45" i="35" s="1"/>
  <c r="AH28" i="35" a="1"/>
  <c r="AH28" i="35" s="1"/>
  <c r="AH25" i="35" a="1"/>
  <c r="AH25" i="35" s="1"/>
  <c r="AH39" i="35" a="1"/>
  <c r="AH39" i="35" s="1"/>
  <c r="AH22" i="35" a="1"/>
  <c r="AH22" i="35" s="1"/>
  <c r="AH20" i="35" a="1"/>
  <c r="AH20" i="35" s="1"/>
  <c r="AH26" i="35" a="1"/>
  <c r="AH26" i="35" s="1"/>
  <c r="AH31" i="35" a="1"/>
  <c r="AH31" i="35" s="1"/>
  <c r="AH17" i="35" a="1"/>
  <c r="AH17" i="35" s="1"/>
  <c r="AH38" i="35" a="1"/>
  <c r="AH38" i="35" s="1"/>
  <c r="AH16" i="35" a="1"/>
  <c r="AH16" i="35" s="1"/>
  <c r="AH37" i="35" a="1"/>
  <c r="AH37" i="35" s="1"/>
  <c r="BF11" i="35"/>
  <c r="AG11" i="35" a="1"/>
  <c r="AG11" i="35" s="1"/>
  <c r="AH11" i="35" a="1"/>
  <c r="AH11" i="35" s="1"/>
  <c r="AG51" i="35"/>
  <c r="AH12" i="35" a="1"/>
  <c r="AH12" i="35" s="1"/>
  <c r="AH21" i="35" a="1"/>
  <c r="AH21" i="35" s="1"/>
  <c r="AH29" i="35" a="1"/>
  <c r="AH29" i="35" s="1"/>
  <c r="AH32" i="35" a="1"/>
  <c r="AH32" i="35" s="1"/>
  <c r="AH35" i="35" a="1"/>
  <c r="AH35" i="35" s="1"/>
  <c r="AH36" i="35" a="1"/>
  <c r="AH36" i="35" s="1"/>
  <c r="AH33" i="35" a="1"/>
  <c r="AH33" i="35" s="1"/>
  <c r="AH41" i="35" a="1"/>
  <c r="AH41" i="35" s="1"/>
  <c r="AH42" i="35" a="1"/>
  <c r="AH42" i="35" s="1"/>
  <c r="AH46" i="35" a="1"/>
  <c r="AH46" i="35" s="1"/>
  <c r="AH50" i="35" a="1"/>
  <c r="AH50" i="35" s="1"/>
  <c r="AH40" i="35" a="1"/>
  <c r="AH40" i="35" s="1"/>
  <c r="AH44" i="35" a="1"/>
  <c r="AH44" i="35" s="1"/>
  <c r="AH48" i="35" a="1"/>
  <c r="AH48" i="35" s="1"/>
  <c r="BY27" i="35" l="1"/>
  <c r="BV27" i="35" a="1"/>
  <c r="BV27" i="35" s="1"/>
  <c r="BY50" i="35"/>
  <c r="BV50" i="35" a="1"/>
  <c r="BV50" i="35" s="1"/>
  <c r="BV43" i="35" a="1"/>
  <c r="BV43" i="35" s="1"/>
  <c r="BY43" i="35"/>
  <c r="BY40" i="35"/>
  <c r="BV40" i="35" a="1"/>
  <c r="BV40" i="35" s="1"/>
  <c r="BY38" i="35"/>
  <c r="BV38" i="35" a="1"/>
  <c r="BV38" i="35" s="1"/>
  <c r="BY41" i="35"/>
  <c r="BV41" i="35" a="1"/>
  <c r="BV41" i="35" s="1"/>
  <c r="BY26" i="35"/>
  <c r="BV26" i="35" a="1"/>
  <c r="BV26" i="35" s="1"/>
  <c r="BY14" i="35"/>
  <c r="BY44" i="35"/>
  <c r="BV44" i="35" a="1"/>
  <c r="BV44" i="35" s="1"/>
  <c r="BY16" i="35"/>
  <c r="BV16" i="35" a="1"/>
  <c r="BV16" i="35" s="1"/>
  <c r="BV42" i="35" a="1"/>
  <c r="BV42" i="35" s="1"/>
  <c r="BY42" i="35"/>
  <c r="BV31" i="35" a="1"/>
  <c r="BV31" i="35" s="1"/>
  <c r="BY31" i="35"/>
  <c r="BV35" i="35" a="1"/>
  <c r="BV35" i="35" s="1"/>
  <c r="BY35" i="35"/>
  <c r="BY22" i="35"/>
  <c r="BV22" i="35" a="1"/>
  <c r="BV22" i="35" s="1"/>
  <c r="BY39" i="35"/>
  <c r="BV39" i="35" a="1"/>
  <c r="BV39" i="35" s="1"/>
  <c r="BY15" i="35"/>
  <c r="BV19" i="35" a="1"/>
  <c r="BV19" i="35" s="1"/>
  <c r="BY19" i="35"/>
  <c r="BY17" i="35"/>
  <c r="BV17" i="35" a="1"/>
  <c r="BV17" i="35" s="1"/>
  <c r="BV34" i="35" a="1"/>
  <c r="BV34" i="35" s="1"/>
  <c r="BY34" i="35"/>
  <c r="BV32" i="35" a="1"/>
  <c r="BV32" i="35" s="1"/>
  <c r="BY32" i="35"/>
  <c r="BY21" i="35"/>
  <c r="BV21" i="35" a="1"/>
  <c r="BV21" i="35" s="1"/>
  <c r="BY25" i="35"/>
  <c r="BV25" i="35" a="1"/>
  <c r="BV25" i="35" s="1"/>
  <c r="BV30" i="35" a="1"/>
  <c r="BV30" i="35" s="1"/>
  <c r="BY30" i="35"/>
  <c r="BY18" i="35"/>
  <c r="BV18" i="35" a="1"/>
  <c r="BV18" i="35" s="1"/>
  <c r="BY46" i="35"/>
  <c r="BV46" i="35" a="1"/>
  <c r="BV46" i="35" s="1"/>
  <c r="BY47" i="35"/>
  <c r="BV47" i="35" a="1"/>
  <c r="BV47" i="35" s="1"/>
  <c r="BY36" i="35"/>
  <c r="BV36" i="35" a="1"/>
  <c r="BV36" i="35" s="1"/>
  <c r="BY12" i="35"/>
  <c r="BY13" i="35"/>
  <c r="BY49" i="35"/>
  <c r="BV49" i="35" a="1"/>
  <c r="BV49" i="35" s="1"/>
  <c r="BV23" i="35" a="1"/>
  <c r="BV23" i="35" s="1"/>
  <c r="BY23" i="35"/>
  <c r="BY33" i="35"/>
  <c r="BV33" i="35" a="1"/>
  <c r="BV33" i="35" s="1"/>
  <c r="BV20" i="35" a="1"/>
  <c r="BV20" i="35" s="1"/>
  <c r="BY20" i="35"/>
  <c r="BY29" i="35"/>
  <c r="BV29" i="35" a="1"/>
  <c r="BV29" i="35" s="1"/>
  <c r="BY28" i="35"/>
  <c r="BV28" i="35" a="1"/>
  <c r="BV28" i="35" s="1"/>
  <c r="BY45" i="35"/>
  <c r="BV45" i="35" a="1"/>
  <c r="BV45" i="35" s="1"/>
  <c r="BY48" i="35"/>
  <c r="BV48" i="35" a="1"/>
  <c r="BV48" i="35" s="1"/>
  <c r="BY37" i="35"/>
  <c r="BV37" i="35" a="1"/>
  <c r="BV37" i="35" s="1"/>
  <c r="BY24" i="35"/>
  <c r="BV24" i="35" a="1"/>
  <c r="BV24" i="35" s="1"/>
  <c r="K50" i="36"/>
  <c r="K51" i="36"/>
  <c r="G8" i="34"/>
  <c r="BX11" i="35"/>
  <c r="AH51" i="35"/>
  <c r="BQ51" i="35"/>
  <c r="AI51" i="35"/>
  <c r="BW11" i="35"/>
  <c r="BP11" i="35"/>
  <c r="K47" i="36" l="1"/>
  <c r="K49" i="36"/>
  <c r="K48" i="36"/>
  <c r="BR51" i="35"/>
  <c r="BX51" i="35"/>
  <c r="BS51" i="35"/>
  <c r="BW51" i="35"/>
  <c r="BY11" i="35"/>
  <c r="BY51" i="35" s="1"/>
  <c r="M10" i="1" l="1"/>
  <c r="Q10" i="1" s="1"/>
  <c r="M11" i="1"/>
  <c r="Q11" i="1" s="1"/>
  <c r="M12" i="1"/>
  <c r="Q12" i="1" s="1"/>
  <c r="M13" i="1"/>
  <c r="Q13" i="1" s="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AB9" i="1"/>
  <c r="AC9" i="1" s="1"/>
  <c r="AG9" i="1" s="1"/>
  <c r="T9" i="1"/>
  <c r="AI12" i="1"/>
  <c r="AK12" i="1" s="1" a="1"/>
  <c r="AK12" i="1" s="1"/>
  <c r="AI13" i="1"/>
  <c r="AI14" i="1"/>
  <c r="AK14" i="1" s="1" a="1"/>
  <c r="AK14" i="1" s="1"/>
  <c r="AI15" i="1"/>
  <c r="AK15" i="1" s="1" a="1"/>
  <c r="AK15" i="1" s="1"/>
  <c r="AI16" i="1"/>
  <c r="AK16" i="1" s="1" a="1"/>
  <c r="AK16" i="1" s="1"/>
  <c r="AI17" i="1"/>
  <c r="AK17" i="1" s="1" a="1"/>
  <c r="AK17" i="1" s="1"/>
  <c r="AI18" i="1"/>
  <c r="AK18" i="1" s="1" a="1"/>
  <c r="AK18" i="1" s="1"/>
  <c r="AI19" i="1"/>
  <c r="AK19" i="1" s="1" a="1"/>
  <c r="AK19" i="1" s="1"/>
  <c r="AI20" i="1"/>
  <c r="AK20" i="1" s="1" a="1"/>
  <c r="AK20" i="1" s="1"/>
  <c r="AI21" i="1"/>
  <c r="AK21" i="1" s="1" a="1"/>
  <c r="AK21" i="1" s="1"/>
  <c r="AI22" i="1"/>
  <c r="AK22" i="1" s="1" a="1"/>
  <c r="AK22" i="1" s="1"/>
  <c r="AI23" i="1"/>
  <c r="AK23" i="1" s="1" a="1"/>
  <c r="AK23" i="1" s="1"/>
  <c r="AI24" i="1"/>
  <c r="AK24" i="1" s="1" a="1"/>
  <c r="AK24" i="1" s="1"/>
  <c r="AI25" i="1"/>
  <c r="AK25" i="1" s="1" a="1"/>
  <c r="AK25" i="1" s="1"/>
  <c r="AI26" i="1"/>
  <c r="AK26" i="1" s="1" a="1"/>
  <c r="AK26" i="1" s="1"/>
  <c r="AI27" i="1"/>
  <c r="AK27" i="1" s="1" a="1"/>
  <c r="AK27" i="1" s="1"/>
  <c r="AI28" i="1"/>
  <c r="AK28" i="1" s="1" a="1"/>
  <c r="AK28" i="1" s="1"/>
  <c r="AI29" i="1"/>
  <c r="AI30" i="1"/>
  <c r="AI31" i="1"/>
  <c r="AK31" i="1" s="1" a="1"/>
  <c r="AK31" i="1" s="1"/>
  <c r="AI32" i="1"/>
  <c r="AK32" i="1" s="1" a="1"/>
  <c r="AK32" i="1" s="1"/>
  <c r="AI33" i="1"/>
  <c r="AK33" i="1" s="1" a="1"/>
  <c r="AK33" i="1" s="1"/>
  <c r="AI34" i="1"/>
  <c r="AK34" i="1" s="1" a="1"/>
  <c r="AK34" i="1" s="1"/>
  <c r="AI35" i="1"/>
  <c r="AK35" i="1" s="1" a="1"/>
  <c r="AK35" i="1" s="1"/>
  <c r="AI36" i="1"/>
  <c r="AK36" i="1" s="1" a="1"/>
  <c r="AK36" i="1" s="1"/>
  <c r="AI37" i="1"/>
  <c r="AK37" i="1" s="1" a="1"/>
  <c r="AK37" i="1" s="1"/>
  <c r="AI38" i="1"/>
  <c r="AK38" i="1" s="1" a="1"/>
  <c r="AK38" i="1" s="1"/>
  <c r="AI39" i="1"/>
  <c r="AK39" i="1" s="1" a="1"/>
  <c r="AK39" i="1" s="1"/>
  <c r="AI40" i="1"/>
  <c r="AK40" i="1" s="1" a="1"/>
  <c r="AK40" i="1" s="1"/>
  <c r="AI41" i="1"/>
  <c r="AI42" i="1"/>
  <c r="AK42" i="1" s="1" a="1"/>
  <c r="AK42" i="1" s="1"/>
  <c r="AI43" i="1"/>
  <c r="AK43" i="1" s="1" a="1"/>
  <c r="AK43" i="1" s="1"/>
  <c r="AI44" i="1"/>
  <c r="AK44" i="1" s="1" a="1"/>
  <c r="AK44" i="1" s="1"/>
  <c r="AI45" i="1"/>
  <c r="AI46" i="1"/>
  <c r="AK46" i="1" s="1" a="1"/>
  <c r="AK46" i="1" s="1"/>
  <c r="AI47" i="1"/>
  <c r="AK47" i="1" s="1" a="1"/>
  <c r="AK47" i="1" s="1"/>
  <c r="AI48" i="1"/>
  <c r="AK48" i="1" s="1" a="1"/>
  <c r="AK48" i="1" s="1"/>
  <c r="AI49" i="1"/>
  <c r="AK49" i="1" s="1" a="1"/>
  <c r="AK49" i="1" s="1"/>
  <c r="AI50" i="1"/>
  <c r="AK50" i="1" s="1" a="1"/>
  <c r="AK50" i="1" s="1"/>
  <c r="AI51" i="1"/>
  <c r="AK51" i="1" s="1" a="1"/>
  <c r="AK51" i="1" s="1"/>
  <c r="AI52" i="1"/>
  <c r="AK52" i="1" s="1" a="1"/>
  <c r="AK52" i="1" s="1"/>
  <c r="AI53" i="1"/>
  <c r="AK53" i="1" s="1" a="1"/>
  <c r="AK53" i="1" s="1"/>
  <c r="AI54" i="1"/>
  <c r="AK54" i="1" s="1" a="1"/>
  <c r="AK54" i="1" s="1"/>
  <c r="AI55" i="1"/>
  <c r="AK55" i="1" s="1" a="1"/>
  <c r="AK55" i="1" s="1"/>
  <c r="AI56" i="1"/>
  <c r="AK56" i="1" s="1" a="1"/>
  <c r="AK56" i="1" s="1"/>
  <c r="AI57" i="1"/>
  <c r="AK57" i="1" s="1" a="1"/>
  <c r="AK57" i="1" s="1"/>
  <c r="AI58" i="1"/>
  <c r="AK58" i="1" s="1" a="1"/>
  <c r="AK58" i="1" s="1"/>
  <c r="AI59" i="1"/>
  <c r="AK59" i="1" s="1" a="1"/>
  <c r="AK59" i="1" s="1"/>
  <c r="AI60" i="1"/>
  <c r="AK60" i="1" s="1" a="1"/>
  <c r="AK60" i="1" s="1"/>
  <c r="AI61" i="1"/>
  <c r="AI62" i="1"/>
  <c r="AI63" i="1"/>
  <c r="AI64" i="1"/>
  <c r="AK64" i="1" s="1" a="1"/>
  <c r="AK64" i="1" s="1"/>
  <c r="AI65" i="1"/>
  <c r="AK65" i="1" s="1" a="1"/>
  <c r="AK65" i="1" s="1"/>
  <c r="AI66" i="1"/>
  <c r="AK66" i="1" s="1" a="1"/>
  <c r="AK66" i="1" s="1"/>
  <c r="AI67" i="1"/>
  <c r="AK67" i="1" s="1" a="1"/>
  <c r="AK67" i="1" s="1"/>
  <c r="AI68" i="1"/>
  <c r="AK68" i="1" s="1" a="1"/>
  <c r="AK68" i="1" s="1"/>
  <c r="F11" i="32"/>
  <c r="F14" i="32"/>
  <c r="F15" i="32"/>
  <c r="H15" i="32" s="1"/>
  <c r="F16" i="32"/>
  <c r="H16" i="32" s="1"/>
  <c r="C64" i="23" s="1"/>
  <c r="F18" i="32"/>
  <c r="F19" i="32"/>
  <c r="H19" i="32" s="1"/>
  <c r="C74" i="23" s="1"/>
  <c r="F20" i="32"/>
  <c r="F21" i="32"/>
  <c r="H21" i="32" s="1"/>
  <c r="C83" i="23" s="1"/>
  <c r="F22" i="32"/>
  <c r="H22" i="32" s="1"/>
  <c r="C84" i="23" s="1"/>
  <c r="F23" i="32"/>
  <c r="H23" i="32" s="1"/>
  <c r="C85" i="23" s="1"/>
  <c r="F24" i="32"/>
  <c r="F25" i="32"/>
  <c r="F26" i="32"/>
  <c r="H26" i="32" s="1"/>
  <c r="C95" i="23" s="1"/>
  <c r="F28" i="32"/>
  <c r="F29" i="32"/>
  <c r="H29" i="32" s="1"/>
  <c r="C105" i="23" s="1"/>
  <c r="F30" i="32"/>
  <c r="F31" i="32"/>
  <c r="F32" i="32"/>
  <c r="AL2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J10" i="32"/>
  <c r="N10" i="32"/>
  <c r="J11" i="32"/>
  <c r="N11" i="32"/>
  <c r="J12" i="32"/>
  <c r="N12" i="32"/>
  <c r="J13" i="32"/>
  <c r="N13" i="32"/>
  <c r="J14" i="32"/>
  <c r="N14" i="32"/>
  <c r="J15" i="32"/>
  <c r="N15" i="32"/>
  <c r="J16" i="32"/>
  <c r="N16" i="32"/>
  <c r="J17" i="32"/>
  <c r="N17" i="32"/>
  <c r="J18" i="32"/>
  <c r="N18" i="32"/>
  <c r="J19" i="32"/>
  <c r="N19" i="32"/>
  <c r="J20" i="32"/>
  <c r="N20" i="32"/>
  <c r="J21" i="32"/>
  <c r="N21" i="32"/>
  <c r="J22" i="32"/>
  <c r="N22" i="32"/>
  <c r="J23" i="32"/>
  <c r="N23" i="32"/>
  <c r="J24" i="32"/>
  <c r="N24" i="32"/>
  <c r="J25" i="32"/>
  <c r="N25" i="32"/>
  <c r="J26" i="32"/>
  <c r="N26" i="32"/>
  <c r="J27" i="32"/>
  <c r="N27" i="32"/>
  <c r="J28" i="32"/>
  <c r="N28" i="32"/>
  <c r="J29" i="32"/>
  <c r="N29" i="32"/>
  <c r="J30" i="32"/>
  <c r="N30" i="32"/>
  <c r="J31" i="32"/>
  <c r="N31" i="32"/>
  <c r="J32" i="32"/>
  <c r="N32" i="32"/>
  <c r="K9" i="32"/>
  <c r="N9" i="32"/>
  <c r="J9" i="32"/>
  <c r="V9" i="17"/>
  <c r="T9" i="17"/>
  <c r="AL9" i="17" a="1"/>
  <c r="AL9" i="17" s="1"/>
  <c r="AH14" i="25"/>
  <c r="AH15" i="25"/>
  <c r="AH16" i="25"/>
  <c r="AH17" i="25"/>
  <c r="AH18" i="25"/>
  <c r="AH19" i="25"/>
  <c r="AH20" i="25"/>
  <c r="AH21" i="25"/>
  <c r="AH22" i="25"/>
  <c r="AH23" i="25"/>
  <c r="AH24" i="25"/>
  <c r="AH25" i="25"/>
  <c r="AH26" i="25"/>
  <c r="AH27" i="25"/>
  <c r="AH28" i="25"/>
  <c r="AH29" i="25"/>
  <c r="AH30" i="25"/>
  <c r="AH31" i="25"/>
  <c r="AH32" i="25"/>
  <c r="AH33" i="25"/>
  <c r="AH34" i="25"/>
  <c r="AH35" i="25"/>
  <c r="AH36" i="25"/>
  <c r="AH37" i="25"/>
  <c r="AH38" i="25"/>
  <c r="AH39" i="25"/>
  <c r="AH40" i="25"/>
  <c r="AH41" i="25"/>
  <c r="AH42" i="25"/>
  <c r="AH43" i="25"/>
  <c r="AH44" i="25"/>
  <c r="AH45" i="25"/>
  <c r="AH46" i="25"/>
  <c r="AH47" i="25"/>
  <c r="AH48" i="25"/>
  <c r="AE10" i="25"/>
  <c r="AE11" i="25"/>
  <c r="AE12" i="25"/>
  <c r="AE13" i="25"/>
  <c r="AE14" i="25"/>
  <c r="AE15" i="25"/>
  <c r="AE16" i="25"/>
  <c r="AE17" i="25"/>
  <c r="AE18" i="25"/>
  <c r="AE19" i="25"/>
  <c r="AE20" i="25"/>
  <c r="AE21" i="25"/>
  <c r="AE22" i="25"/>
  <c r="AE23" i="25"/>
  <c r="AE24" i="25"/>
  <c r="AE25" i="25"/>
  <c r="AE26" i="25"/>
  <c r="AE27" i="25"/>
  <c r="AE28" i="25"/>
  <c r="AE29" i="25"/>
  <c r="AE30" i="25"/>
  <c r="AE31" i="25"/>
  <c r="AE32" i="25"/>
  <c r="AE33" i="25"/>
  <c r="AE34" i="25"/>
  <c r="AE35" i="25"/>
  <c r="AE36" i="25"/>
  <c r="AE37" i="25"/>
  <c r="AE38" i="25"/>
  <c r="AE39" i="25"/>
  <c r="AE40" i="25"/>
  <c r="AE41" i="25"/>
  <c r="AE42" i="25"/>
  <c r="AE43" i="25"/>
  <c r="AE44" i="25"/>
  <c r="AE45" i="25"/>
  <c r="AE46" i="25"/>
  <c r="AE47" i="25"/>
  <c r="AE48" i="25"/>
  <c r="AC11" i="25"/>
  <c r="AC12" i="25"/>
  <c r="AC13" i="25"/>
  <c r="AC14" i="25"/>
  <c r="AC15" i="25"/>
  <c r="AC16" i="25"/>
  <c r="AC17" i="25"/>
  <c r="AC18" i="25"/>
  <c r="AC19" i="25"/>
  <c r="AC20" i="25"/>
  <c r="AC21" i="25"/>
  <c r="AC22" i="25"/>
  <c r="AC23" i="25"/>
  <c r="AC24" i="25"/>
  <c r="AC25" i="25"/>
  <c r="AC26" i="25"/>
  <c r="AC27" i="25"/>
  <c r="AC28" i="25"/>
  <c r="AC29" i="25"/>
  <c r="AC30" i="25"/>
  <c r="AC31" i="25"/>
  <c r="AC32" i="25"/>
  <c r="AC33" i="25"/>
  <c r="AC34" i="25"/>
  <c r="AC35" i="25"/>
  <c r="AC36" i="25"/>
  <c r="AC37" i="25"/>
  <c r="AC38" i="25"/>
  <c r="AC39" i="25"/>
  <c r="AC40" i="25"/>
  <c r="AC41" i="25"/>
  <c r="AC42" i="25"/>
  <c r="AC43" i="25"/>
  <c r="AC44" i="25"/>
  <c r="AC45" i="25"/>
  <c r="AC46" i="25"/>
  <c r="AC47" i="25"/>
  <c r="AC48" i="25"/>
  <c r="AC10" i="25"/>
  <c r="AC9" i="25"/>
  <c r="AB10" i="25"/>
  <c r="K89" i="36" s="1"/>
  <c r="AB11" i="25"/>
  <c r="K90" i="36" s="1"/>
  <c r="AB14" i="25"/>
  <c r="AB15" i="25"/>
  <c r="AB16" i="25"/>
  <c r="AB17" i="25"/>
  <c r="AB18" i="25"/>
  <c r="AB19" i="25"/>
  <c r="AB20" i="25"/>
  <c r="AB21" i="25"/>
  <c r="AB22" i="25"/>
  <c r="AB23" i="25"/>
  <c r="AB24" i="25"/>
  <c r="AB25" i="25"/>
  <c r="AB26" i="25"/>
  <c r="AB27" i="25"/>
  <c r="AB28" i="25"/>
  <c r="AB29" i="25"/>
  <c r="AB30" i="25"/>
  <c r="AB31" i="25"/>
  <c r="AB32" i="25"/>
  <c r="AB33" i="25"/>
  <c r="AB34" i="25"/>
  <c r="AB35" i="25"/>
  <c r="AB36" i="25"/>
  <c r="AB37" i="25"/>
  <c r="AB38" i="25"/>
  <c r="AB39" i="25"/>
  <c r="AB40" i="25"/>
  <c r="AB41" i="25"/>
  <c r="AB42" i="25"/>
  <c r="AB43" i="25"/>
  <c r="AB44" i="25"/>
  <c r="AB45" i="25"/>
  <c r="AB46" i="25"/>
  <c r="AB47" i="25"/>
  <c r="AB48" i="25"/>
  <c r="Q10" i="25"/>
  <c r="S10" i="25"/>
  <c r="T10" i="25"/>
  <c r="V10" i="25"/>
  <c r="W10" i="25"/>
  <c r="X10" i="25"/>
  <c r="Y10" i="25"/>
  <c r="Y49" i="25" s="1"/>
  <c r="Z10" i="25"/>
  <c r="AA10" i="25"/>
  <c r="Q11" i="25"/>
  <c r="S11" i="25"/>
  <c r="T11" i="25"/>
  <c r="V11" i="25"/>
  <c r="W11" i="25"/>
  <c r="X11" i="25"/>
  <c r="Y11" i="25"/>
  <c r="Z11" i="25"/>
  <c r="AA11" i="25"/>
  <c r="Q12" i="25"/>
  <c r="S12" i="25"/>
  <c r="T12" i="25"/>
  <c r="U12" i="25"/>
  <c r="V12" i="25"/>
  <c r="W12" i="25"/>
  <c r="AB12" i="25" s="1"/>
  <c r="K91" i="36" s="1"/>
  <c r="X12" i="25"/>
  <c r="Y12" i="25"/>
  <c r="Z12" i="25"/>
  <c r="AA12" i="25"/>
  <c r="Q13" i="25"/>
  <c r="S13" i="25"/>
  <c r="T13" i="25"/>
  <c r="U13" i="25"/>
  <c r="V13" i="25"/>
  <c r="X13" i="25"/>
  <c r="Y13" i="25"/>
  <c r="Z13" i="25"/>
  <c r="AA13" i="25"/>
  <c r="Q14" i="25"/>
  <c r="S14" i="25"/>
  <c r="T14" i="25"/>
  <c r="U14" i="25"/>
  <c r="V14" i="25"/>
  <c r="W14" i="25"/>
  <c r="X14" i="25"/>
  <c r="Y14" i="25"/>
  <c r="Z14" i="25"/>
  <c r="AA14" i="25"/>
  <c r="Q15" i="25"/>
  <c r="S15" i="25"/>
  <c r="T15" i="25"/>
  <c r="U15" i="25"/>
  <c r="V15" i="25"/>
  <c r="W15" i="25"/>
  <c r="X15" i="25"/>
  <c r="Y15" i="25"/>
  <c r="Z15" i="25"/>
  <c r="AA15" i="25"/>
  <c r="Q16" i="25"/>
  <c r="S16" i="25"/>
  <c r="T16" i="25"/>
  <c r="U16" i="25"/>
  <c r="V16" i="25"/>
  <c r="W16" i="25"/>
  <c r="X16" i="25"/>
  <c r="Y16" i="25"/>
  <c r="Z16" i="25"/>
  <c r="AA16" i="25"/>
  <c r="Q17" i="25"/>
  <c r="S17" i="25"/>
  <c r="T17" i="25"/>
  <c r="U17" i="25"/>
  <c r="V17" i="25"/>
  <c r="W17" i="25"/>
  <c r="X17" i="25"/>
  <c r="Y17" i="25"/>
  <c r="Z17" i="25"/>
  <c r="AA17" i="25"/>
  <c r="Q18" i="25"/>
  <c r="S18" i="25"/>
  <c r="T18" i="25"/>
  <c r="U18" i="25"/>
  <c r="V18" i="25"/>
  <c r="W18" i="25"/>
  <c r="X18" i="25"/>
  <c r="Y18" i="25"/>
  <c r="Z18" i="25"/>
  <c r="AA18" i="25"/>
  <c r="Q19" i="25"/>
  <c r="S19" i="25"/>
  <c r="T19" i="25"/>
  <c r="U19" i="25"/>
  <c r="V19" i="25"/>
  <c r="W19" i="25"/>
  <c r="X19" i="25"/>
  <c r="Y19" i="25"/>
  <c r="Z19" i="25"/>
  <c r="AA19" i="25"/>
  <c r="Q20" i="25"/>
  <c r="S20" i="25"/>
  <c r="T20" i="25"/>
  <c r="U20" i="25"/>
  <c r="V20" i="25"/>
  <c r="W20" i="25"/>
  <c r="X20" i="25"/>
  <c r="Y20" i="25"/>
  <c r="Z20" i="25"/>
  <c r="AA20" i="25"/>
  <c r="Q21" i="25"/>
  <c r="S21" i="25"/>
  <c r="T21" i="25"/>
  <c r="U21" i="25"/>
  <c r="V21" i="25"/>
  <c r="W21" i="25"/>
  <c r="X21" i="25"/>
  <c r="Y21" i="25"/>
  <c r="Z21" i="25"/>
  <c r="AA21" i="25"/>
  <c r="Q22" i="25"/>
  <c r="S22" i="25"/>
  <c r="T22" i="25"/>
  <c r="U22" i="25"/>
  <c r="V22" i="25"/>
  <c r="W22" i="25"/>
  <c r="X22" i="25"/>
  <c r="Y22" i="25"/>
  <c r="Z22" i="25"/>
  <c r="AA22" i="25"/>
  <c r="Q23" i="25"/>
  <c r="S23" i="25"/>
  <c r="T23" i="25"/>
  <c r="U23" i="25"/>
  <c r="V23" i="25"/>
  <c r="W23" i="25"/>
  <c r="X23" i="25"/>
  <c r="Y23" i="25"/>
  <c r="Z23" i="25"/>
  <c r="AA23" i="25"/>
  <c r="Q24" i="25"/>
  <c r="S24" i="25"/>
  <c r="T24" i="25"/>
  <c r="U24" i="25"/>
  <c r="V24" i="25"/>
  <c r="W24" i="25"/>
  <c r="X24" i="25"/>
  <c r="Y24" i="25"/>
  <c r="Z24" i="25"/>
  <c r="AA24" i="25"/>
  <c r="Q25" i="25"/>
  <c r="S25" i="25"/>
  <c r="T25" i="25"/>
  <c r="U25" i="25"/>
  <c r="V25" i="25"/>
  <c r="W25" i="25"/>
  <c r="X25" i="25"/>
  <c r="Y25" i="25"/>
  <c r="Z25" i="25"/>
  <c r="AA25" i="25"/>
  <c r="Q26" i="25"/>
  <c r="S26" i="25"/>
  <c r="T26" i="25"/>
  <c r="U26" i="25"/>
  <c r="V26" i="25"/>
  <c r="W26" i="25"/>
  <c r="X26" i="25"/>
  <c r="Y26" i="25"/>
  <c r="Z26" i="25"/>
  <c r="AA26" i="25"/>
  <c r="Q27" i="25"/>
  <c r="S27" i="25"/>
  <c r="T27" i="25"/>
  <c r="U27" i="25"/>
  <c r="V27" i="25"/>
  <c r="W27" i="25"/>
  <c r="X27" i="25"/>
  <c r="Y27" i="25"/>
  <c r="Z27" i="25"/>
  <c r="AA27" i="25"/>
  <c r="Q28" i="25"/>
  <c r="S28" i="25"/>
  <c r="T28" i="25"/>
  <c r="U28" i="25"/>
  <c r="V28" i="25"/>
  <c r="W28" i="25"/>
  <c r="X28" i="25"/>
  <c r="Y28" i="25"/>
  <c r="Z28" i="25"/>
  <c r="AA28" i="25"/>
  <c r="Q29" i="25"/>
  <c r="S29" i="25"/>
  <c r="T29" i="25"/>
  <c r="U29" i="25"/>
  <c r="V29" i="25"/>
  <c r="W29" i="25"/>
  <c r="X29" i="25"/>
  <c r="Y29" i="25"/>
  <c r="Z29" i="25"/>
  <c r="AA29" i="25"/>
  <c r="Q30" i="25"/>
  <c r="S30" i="25"/>
  <c r="T30" i="25"/>
  <c r="U30" i="25"/>
  <c r="V30" i="25"/>
  <c r="W30" i="25"/>
  <c r="X30" i="25"/>
  <c r="Y30" i="25"/>
  <c r="Z30" i="25"/>
  <c r="AA30" i="25"/>
  <c r="Q31" i="25"/>
  <c r="S31" i="25"/>
  <c r="T31" i="25"/>
  <c r="U31" i="25"/>
  <c r="V31" i="25"/>
  <c r="W31" i="25"/>
  <c r="X31" i="25"/>
  <c r="Y31" i="25"/>
  <c r="Z31" i="25"/>
  <c r="AA31" i="25"/>
  <c r="Q32" i="25"/>
  <c r="S32" i="25"/>
  <c r="T32" i="25"/>
  <c r="U32" i="25"/>
  <c r="V32" i="25"/>
  <c r="W32" i="25"/>
  <c r="X32" i="25"/>
  <c r="Y32" i="25"/>
  <c r="Z32" i="25"/>
  <c r="AA32" i="25"/>
  <c r="Q33" i="25"/>
  <c r="S33" i="25"/>
  <c r="T33" i="25"/>
  <c r="U33" i="25"/>
  <c r="V33" i="25"/>
  <c r="W33" i="25"/>
  <c r="X33" i="25"/>
  <c r="Y33" i="25"/>
  <c r="Z33" i="25"/>
  <c r="AA33" i="25"/>
  <c r="Q34" i="25"/>
  <c r="S34" i="25"/>
  <c r="T34" i="25"/>
  <c r="U34" i="25"/>
  <c r="V34" i="25"/>
  <c r="W34" i="25"/>
  <c r="X34" i="25"/>
  <c r="Y34" i="25"/>
  <c r="Z34" i="25"/>
  <c r="AA34" i="25"/>
  <c r="Q35" i="25"/>
  <c r="S35" i="25"/>
  <c r="T35" i="25"/>
  <c r="U35" i="25"/>
  <c r="V35" i="25"/>
  <c r="W35" i="25"/>
  <c r="X35" i="25"/>
  <c r="Y35" i="25"/>
  <c r="Z35" i="25"/>
  <c r="AA35" i="25"/>
  <c r="Q36" i="25"/>
  <c r="S36" i="25"/>
  <c r="T36" i="25"/>
  <c r="U36" i="25"/>
  <c r="V36" i="25"/>
  <c r="W36" i="25"/>
  <c r="X36" i="25"/>
  <c r="Y36" i="25"/>
  <c r="Z36" i="25"/>
  <c r="AA36" i="25"/>
  <c r="Q37" i="25"/>
  <c r="S37" i="25"/>
  <c r="T37" i="25"/>
  <c r="U37" i="25"/>
  <c r="V37" i="25"/>
  <c r="W37" i="25"/>
  <c r="X37" i="25"/>
  <c r="Y37" i="25"/>
  <c r="Z37" i="25"/>
  <c r="AA37" i="25"/>
  <c r="Q38" i="25"/>
  <c r="S38" i="25"/>
  <c r="T38" i="25"/>
  <c r="U38" i="25"/>
  <c r="V38" i="25"/>
  <c r="W38" i="25"/>
  <c r="X38" i="25"/>
  <c r="Y38" i="25"/>
  <c r="Z38" i="25"/>
  <c r="AA38" i="25"/>
  <c r="Q39" i="25"/>
  <c r="S39" i="25"/>
  <c r="T39" i="25"/>
  <c r="U39" i="25"/>
  <c r="V39" i="25"/>
  <c r="W39" i="25"/>
  <c r="X39" i="25"/>
  <c r="Y39" i="25"/>
  <c r="Z39" i="25"/>
  <c r="AA39" i="25"/>
  <c r="Q40" i="25"/>
  <c r="S40" i="25"/>
  <c r="T40" i="25"/>
  <c r="U40" i="25"/>
  <c r="V40" i="25"/>
  <c r="W40" i="25"/>
  <c r="X40" i="25"/>
  <c r="Y40" i="25"/>
  <c r="Z40" i="25"/>
  <c r="AA40" i="25"/>
  <c r="Q41" i="25"/>
  <c r="S41" i="25"/>
  <c r="T41" i="25"/>
  <c r="U41" i="25"/>
  <c r="V41" i="25"/>
  <c r="W41" i="25"/>
  <c r="X41" i="25"/>
  <c r="Y41" i="25"/>
  <c r="Z41" i="25"/>
  <c r="AA41" i="25"/>
  <c r="Q42" i="25"/>
  <c r="S42" i="25"/>
  <c r="T42" i="25"/>
  <c r="U42" i="25"/>
  <c r="V42" i="25"/>
  <c r="W42" i="25"/>
  <c r="X42" i="25"/>
  <c r="Y42" i="25"/>
  <c r="Z42" i="25"/>
  <c r="AA42" i="25"/>
  <c r="Q43" i="25"/>
  <c r="S43" i="25"/>
  <c r="T43" i="25"/>
  <c r="U43" i="25"/>
  <c r="V43" i="25"/>
  <c r="W43" i="25"/>
  <c r="X43" i="25"/>
  <c r="Y43" i="25"/>
  <c r="Z43" i="25"/>
  <c r="AA43" i="25"/>
  <c r="Q44" i="25"/>
  <c r="S44" i="25"/>
  <c r="T44" i="25"/>
  <c r="U44" i="25"/>
  <c r="V44" i="25"/>
  <c r="W44" i="25"/>
  <c r="X44" i="25"/>
  <c r="Y44" i="25"/>
  <c r="Z44" i="25"/>
  <c r="AA44" i="25"/>
  <c r="Q45" i="25"/>
  <c r="S45" i="25"/>
  <c r="T45" i="25"/>
  <c r="U45" i="25"/>
  <c r="V45" i="25"/>
  <c r="W45" i="25"/>
  <c r="X45" i="25"/>
  <c r="Y45" i="25"/>
  <c r="Z45" i="25"/>
  <c r="AA45" i="25"/>
  <c r="Q46" i="25"/>
  <c r="S46" i="25"/>
  <c r="T46" i="25"/>
  <c r="U46" i="25"/>
  <c r="V46" i="25"/>
  <c r="W46" i="25"/>
  <c r="X46" i="25"/>
  <c r="Y46" i="25"/>
  <c r="Z46" i="25"/>
  <c r="AA46" i="25"/>
  <c r="Q47" i="25"/>
  <c r="S47" i="25"/>
  <c r="T47" i="25"/>
  <c r="U47" i="25"/>
  <c r="V47" i="25"/>
  <c r="W47" i="25"/>
  <c r="X47" i="25"/>
  <c r="Y47" i="25"/>
  <c r="Z47" i="25"/>
  <c r="AA47" i="25"/>
  <c r="Q48" i="25"/>
  <c r="S48" i="25"/>
  <c r="T48" i="25"/>
  <c r="U48" i="25"/>
  <c r="V48" i="25"/>
  <c r="W48" i="25"/>
  <c r="X48" i="25"/>
  <c r="Y48" i="25"/>
  <c r="Z48" i="25"/>
  <c r="AA48" i="25"/>
  <c r="S9" i="25"/>
  <c r="T9" i="25"/>
  <c r="V9" i="25"/>
  <c r="X9" i="25"/>
  <c r="Z9" i="25"/>
  <c r="Q9" i="25"/>
  <c r="N10" i="25"/>
  <c r="AH10" i="25" s="1"/>
  <c r="N14" i="25"/>
  <c r="N15" i="25"/>
  <c r="N16" i="25"/>
  <c r="N17" i="25"/>
  <c r="N18" i="25"/>
  <c r="N19" i="25"/>
  <c r="N20" i="25"/>
  <c r="N21" i="25"/>
  <c r="N22" i="25"/>
  <c r="N23" i="25"/>
  <c r="N24" i="25"/>
  <c r="N25" i="25"/>
  <c r="N26" i="25"/>
  <c r="N27" i="25"/>
  <c r="N28" i="25"/>
  <c r="N29" i="25"/>
  <c r="N30" i="25"/>
  <c r="N31" i="25"/>
  <c r="N32" i="25"/>
  <c r="N33" i="25"/>
  <c r="N34" i="25"/>
  <c r="N35" i="25"/>
  <c r="N36" i="25"/>
  <c r="N37" i="25"/>
  <c r="N38" i="25"/>
  <c r="N39" i="25"/>
  <c r="N40" i="25"/>
  <c r="N41" i="25"/>
  <c r="N42" i="25"/>
  <c r="N43" i="25"/>
  <c r="N44" i="25"/>
  <c r="N45" i="25"/>
  <c r="N46" i="25"/>
  <c r="N47" i="25"/>
  <c r="N48" i="25"/>
  <c r="N9" i="25"/>
  <c r="M10" i="25"/>
  <c r="M11" i="25"/>
  <c r="M12" i="25"/>
  <c r="M13" i="25"/>
  <c r="M14" i="25"/>
  <c r="M15" i="25"/>
  <c r="M16" i="25"/>
  <c r="M17" i="25"/>
  <c r="M18" i="25"/>
  <c r="M19" i="25"/>
  <c r="M20" i="25"/>
  <c r="M21" i="25"/>
  <c r="M22" i="25"/>
  <c r="M23" i="25"/>
  <c r="M24" i="25"/>
  <c r="M25" i="25"/>
  <c r="M26" i="25"/>
  <c r="M27" i="25"/>
  <c r="M28" i="25"/>
  <c r="M29" i="25"/>
  <c r="M30" i="25"/>
  <c r="M31" i="25"/>
  <c r="M32" i="25"/>
  <c r="M33" i="25"/>
  <c r="M34" i="25"/>
  <c r="M35" i="25"/>
  <c r="M36" i="25"/>
  <c r="M37" i="25"/>
  <c r="M38" i="25"/>
  <c r="M39" i="25"/>
  <c r="M40" i="25"/>
  <c r="M41" i="25"/>
  <c r="M42" i="25"/>
  <c r="M43" i="25"/>
  <c r="M44" i="25"/>
  <c r="M45" i="25"/>
  <c r="M46" i="25"/>
  <c r="M47" i="25"/>
  <c r="M48" i="25"/>
  <c r="K11" i="25"/>
  <c r="K12" i="25"/>
  <c r="K13" i="25"/>
  <c r="K14" i="25"/>
  <c r="K15" i="25"/>
  <c r="K16" i="25"/>
  <c r="K17" i="25"/>
  <c r="K18" i="25"/>
  <c r="K19" i="25"/>
  <c r="K20" i="25"/>
  <c r="K21" i="25"/>
  <c r="K22" i="25"/>
  <c r="K23" i="25"/>
  <c r="K24" i="25"/>
  <c r="K25" i="25"/>
  <c r="K26" i="25"/>
  <c r="K27" i="25"/>
  <c r="K28" i="25"/>
  <c r="K29" i="25"/>
  <c r="K30" i="25"/>
  <c r="K31" i="25"/>
  <c r="K32" i="25"/>
  <c r="K33" i="25"/>
  <c r="K34" i="25"/>
  <c r="K35" i="25"/>
  <c r="K36" i="25"/>
  <c r="K37" i="25"/>
  <c r="K38" i="25"/>
  <c r="K39" i="25"/>
  <c r="K40" i="25"/>
  <c r="K41" i="25"/>
  <c r="K42" i="25"/>
  <c r="K43" i="25"/>
  <c r="K44" i="25"/>
  <c r="K45" i="25"/>
  <c r="K46" i="25"/>
  <c r="K47" i="25"/>
  <c r="K48" i="25"/>
  <c r="K10" i="25"/>
  <c r="I10" i="25"/>
  <c r="I11" i="25"/>
  <c r="N11" i="25" s="1"/>
  <c r="AH11" i="25" s="1"/>
  <c r="I12" i="25"/>
  <c r="N12" i="25" s="1"/>
  <c r="AH12" i="25" s="1"/>
  <c r="I13" i="25"/>
  <c r="N13" i="25" s="1"/>
  <c r="AH13" i="25" s="1"/>
  <c r="I14" i="25"/>
  <c r="I15" i="25"/>
  <c r="I16" i="25"/>
  <c r="I17" i="25"/>
  <c r="I18" i="25"/>
  <c r="I19" i="25"/>
  <c r="I20" i="25"/>
  <c r="I21" i="25"/>
  <c r="I22" i="25"/>
  <c r="I23" i="25"/>
  <c r="I24" i="25"/>
  <c r="I25" i="25"/>
  <c r="I26" i="25"/>
  <c r="I27" i="25"/>
  <c r="I28" i="25"/>
  <c r="I29" i="25"/>
  <c r="I30" i="25"/>
  <c r="I31" i="25"/>
  <c r="I32" i="25"/>
  <c r="I33" i="25"/>
  <c r="I34" i="25"/>
  <c r="I35" i="25"/>
  <c r="I36" i="25"/>
  <c r="I37" i="25"/>
  <c r="I38" i="25"/>
  <c r="I39" i="25"/>
  <c r="I40" i="25"/>
  <c r="I41" i="25"/>
  <c r="I42" i="25"/>
  <c r="I43" i="25"/>
  <c r="I44" i="25"/>
  <c r="I45" i="25"/>
  <c r="I46" i="25"/>
  <c r="I47" i="25"/>
  <c r="I48" i="25"/>
  <c r="O9" i="31"/>
  <c r="AR11" i="14"/>
  <c r="BC11" i="14" s="1"/>
  <c r="BE11" i="14" s="1"/>
  <c r="BA11" i="14"/>
  <c r="BA12" i="14"/>
  <c r="BA13" i="14"/>
  <c r="BA14" i="14"/>
  <c r="BA15" i="14"/>
  <c r="BA16" i="14"/>
  <c r="BA17" i="14"/>
  <c r="BA18" i="14"/>
  <c r="BA19" i="14"/>
  <c r="BA20" i="14"/>
  <c r="BA21" i="14"/>
  <c r="BA22" i="14"/>
  <c r="BA23" i="14"/>
  <c r="BA24" i="14"/>
  <c r="BA25" i="14"/>
  <c r="BA26" i="14"/>
  <c r="BA27" i="14"/>
  <c r="BA28" i="14"/>
  <c r="BA29" i="14"/>
  <c r="BA30" i="14"/>
  <c r="BA31" i="14"/>
  <c r="BA32" i="14"/>
  <c r="BA33" i="14"/>
  <c r="BA34" i="14"/>
  <c r="BA35" i="14"/>
  <c r="BA36" i="14"/>
  <c r="BA37" i="14"/>
  <c r="BA38" i="14"/>
  <c r="BA39" i="14"/>
  <c r="BA40" i="14"/>
  <c r="BA41" i="14"/>
  <c r="BA42" i="14"/>
  <c r="BA43" i="14"/>
  <c r="BA44" i="14"/>
  <c r="BA45" i="14"/>
  <c r="BA46" i="14"/>
  <c r="BA47" i="14"/>
  <c r="BA48" i="14"/>
  <c r="BA49" i="14"/>
  <c r="BA10" i="14"/>
  <c r="X17" i="14" a="1"/>
  <c r="X17" i="14" s="1"/>
  <c r="X18" i="14" a="1"/>
  <c r="X18" i="14" s="1"/>
  <c r="X19" i="14" a="1"/>
  <c r="X19" i="14" s="1"/>
  <c r="X20" i="14" a="1"/>
  <c r="X20" i="14" s="1"/>
  <c r="X21" i="14" a="1"/>
  <c r="X21" i="14" s="1"/>
  <c r="X22" i="14" a="1"/>
  <c r="X22" i="14" s="1"/>
  <c r="X23" i="14" a="1"/>
  <c r="X23" i="14" s="1"/>
  <c r="X24" i="14" a="1"/>
  <c r="X24" i="14" s="1"/>
  <c r="X25" i="14" a="1"/>
  <c r="X25" i="14" s="1"/>
  <c r="X26" i="14" a="1"/>
  <c r="X26" i="14" s="1"/>
  <c r="X27" i="14" a="1"/>
  <c r="X27" i="14" s="1"/>
  <c r="X28" i="14" a="1"/>
  <c r="X28" i="14" s="1"/>
  <c r="X29" i="14" a="1"/>
  <c r="X29" i="14" s="1"/>
  <c r="X30" i="14" a="1"/>
  <c r="X30" i="14" s="1"/>
  <c r="X31" i="14" a="1"/>
  <c r="X31" i="14" s="1"/>
  <c r="X32" i="14" a="1"/>
  <c r="X32" i="14" s="1"/>
  <c r="X33" i="14" a="1"/>
  <c r="X33" i="14" s="1"/>
  <c r="X34" i="14" a="1"/>
  <c r="X34" i="14" s="1"/>
  <c r="X35" i="14" a="1"/>
  <c r="X35" i="14" s="1"/>
  <c r="X36" i="14" a="1"/>
  <c r="X36" i="14" s="1"/>
  <c r="X37" i="14" a="1"/>
  <c r="X37" i="14" s="1"/>
  <c r="X38" i="14" a="1"/>
  <c r="X38" i="14" s="1"/>
  <c r="X39" i="14" a="1"/>
  <c r="X39" i="14" s="1"/>
  <c r="X40" i="14" a="1"/>
  <c r="X40" i="14" s="1"/>
  <c r="X41" i="14" a="1"/>
  <c r="X41" i="14" s="1"/>
  <c r="X42" i="14" a="1"/>
  <c r="X42" i="14" s="1"/>
  <c r="X43" i="14" a="1"/>
  <c r="X43" i="14" s="1"/>
  <c r="X44" i="14" a="1"/>
  <c r="X44" i="14" s="1"/>
  <c r="X45" i="14" a="1"/>
  <c r="X45" i="14" s="1"/>
  <c r="X46" i="14" a="1"/>
  <c r="X46" i="14" s="1"/>
  <c r="X47" i="14" a="1"/>
  <c r="X47" i="14" s="1"/>
  <c r="X48" i="14" a="1"/>
  <c r="X48" i="14" s="1"/>
  <c r="X49" i="14" a="1"/>
  <c r="X49" i="14" s="1"/>
  <c r="X10" i="14" a="1"/>
  <c r="X10" i="14" s="1"/>
  <c r="W17" i="14" a="1"/>
  <c r="W17" i="14" s="1"/>
  <c r="W18" i="14" a="1"/>
  <c r="W18" i="14" s="1"/>
  <c r="W19" i="14" a="1"/>
  <c r="W19" i="14" s="1"/>
  <c r="W20" i="14" a="1"/>
  <c r="W20" i="14" s="1"/>
  <c r="W21" i="14" a="1"/>
  <c r="W21" i="14" s="1"/>
  <c r="W22" i="14" a="1"/>
  <c r="W22" i="14" s="1"/>
  <c r="W23" i="14" a="1"/>
  <c r="W23" i="14" s="1"/>
  <c r="W24" i="14" a="1"/>
  <c r="W24" i="14" s="1"/>
  <c r="W25" i="14" a="1"/>
  <c r="W25" i="14" s="1"/>
  <c r="W26" i="14" a="1"/>
  <c r="W26" i="14" s="1"/>
  <c r="W27" i="14" a="1"/>
  <c r="W27" i="14" s="1"/>
  <c r="W28" i="14" a="1"/>
  <c r="W28" i="14" s="1"/>
  <c r="W29" i="14" a="1"/>
  <c r="W29" i="14" s="1"/>
  <c r="W30" i="14" a="1"/>
  <c r="W30" i="14" s="1"/>
  <c r="W31" i="14" a="1"/>
  <c r="W31" i="14" s="1"/>
  <c r="W32" i="14" a="1"/>
  <c r="W32" i="14" s="1"/>
  <c r="W33" i="14" a="1"/>
  <c r="W33" i="14" s="1"/>
  <c r="W34" i="14" a="1"/>
  <c r="W34" i="14" s="1"/>
  <c r="W35" i="14" a="1"/>
  <c r="W35" i="14" s="1"/>
  <c r="W36" i="14" a="1"/>
  <c r="W36" i="14" s="1"/>
  <c r="W37" i="14" a="1"/>
  <c r="W37" i="14" s="1"/>
  <c r="W38" i="14" a="1"/>
  <c r="W38" i="14" s="1"/>
  <c r="W39" i="14" a="1"/>
  <c r="W39" i="14" s="1"/>
  <c r="W40" i="14" a="1"/>
  <c r="W40" i="14" s="1"/>
  <c r="W41" i="14" a="1"/>
  <c r="W41" i="14" s="1"/>
  <c r="W42" i="14" a="1"/>
  <c r="W42" i="14" s="1"/>
  <c r="W43" i="14" a="1"/>
  <c r="W43" i="14" s="1"/>
  <c r="W44" i="14" a="1"/>
  <c r="W44" i="14" s="1"/>
  <c r="W45" i="14" a="1"/>
  <c r="W45" i="14" s="1"/>
  <c r="W46" i="14" a="1"/>
  <c r="W46" i="14" s="1"/>
  <c r="W47" i="14" a="1"/>
  <c r="W47" i="14" s="1"/>
  <c r="W48" i="14" a="1"/>
  <c r="W48" i="14" s="1"/>
  <c r="W49" i="14" a="1"/>
  <c r="W49" i="14" s="1"/>
  <c r="W10" i="14" a="1"/>
  <c r="W10" i="14" s="1"/>
  <c r="AR10" i="14"/>
  <c r="AU10" i="14"/>
  <c r="AX11" i="14"/>
  <c r="AY11" i="14"/>
  <c r="AX12" i="14"/>
  <c r="AY12" i="14"/>
  <c r="AX13" i="14"/>
  <c r="AY13" i="14"/>
  <c r="AX14" i="14"/>
  <c r="AY14" i="14"/>
  <c r="AX15" i="14"/>
  <c r="AY15" i="14"/>
  <c r="AX16" i="14"/>
  <c r="AY16" i="14"/>
  <c r="AX17" i="14"/>
  <c r="AY17" i="14"/>
  <c r="AX18" i="14"/>
  <c r="AY18" i="14"/>
  <c r="AX19" i="14"/>
  <c r="AY19" i="14"/>
  <c r="AX20" i="14"/>
  <c r="AY20" i="14"/>
  <c r="AX21" i="14"/>
  <c r="AY21" i="14"/>
  <c r="AX22" i="14"/>
  <c r="AY22" i="14"/>
  <c r="AX23" i="14"/>
  <c r="AY23" i="14"/>
  <c r="AX24" i="14"/>
  <c r="AY24" i="14"/>
  <c r="AX25" i="14"/>
  <c r="AY25" i="14"/>
  <c r="AX26" i="14"/>
  <c r="AY26" i="14"/>
  <c r="AX27" i="14"/>
  <c r="AY27" i="14"/>
  <c r="AX28" i="14"/>
  <c r="AY28" i="14"/>
  <c r="AX29" i="14"/>
  <c r="AY29" i="14"/>
  <c r="AX30" i="14"/>
  <c r="AY30" i="14"/>
  <c r="AX31" i="14"/>
  <c r="AY31" i="14"/>
  <c r="AX32" i="14"/>
  <c r="AY32" i="14"/>
  <c r="AX33" i="14"/>
  <c r="AY33" i="14"/>
  <c r="AX34" i="14"/>
  <c r="AY34" i="14"/>
  <c r="AX35" i="14"/>
  <c r="AY35" i="14"/>
  <c r="AX36" i="14"/>
  <c r="AY36" i="14"/>
  <c r="AX37" i="14"/>
  <c r="AY37" i="14"/>
  <c r="AX38" i="14"/>
  <c r="AY38" i="14"/>
  <c r="AX39" i="14"/>
  <c r="AY39" i="14"/>
  <c r="AX40" i="14"/>
  <c r="AY40" i="14"/>
  <c r="AX41" i="14"/>
  <c r="AY41" i="14"/>
  <c r="AX42" i="14"/>
  <c r="AY42" i="14"/>
  <c r="AX43" i="14"/>
  <c r="AY43" i="14"/>
  <c r="AX44" i="14"/>
  <c r="AY44" i="14"/>
  <c r="AX45" i="14"/>
  <c r="AY45" i="14"/>
  <c r="AX46" i="14"/>
  <c r="AY46" i="14"/>
  <c r="AX47" i="14"/>
  <c r="AY47" i="14"/>
  <c r="AX48" i="14"/>
  <c r="AY48" i="14"/>
  <c r="AX49" i="14"/>
  <c r="AY49" i="14"/>
  <c r="AU11" i="14"/>
  <c r="AV11" i="14"/>
  <c r="AU12" i="14"/>
  <c r="AV12" i="14"/>
  <c r="AU13" i="14"/>
  <c r="AV13" i="14"/>
  <c r="AU14" i="14"/>
  <c r="AV14" i="14"/>
  <c r="AU15" i="14"/>
  <c r="AV15" i="14"/>
  <c r="AU16" i="14"/>
  <c r="AV16" i="14"/>
  <c r="AU17" i="14"/>
  <c r="AV17" i="14"/>
  <c r="AU18" i="14"/>
  <c r="AV18" i="14"/>
  <c r="AU19" i="14"/>
  <c r="AV19" i="14"/>
  <c r="AU20" i="14"/>
  <c r="AV20" i="14"/>
  <c r="AU21" i="14"/>
  <c r="AV21" i="14"/>
  <c r="AU22" i="14"/>
  <c r="AV22" i="14"/>
  <c r="AU23" i="14"/>
  <c r="AV23" i="14"/>
  <c r="AU24" i="14"/>
  <c r="AV24" i="14"/>
  <c r="AU25" i="14"/>
  <c r="AV25" i="14"/>
  <c r="AU26" i="14"/>
  <c r="AV26" i="14"/>
  <c r="AU27" i="14"/>
  <c r="AV27" i="14"/>
  <c r="AU28" i="14"/>
  <c r="AV28" i="14"/>
  <c r="AU29" i="14"/>
  <c r="AV29" i="14"/>
  <c r="AU30" i="14"/>
  <c r="AV30" i="14"/>
  <c r="AU31" i="14"/>
  <c r="AV31" i="14"/>
  <c r="AU32" i="14"/>
  <c r="AV32" i="14"/>
  <c r="AU33" i="14"/>
  <c r="AV33" i="14"/>
  <c r="AU34" i="14"/>
  <c r="AV34" i="14"/>
  <c r="AU35" i="14"/>
  <c r="AV35" i="14"/>
  <c r="AU36" i="14"/>
  <c r="AV36" i="14"/>
  <c r="AU37" i="14"/>
  <c r="AV37" i="14"/>
  <c r="AU38" i="14"/>
  <c r="AV38" i="14"/>
  <c r="AU39" i="14"/>
  <c r="AV39" i="14"/>
  <c r="AU40" i="14"/>
  <c r="AV40" i="14"/>
  <c r="AU41" i="14"/>
  <c r="AV41" i="14"/>
  <c r="AU42" i="14"/>
  <c r="AV42" i="14"/>
  <c r="AU43" i="14"/>
  <c r="AV43" i="14"/>
  <c r="AU44" i="14"/>
  <c r="AV44" i="14"/>
  <c r="AU45" i="14"/>
  <c r="AV45" i="14"/>
  <c r="AU46" i="14"/>
  <c r="AV46" i="14"/>
  <c r="AU47" i="14"/>
  <c r="AV47" i="14"/>
  <c r="AU48" i="14"/>
  <c r="AV48" i="14"/>
  <c r="AU49" i="14"/>
  <c r="AV49" i="14"/>
  <c r="AV10" i="14"/>
  <c r="AS49" i="14"/>
  <c r="BD49" i="14" s="1"/>
  <c r="AS48" i="14"/>
  <c r="BD48" i="14" s="1"/>
  <c r="AS47" i="14"/>
  <c r="BD47" i="14" s="1"/>
  <c r="AS46" i="14"/>
  <c r="BG46" i="14" s="1" a="1"/>
  <c r="BG46" i="14" s="1"/>
  <c r="AS45" i="14"/>
  <c r="BD45" i="14" s="1"/>
  <c r="AS44" i="14"/>
  <c r="BG44" i="14" s="1" a="1"/>
  <c r="BG44" i="14" s="1"/>
  <c r="AS43" i="14"/>
  <c r="BG43" i="14" s="1" a="1"/>
  <c r="BG43" i="14" s="1"/>
  <c r="AS42" i="14"/>
  <c r="AS41" i="14"/>
  <c r="BD41" i="14" s="1"/>
  <c r="AS40" i="14"/>
  <c r="AS39" i="14"/>
  <c r="BD39" i="14" s="1"/>
  <c r="AS38" i="14"/>
  <c r="BG38" i="14" s="1" a="1"/>
  <c r="BG38" i="14" s="1"/>
  <c r="AS37" i="14"/>
  <c r="AS36" i="14"/>
  <c r="BD36" i="14" s="1"/>
  <c r="AS35" i="14"/>
  <c r="BD35" i="14" s="1"/>
  <c r="AS34" i="14"/>
  <c r="BG34" i="14" s="1" a="1"/>
  <c r="BG34" i="14" s="1"/>
  <c r="AS33" i="14"/>
  <c r="BG33" i="14" s="1" a="1"/>
  <c r="BG33" i="14" s="1"/>
  <c r="AS32" i="14"/>
  <c r="BD32" i="14" s="1"/>
  <c r="AS31" i="14"/>
  <c r="BD31" i="14" s="1"/>
  <c r="AS30" i="14"/>
  <c r="BD30" i="14" s="1"/>
  <c r="AS29" i="14"/>
  <c r="BD29" i="14" s="1"/>
  <c r="AS28" i="14"/>
  <c r="AS27" i="14"/>
  <c r="BG27" i="14" s="1" a="1"/>
  <c r="BG27" i="14" s="1"/>
  <c r="AS26" i="14"/>
  <c r="BD26" i="14" s="1"/>
  <c r="AS25" i="14"/>
  <c r="AS24" i="14"/>
  <c r="BD24" i="14" s="1"/>
  <c r="AS23" i="14"/>
  <c r="BG23" i="14" s="1" a="1"/>
  <c r="BG23" i="14" s="1"/>
  <c r="AS22" i="14"/>
  <c r="AS21" i="14"/>
  <c r="AS20" i="14"/>
  <c r="AS19" i="14"/>
  <c r="BG19" i="14" s="1" a="1"/>
  <c r="BG19" i="14" s="1"/>
  <c r="AS18" i="14"/>
  <c r="BG18" i="14" s="1" a="1"/>
  <c r="BG18" i="14" s="1"/>
  <c r="AS17" i="14"/>
  <c r="BG17" i="14" s="1" a="1"/>
  <c r="BG17" i="14" s="1"/>
  <c r="AS16" i="14"/>
  <c r="BG16" i="14" s="1" a="1"/>
  <c r="BG16" i="14" s="1"/>
  <c r="AS15" i="14"/>
  <c r="BD15" i="14" s="1"/>
  <c r="AS14" i="14"/>
  <c r="BG14" i="14" s="1" a="1"/>
  <c r="BG14" i="14" s="1"/>
  <c r="AS13" i="14"/>
  <c r="BG13" i="14" s="1" a="1"/>
  <c r="BG13" i="14" s="1"/>
  <c r="AS12" i="14"/>
  <c r="AS11" i="14"/>
  <c r="BD11" i="14" s="1"/>
  <c r="AS10" i="14"/>
  <c r="AR49" i="14"/>
  <c r="BC49" i="14" s="1"/>
  <c r="BE49" i="14" s="1"/>
  <c r="AR12" i="14"/>
  <c r="BF12" i="14" s="1" a="1"/>
  <c r="BF12" i="14" s="1"/>
  <c r="AR13" i="14"/>
  <c r="BC13" i="14" s="1"/>
  <c r="BE13" i="14" s="1"/>
  <c r="AR14" i="14"/>
  <c r="BF14" i="14" s="1" a="1"/>
  <c r="BF14" i="14" s="1"/>
  <c r="AR15" i="14"/>
  <c r="BF15" i="14" s="1" a="1"/>
  <c r="BF15" i="14" s="1"/>
  <c r="AR16" i="14"/>
  <c r="BC16" i="14" s="1"/>
  <c r="BE16" i="14" s="1"/>
  <c r="AR17" i="14"/>
  <c r="BC17" i="14" s="1"/>
  <c r="BE17" i="14" s="1"/>
  <c r="AR18" i="14"/>
  <c r="BF18" i="14" s="1" a="1"/>
  <c r="BF18" i="14" s="1"/>
  <c r="AR19" i="14"/>
  <c r="BF19" i="14" s="1" a="1"/>
  <c r="BF19" i="14" s="1"/>
  <c r="AR20" i="14"/>
  <c r="BF20" i="14" s="1" a="1"/>
  <c r="BF20" i="14" s="1"/>
  <c r="AR21" i="14"/>
  <c r="BF21" i="14" s="1" a="1"/>
  <c r="BF21" i="14" s="1"/>
  <c r="AR22" i="14"/>
  <c r="AR23" i="14"/>
  <c r="BF23" i="14" s="1" a="1"/>
  <c r="BF23" i="14" s="1"/>
  <c r="AR24" i="14"/>
  <c r="BC24" i="14" s="1"/>
  <c r="BE24" i="14" s="1"/>
  <c r="AR25" i="14"/>
  <c r="BC25" i="14" s="1"/>
  <c r="BE25" i="14" s="1"/>
  <c r="AR26" i="14"/>
  <c r="BC26" i="14" s="1"/>
  <c r="BE26" i="14" s="1"/>
  <c r="AR27" i="14"/>
  <c r="AR28" i="14"/>
  <c r="BC28" i="14" s="1"/>
  <c r="BE28" i="14" s="1"/>
  <c r="AR29" i="14"/>
  <c r="AR30" i="14"/>
  <c r="BF30" i="14" s="1" a="1"/>
  <c r="BF30" i="14" s="1"/>
  <c r="AR31" i="14"/>
  <c r="BC31" i="14" s="1"/>
  <c r="BE31" i="14" s="1"/>
  <c r="AR32" i="14"/>
  <c r="BF32" i="14" s="1" a="1"/>
  <c r="BF32" i="14" s="1"/>
  <c r="AR33" i="14"/>
  <c r="BF33" i="14" s="1" a="1"/>
  <c r="BF33" i="14" s="1"/>
  <c r="AR34" i="14"/>
  <c r="BF34" i="14" s="1" a="1"/>
  <c r="BF34" i="14" s="1"/>
  <c r="AR35" i="14"/>
  <c r="BC35" i="14" s="1"/>
  <c r="BE35" i="14" s="1"/>
  <c r="AR36" i="14"/>
  <c r="AR37" i="14"/>
  <c r="BF37" i="14" s="1" a="1"/>
  <c r="BF37" i="14" s="1"/>
  <c r="AR38" i="14"/>
  <c r="BF38" i="14" s="1" a="1"/>
  <c r="BF38" i="14" s="1"/>
  <c r="AR39" i="14"/>
  <c r="AR40" i="14"/>
  <c r="BF40" i="14" s="1" a="1"/>
  <c r="BF40" i="14" s="1"/>
  <c r="AR41" i="14"/>
  <c r="AR42" i="14"/>
  <c r="BF42" i="14" s="1" a="1"/>
  <c r="BF42" i="14" s="1"/>
  <c r="AR43" i="14"/>
  <c r="BF43" i="14" s="1" a="1"/>
  <c r="BF43" i="14" s="1"/>
  <c r="AR44" i="14"/>
  <c r="BF44" i="14" s="1" a="1"/>
  <c r="BF44" i="14" s="1"/>
  <c r="AR45" i="14"/>
  <c r="BC45" i="14" s="1"/>
  <c r="BE45" i="14" s="1"/>
  <c r="AR46" i="14"/>
  <c r="AR47" i="14"/>
  <c r="BF47" i="14" s="1" a="1"/>
  <c r="BF47" i="14" s="1"/>
  <c r="AR48" i="14"/>
  <c r="BF48" i="14" s="1" a="1"/>
  <c r="BF48" i="14" s="1"/>
  <c r="AH12" i="14"/>
  <c r="AJ12" i="14"/>
  <c r="AL12" i="14"/>
  <c r="AM12" i="14"/>
  <c r="AN12" i="14"/>
  <c r="AO12" i="14"/>
  <c r="AP12" i="14"/>
  <c r="AQ12" i="14"/>
  <c r="AH13" i="14"/>
  <c r="AJ13" i="14"/>
  <c r="AL13" i="14"/>
  <c r="AM13" i="14"/>
  <c r="AN13" i="14"/>
  <c r="AO13" i="14"/>
  <c r="AP13" i="14"/>
  <c r="AQ13" i="14"/>
  <c r="AH14" i="14"/>
  <c r="AJ14" i="14"/>
  <c r="AL14" i="14"/>
  <c r="AM14" i="14"/>
  <c r="AN14" i="14"/>
  <c r="AO14" i="14"/>
  <c r="AP14" i="14"/>
  <c r="AQ14" i="14"/>
  <c r="AH15" i="14"/>
  <c r="AJ15" i="14"/>
  <c r="AL15" i="14"/>
  <c r="AM15" i="14"/>
  <c r="AN15" i="14"/>
  <c r="AO15" i="14"/>
  <c r="AP15" i="14"/>
  <c r="AQ15" i="14"/>
  <c r="AH16" i="14"/>
  <c r="AJ16" i="14"/>
  <c r="AL16" i="14"/>
  <c r="AM16" i="14"/>
  <c r="AN16" i="14"/>
  <c r="AO16" i="14"/>
  <c r="AP16" i="14"/>
  <c r="AQ16" i="14"/>
  <c r="AH17" i="14"/>
  <c r="AJ17" i="14"/>
  <c r="AL17" i="14"/>
  <c r="AM17" i="14"/>
  <c r="AN17" i="14"/>
  <c r="AO17" i="14"/>
  <c r="AP17" i="14"/>
  <c r="AQ17" i="14"/>
  <c r="AH18" i="14"/>
  <c r="AJ18" i="14"/>
  <c r="AL18" i="14"/>
  <c r="AM18" i="14"/>
  <c r="AN18" i="14"/>
  <c r="AO18" i="14"/>
  <c r="AP18" i="14"/>
  <c r="AQ18" i="14"/>
  <c r="AH19" i="14"/>
  <c r="AJ19" i="14"/>
  <c r="AL19" i="14"/>
  <c r="AM19" i="14"/>
  <c r="AN19" i="14"/>
  <c r="AO19" i="14"/>
  <c r="AP19" i="14"/>
  <c r="AQ19" i="14"/>
  <c r="AH20" i="14"/>
  <c r="AJ20" i="14"/>
  <c r="AL20" i="14"/>
  <c r="AM20" i="14"/>
  <c r="AN20" i="14"/>
  <c r="AO20" i="14"/>
  <c r="AP20" i="14"/>
  <c r="AQ20" i="14"/>
  <c r="AH21" i="14"/>
  <c r="AJ21" i="14"/>
  <c r="AL21" i="14"/>
  <c r="AM21" i="14"/>
  <c r="AN21" i="14"/>
  <c r="AO21" i="14"/>
  <c r="AP21" i="14"/>
  <c r="AQ21" i="14"/>
  <c r="AH22" i="14"/>
  <c r="AJ22" i="14"/>
  <c r="AL22" i="14"/>
  <c r="AM22" i="14"/>
  <c r="AN22" i="14"/>
  <c r="AO22" i="14"/>
  <c r="AP22" i="14"/>
  <c r="AQ22" i="14"/>
  <c r="AH23" i="14"/>
  <c r="AJ23" i="14"/>
  <c r="AL23" i="14"/>
  <c r="AM23" i="14"/>
  <c r="AN23" i="14"/>
  <c r="AO23" i="14"/>
  <c r="AP23" i="14"/>
  <c r="AQ23" i="14"/>
  <c r="AH24" i="14"/>
  <c r="AJ24" i="14"/>
  <c r="AL24" i="14"/>
  <c r="AM24" i="14"/>
  <c r="AN24" i="14"/>
  <c r="AO24" i="14"/>
  <c r="AP24" i="14"/>
  <c r="AQ24" i="14"/>
  <c r="AH25" i="14"/>
  <c r="AJ25" i="14"/>
  <c r="AL25" i="14"/>
  <c r="AM25" i="14"/>
  <c r="AN25" i="14"/>
  <c r="AO25" i="14"/>
  <c r="AP25" i="14"/>
  <c r="AQ25" i="14"/>
  <c r="AH26" i="14"/>
  <c r="AJ26" i="14"/>
  <c r="AL26" i="14"/>
  <c r="AM26" i="14"/>
  <c r="AN26" i="14"/>
  <c r="AO26" i="14"/>
  <c r="AP26" i="14"/>
  <c r="AQ26" i="14"/>
  <c r="AH27" i="14"/>
  <c r="AJ27" i="14"/>
  <c r="AL27" i="14"/>
  <c r="AM27" i="14"/>
  <c r="AN27" i="14"/>
  <c r="AO27" i="14"/>
  <c r="AP27" i="14"/>
  <c r="AQ27" i="14"/>
  <c r="AH28" i="14"/>
  <c r="AJ28" i="14"/>
  <c r="AL28" i="14"/>
  <c r="AM28" i="14"/>
  <c r="AN28" i="14"/>
  <c r="AO28" i="14"/>
  <c r="AP28" i="14"/>
  <c r="AQ28" i="14"/>
  <c r="AH29" i="14"/>
  <c r="AJ29" i="14"/>
  <c r="AL29" i="14"/>
  <c r="AM29" i="14"/>
  <c r="AN29" i="14"/>
  <c r="AO29" i="14"/>
  <c r="AP29" i="14"/>
  <c r="AQ29" i="14"/>
  <c r="AH30" i="14"/>
  <c r="AJ30" i="14"/>
  <c r="AL30" i="14"/>
  <c r="AM30" i="14"/>
  <c r="AN30" i="14"/>
  <c r="AO30" i="14"/>
  <c r="AP30" i="14"/>
  <c r="AQ30" i="14"/>
  <c r="AH31" i="14"/>
  <c r="AJ31" i="14"/>
  <c r="AL31" i="14"/>
  <c r="AM31" i="14"/>
  <c r="AN31" i="14"/>
  <c r="AO31" i="14"/>
  <c r="AP31" i="14"/>
  <c r="AQ31" i="14"/>
  <c r="AH32" i="14"/>
  <c r="AJ32" i="14"/>
  <c r="AL32" i="14"/>
  <c r="AM32" i="14"/>
  <c r="AN32" i="14"/>
  <c r="AO32" i="14"/>
  <c r="AP32" i="14"/>
  <c r="AQ32" i="14"/>
  <c r="AH33" i="14"/>
  <c r="AJ33" i="14"/>
  <c r="AL33" i="14"/>
  <c r="AM33" i="14"/>
  <c r="AN33" i="14"/>
  <c r="AO33" i="14"/>
  <c r="AP33" i="14"/>
  <c r="AQ33" i="14"/>
  <c r="AH34" i="14"/>
  <c r="AJ34" i="14"/>
  <c r="AL34" i="14"/>
  <c r="AM34" i="14"/>
  <c r="AN34" i="14"/>
  <c r="AO34" i="14"/>
  <c r="AP34" i="14"/>
  <c r="AQ34" i="14"/>
  <c r="AH35" i="14"/>
  <c r="AJ35" i="14"/>
  <c r="AL35" i="14"/>
  <c r="AM35" i="14"/>
  <c r="AN35" i="14"/>
  <c r="AO35" i="14"/>
  <c r="AP35" i="14"/>
  <c r="AQ35" i="14"/>
  <c r="AH36" i="14"/>
  <c r="AJ36" i="14"/>
  <c r="AL36" i="14"/>
  <c r="AM36" i="14"/>
  <c r="AN36" i="14"/>
  <c r="AO36" i="14"/>
  <c r="AP36" i="14"/>
  <c r="AQ36" i="14"/>
  <c r="AH37" i="14"/>
  <c r="AJ37" i="14"/>
  <c r="AL37" i="14"/>
  <c r="AM37" i="14"/>
  <c r="AN37" i="14"/>
  <c r="AO37" i="14"/>
  <c r="AP37" i="14"/>
  <c r="AQ37" i="14"/>
  <c r="AH38" i="14"/>
  <c r="AJ38" i="14"/>
  <c r="AL38" i="14"/>
  <c r="AM38" i="14"/>
  <c r="AN38" i="14"/>
  <c r="AO38" i="14"/>
  <c r="AP38" i="14"/>
  <c r="AQ38" i="14"/>
  <c r="AH39" i="14"/>
  <c r="AJ39" i="14"/>
  <c r="AL39" i="14"/>
  <c r="AM39" i="14"/>
  <c r="AN39" i="14"/>
  <c r="AO39" i="14"/>
  <c r="AP39" i="14"/>
  <c r="AQ39" i="14"/>
  <c r="AH40" i="14"/>
  <c r="AJ40" i="14"/>
  <c r="AL40" i="14"/>
  <c r="AM40" i="14"/>
  <c r="AN40" i="14"/>
  <c r="AO40" i="14"/>
  <c r="AP40" i="14"/>
  <c r="AQ40" i="14"/>
  <c r="AH41" i="14"/>
  <c r="AJ41" i="14"/>
  <c r="AL41" i="14"/>
  <c r="AM41" i="14"/>
  <c r="AN41" i="14"/>
  <c r="AO41" i="14"/>
  <c r="AP41" i="14"/>
  <c r="AQ41" i="14"/>
  <c r="AH42" i="14"/>
  <c r="AJ42" i="14"/>
  <c r="AL42" i="14"/>
  <c r="AM42" i="14"/>
  <c r="AN42" i="14"/>
  <c r="AO42" i="14"/>
  <c r="AP42" i="14"/>
  <c r="AQ42" i="14"/>
  <c r="AH43" i="14"/>
  <c r="AJ43" i="14"/>
  <c r="AL43" i="14"/>
  <c r="AM43" i="14"/>
  <c r="AN43" i="14"/>
  <c r="AO43" i="14"/>
  <c r="AP43" i="14"/>
  <c r="AQ43" i="14"/>
  <c r="AH44" i="14"/>
  <c r="AJ44" i="14"/>
  <c r="AL44" i="14"/>
  <c r="AM44" i="14"/>
  <c r="AN44" i="14"/>
  <c r="AO44" i="14"/>
  <c r="AP44" i="14"/>
  <c r="AQ44" i="14"/>
  <c r="AH45" i="14"/>
  <c r="AJ45" i="14"/>
  <c r="AL45" i="14"/>
  <c r="AM45" i="14"/>
  <c r="AN45" i="14"/>
  <c r="AO45" i="14"/>
  <c r="AP45" i="14"/>
  <c r="AQ45" i="14"/>
  <c r="AH46" i="14"/>
  <c r="AJ46" i="14"/>
  <c r="AL46" i="14"/>
  <c r="AM46" i="14"/>
  <c r="AN46" i="14"/>
  <c r="AO46" i="14"/>
  <c r="AP46" i="14"/>
  <c r="AQ46" i="14"/>
  <c r="AH47" i="14"/>
  <c r="AJ47" i="14"/>
  <c r="AL47" i="14"/>
  <c r="AM47" i="14"/>
  <c r="AN47" i="14"/>
  <c r="AO47" i="14"/>
  <c r="AP47" i="14"/>
  <c r="AQ47" i="14"/>
  <c r="AH48" i="14"/>
  <c r="AJ48" i="14"/>
  <c r="AL48" i="14"/>
  <c r="AM48" i="14"/>
  <c r="AN48" i="14"/>
  <c r="AO48" i="14"/>
  <c r="AP48" i="14"/>
  <c r="AQ48" i="14"/>
  <c r="AH49" i="14"/>
  <c r="AJ49" i="14"/>
  <c r="AL49" i="14"/>
  <c r="AM49" i="14"/>
  <c r="AN49" i="14"/>
  <c r="AO49" i="14"/>
  <c r="AP49" i="14"/>
  <c r="AQ49" i="14"/>
  <c r="AJ11" i="14"/>
  <c r="AL11" i="14"/>
  <c r="AM11" i="14"/>
  <c r="AN11" i="14"/>
  <c r="AO11" i="14"/>
  <c r="AP11" i="14"/>
  <c r="AQ11" i="14"/>
  <c r="AH11" i="14"/>
  <c r="BN11" i="14" s="1"/>
  <c r="BS11" i="14" s="1" a="1"/>
  <c r="BS11" i="14" s="1"/>
  <c r="AI10" i="14"/>
  <c r="AJ10" i="14"/>
  <c r="AL10" i="14"/>
  <c r="AH10" i="14"/>
  <c r="U49" i="14"/>
  <c r="U17" i="14"/>
  <c r="U18" i="14"/>
  <c r="U19" i="14"/>
  <c r="U20" i="14"/>
  <c r="U21" i="14"/>
  <c r="U22" i="14"/>
  <c r="U23" i="14"/>
  <c r="U24" i="14"/>
  <c r="U25" i="14"/>
  <c r="U26" i="14"/>
  <c r="U27" i="14"/>
  <c r="U28" i="14"/>
  <c r="U29" i="14"/>
  <c r="U30" i="14"/>
  <c r="U31" i="14"/>
  <c r="U32" i="14"/>
  <c r="U33" i="14"/>
  <c r="U34" i="14"/>
  <c r="U35" i="14"/>
  <c r="U36" i="14"/>
  <c r="U37" i="14"/>
  <c r="U38" i="14"/>
  <c r="U39" i="14"/>
  <c r="U40" i="14"/>
  <c r="U41" i="14"/>
  <c r="U42" i="14"/>
  <c r="U43" i="14"/>
  <c r="U44" i="14"/>
  <c r="U45" i="14"/>
  <c r="U46" i="14"/>
  <c r="U47" i="14"/>
  <c r="U48" i="14"/>
  <c r="R48" i="14"/>
  <c r="R49" i="14"/>
  <c r="R10" i="14"/>
  <c r="R17" i="14"/>
  <c r="R18" i="14"/>
  <c r="R19" i="14"/>
  <c r="R20" i="14"/>
  <c r="R21" i="14"/>
  <c r="R22" i="14"/>
  <c r="R23" i="14"/>
  <c r="R24" i="14"/>
  <c r="R25" i="14"/>
  <c r="R26" i="14"/>
  <c r="R27" i="14"/>
  <c r="R28" i="14"/>
  <c r="R29" i="14"/>
  <c r="R30" i="14"/>
  <c r="R31" i="14"/>
  <c r="R32" i="14"/>
  <c r="R33" i="14"/>
  <c r="R34" i="14"/>
  <c r="R35" i="14"/>
  <c r="R36" i="14"/>
  <c r="R37" i="14"/>
  <c r="R38" i="14"/>
  <c r="R39" i="14"/>
  <c r="R40" i="14"/>
  <c r="R41" i="14"/>
  <c r="R42" i="14"/>
  <c r="R43" i="14"/>
  <c r="R44" i="14"/>
  <c r="R45" i="14"/>
  <c r="R46" i="14"/>
  <c r="R47" i="14"/>
  <c r="O49" i="14"/>
  <c r="O17" i="14"/>
  <c r="O18" i="14"/>
  <c r="O19" i="14"/>
  <c r="O20" i="14"/>
  <c r="O21" i="14"/>
  <c r="O22" i="14"/>
  <c r="O23" i="14"/>
  <c r="O24" i="14"/>
  <c r="O25" i="14"/>
  <c r="O26" i="14"/>
  <c r="O27" i="14"/>
  <c r="O28" i="14"/>
  <c r="O29" i="14"/>
  <c r="O30" i="14"/>
  <c r="O31" i="14"/>
  <c r="O32" i="14"/>
  <c r="O33" i="14"/>
  <c r="O34" i="14"/>
  <c r="O35" i="14"/>
  <c r="O36" i="14"/>
  <c r="O37" i="14"/>
  <c r="O38" i="14"/>
  <c r="O39" i="14"/>
  <c r="O40" i="14"/>
  <c r="O41" i="14"/>
  <c r="O42" i="14"/>
  <c r="O43" i="14"/>
  <c r="O44" i="14"/>
  <c r="O45" i="14"/>
  <c r="O46" i="14"/>
  <c r="O47" i="14"/>
  <c r="O48" i="14"/>
  <c r="O10" i="14"/>
  <c r="AE12" i="13" a="1"/>
  <c r="AE12" i="13" s="1"/>
  <c r="BT12" i="13" s="1"/>
  <c r="AE13" i="13" a="1"/>
  <c r="AE13" i="13" s="1"/>
  <c r="AE14" i="13" a="1"/>
  <c r="AE14" i="13" s="1"/>
  <c r="AE15" i="13" a="1"/>
  <c r="AE15" i="13" s="1"/>
  <c r="AE16" i="13" a="1"/>
  <c r="AE16" i="13" s="1"/>
  <c r="AE17" i="13" a="1"/>
  <c r="AE17" i="13" s="1"/>
  <c r="AE18" i="13" a="1"/>
  <c r="AE18" i="13" s="1"/>
  <c r="AE19" i="13" a="1"/>
  <c r="AE19" i="13" s="1"/>
  <c r="AE20" i="13" a="1"/>
  <c r="AE20" i="13" s="1"/>
  <c r="AE21" i="13" a="1"/>
  <c r="AE21" i="13" s="1"/>
  <c r="AE22" i="13" a="1"/>
  <c r="AE22" i="13" s="1"/>
  <c r="AE23" i="13" a="1"/>
  <c r="AE23" i="13" s="1"/>
  <c r="AE24" i="13" a="1"/>
  <c r="AE24" i="13" s="1"/>
  <c r="AE25" i="13" a="1"/>
  <c r="AE25" i="13" s="1"/>
  <c r="AE26" i="13" a="1"/>
  <c r="AE26" i="13" s="1"/>
  <c r="AE27" i="13" a="1"/>
  <c r="AE27" i="13" s="1"/>
  <c r="AE28" i="13" a="1"/>
  <c r="AE28" i="13" s="1"/>
  <c r="AE29" i="13" a="1"/>
  <c r="AE29" i="13" s="1"/>
  <c r="AE30" i="13" a="1"/>
  <c r="AE30" i="13" s="1"/>
  <c r="AE31" i="13" a="1"/>
  <c r="AE31" i="13" s="1"/>
  <c r="AE32" i="13" a="1"/>
  <c r="AE32" i="13" s="1"/>
  <c r="AE33" i="13" a="1"/>
  <c r="AE33" i="13" s="1"/>
  <c r="AE34" i="13" a="1"/>
  <c r="AE34" i="13" s="1"/>
  <c r="AE35" i="13" a="1"/>
  <c r="AE35" i="13" s="1"/>
  <c r="AE36" i="13" a="1"/>
  <c r="AE36" i="13" s="1"/>
  <c r="AE37" i="13" a="1"/>
  <c r="AE37" i="13" s="1"/>
  <c r="AE38" i="13" a="1"/>
  <c r="AE38" i="13" s="1"/>
  <c r="AE39" i="13" a="1"/>
  <c r="AE39" i="13" s="1"/>
  <c r="AE40" i="13" a="1"/>
  <c r="AE40" i="13" s="1"/>
  <c r="AE41" i="13" a="1"/>
  <c r="AE41" i="13" s="1"/>
  <c r="AE42" i="13" a="1"/>
  <c r="AE42" i="13" s="1"/>
  <c r="AE43" i="13" a="1"/>
  <c r="AE43" i="13" s="1"/>
  <c r="AE44" i="13" a="1"/>
  <c r="AE44" i="13" s="1"/>
  <c r="AE45" i="13" a="1"/>
  <c r="AE45" i="13" s="1"/>
  <c r="AE46" i="13" a="1"/>
  <c r="AE46" i="13" s="1"/>
  <c r="AE47" i="13" a="1"/>
  <c r="AE47" i="13" s="1"/>
  <c r="AE48" i="13" a="1"/>
  <c r="AE48" i="13" s="1"/>
  <c r="AE49" i="13" a="1"/>
  <c r="AE49" i="13" s="1"/>
  <c r="AE11" i="13" a="1"/>
  <c r="AE11" i="13" s="1"/>
  <c r="BT11" i="13" s="1"/>
  <c r="AD12" i="13" a="1"/>
  <c r="AD12" i="13" s="1"/>
  <c r="BS12" i="13" s="1"/>
  <c r="AD13" i="13" a="1"/>
  <c r="AD13" i="13" s="1"/>
  <c r="AD14" i="13" a="1"/>
  <c r="AD14" i="13" s="1"/>
  <c r="AD15" i="13" a="1"/>
  <c r="AD15" i="13" s="1"/>
  <c r="AD16" i="13" a="1"/>
  <c r="AD16" i="13" s="1"/>
  <c r="AD17" i="13" a="1"/>
  <c r="AD17" i="13" s="1"/>
  <c r="AD18" i="13" a="1"/>
  <c r="AD18" i="13" s="1"/>
  <c r="AD19" i="13" a="1"/>
  <c r="AD19" i="13" s="1"/>
  <c r="AD20" i="13" a="1"/>
  <c r="AD20" i="13" s="1"/>
  <c r="AD21" i="13" a="1"/>
  <c r="AD21" i="13" s="1"/>
  <c r="AD22" i="13" a="1"/>
  <c r="AD22" i="13" s="1"/>
  <c r="AD23" i="13" a="1"/>
  <c r="AD23" i="13" s="1"/>
  <c r="AD24" i="13" a="1"/>
  <c r="AD24" i="13" s="1"/>
  <c r="AD25" i="13" a="1"/>
  <c r="AD25" i="13" s="1"/>
  <c r="AD26" i="13" a="1"/>
  <c r="AD26" i="13" s="1"/>
  <c r="AD27" i="13" a="1"/>
  <c r="AD27" i="13" s="1"/>
  <c r="AD28" i="13" a="1"/>
  <c r="AD28" i="13" s="1"/>
  <c r="AD29" i="13" a="1"/>
  <c r="AD29" i="13" s="1"/>
  <c r="AD30" i="13" a="1"/>
  <c r="AD30" i="13" s="1"/>
  <c r="AD31" i="13" a="1"/>
  <c r="AD31" i="13" s="1"/>
  <c r="AD32" i="13" a="1"/>
  <c r="AD32" i="13" s="1"/>
  <c r="AD33" i="13" a="1"/>
  <c r="AD33" i="13" s="1"/>
  <c r="AD34" i="13" a="1"/>
  <c r="AD34" i="13" s="1"/>
  <c r="AD35" i="13" a="1"/>
  <c r="AD35" i="13" s="1"/>
  <c r="AD36" i="13" a="1"/>
  <c r="AD36" i="13" s="1"/>
  <c r="AD37" i="13" a="1"/>
  <c r="AD37" i="13" s="1"/>
  <c r="AD38" i="13" a="1"/>
  <c r="AD38" i="13" s="1"/>
  <c r="AD39" i="13" a="1"/>
  <c r="AD39" i="13" s="1"/>
  <c r="AD40" i="13" a="1"/>
  <c r="AD40" i="13" s="1"/>
  <c r="AD41" i="13" a="1"/>
  <c r="AD41" i="13" s="1"/>
  <c r="AD42" i="13" a="1"/>
  <c r="AD42" i="13" s="1"/>
  <c r="AD43" i="13" a="1"/>
  <c r="AD43" i="13" s="1"/>
  <c r="AD44" i="13" a="1"/>
  <c r="AD44" i="13" s="1"/>
  <c r="AD45" i="13" a="1"/>
  <c r="AD45" i="13" s="1"/>
  <c r="AD46" i="13" a="1"/>
  <c r="AD46" i="13" s="1"/>
  <c r="AD47" i="13" a="1"/>
  <c r="AD47" i="13" s="1"/>
  <c r="AD48" i="13" a="1"/>
  <c r="AD48" i="13" s="1"/>
  <c r="AD49" i="13" a="1"/>
  <c r="AD49" i="13" s="1"/>
  <c r="AD11" i="13" a="1"/>
  <c r="AD11" i="13" s="1"/>
  <c r="BS11" i="13" s="1"/>
  <c r="AD10" i="13" a="1"/>
  <c r="AD10" i="13" s="1"/>
  <c r="AB49" i="13"/>
  <c r="AB12" i="13"/>
  <c r="AB13" i="13"/>
  <c r="AB14" i="13"/>
  <c r="AB15" i="13"/>
  <c r="AB16" i="13"/>
  <c r="AB17" i="13"/>
  <c r="AB18" i="13"/>
  <c r="AB19" i="13"/>
  <c r="AB20" i="13"/>
  <c r="AB21" i="13"/>
  <c r="AB22" i="13"/>
  <c r="AB23" i="13"/>
  <c r="AB24" i="13"/>
  <c r="AB25" i="13"/>
  <c r="AB26" i="13"/>
  <c r="AB27" i="13"/>
  <c r="AB28" i="13"/>
  <c r="AB29" i="13"/>
  <c r="AB30" i="13"/>
  <c r="AB31" i="13"/>
  <c r="AB32" i="13"/>
  <c r="AB33" i="13"/>
  <c r="AB34" i="13"/>
  <c r="AB35" i="13"/>
  <c r="AB36" i="13"/>
  <c r="AB37" i="13"/>
  <c r="AB38" i="13"/>
  <c r="AB39" i="13"/>
  <c r="AB40" i="13"/>
  <c r="AB41" i="13"/>
  <c r="AB42" i="13"/>
  <c r="AB43" i="13"/>
  <c r="AB44" i="13"/>
  <c r="AB45" i="13"/>
  <c r="AB46" i="13"/>
  <c r="AB47" i="13"/>
  <c r="AB48" i="13"/>
  <c r="AB11" i="13"/>
  <c r="W12" i="13"/>
  <c r="W13" i="13"/>
  <c r="W14" i="13"/>
  <c r="W15" i="13"/>
  <c r="W16" i="13"/>
  <c r="W17" i="13"/>
  <c r="W18" i="13"/>
  <c r="W19" i="13"/>
  <c r="W20" i="13"/>
  <c r="W21" i="13"/>
  <c r="W22" i="13"/>
  <c r="W23" i="13"/>
  <c r="W24" i="13"/>
  <c r="W25" i="13"/>
  <c r="W26" i="13"/>
  <c r="W27" i="13"/>
  <c r="W28" i="13"/>
  <c r="W29" i="13"/>
  <c r="W30" i="13"/>
  <c r="W31" i="13"/>
  <c r="W32" i="13"/>
  <c r="W33" i="13"/>
  <c r="W34" i="13"/>
  <c r="W35" i="13"/>
  <c r="W36" i="13"/>
  <c r="W37" i="13"/>
  <c r="W38" i="13"/>
  <c r="W39" i="13"/>
  <c r="W40" i="13"/>
  <c r="W41" i="13"/>
  <c r="W42" i="13"/>
  <c r="W43" i="13"/>
  <c r="W44" i="13"/>
  <c r="W45" i="13"/>
  <c r="W46" i="13"/>
  <c r="W47" i="13"/>
  <c r="W48" i="13"/>
  <c r="W49" i="13"/>
  <c r="W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11" i="13"/>
  <c r="Y9" i="1"/>
  <c r="AL15" i="1"/>
  <c r="AL25" i="1"/>
  <c r="AL47" i="1"/>
  <c r="AL60" i="1"/>
  <c r="AB10" i="1"/>
  <c r="AC10" i="1" s="1"/>
  <c r="AG10" i="1" s="1"/>
  <c r="AA11" i="1"/>
  <c r="AB11" i="1"/>
  <c r="AA12" i="1"/>
  <c r="AB12" i="1"/>
  <c r="AA13" i="1"/>
  <c r="AB13" i="1"/>
  <c r="AA14" i="1"/>
  <c r="AB14" i="1"/>
  <c r="AA15" i="1"/>
  <c r="AB15" i="1"/>
  <c r="AA16" i="1"/>
  <c r="AB16" i="1"/>
  <c r="AA17" i="1"/>
  <c r="AB17" i="1"/>
  <c r="AA18" i="1"/>
  <c r="AB18" i="1"/>
  <c r="AA19" i="1"/>
  <c r="AB19" i="1"/>
  <c r="AA20" i="1"/>
  <c r="AB20" i="1"/>
  <c r="AA21" i="1"/>
  <c r="AB21" i="1"/>
  <c r="AA22" i="1"/>
  <c r="AB22" i="1"/>
  <c r="AA23" i="1"/>
  <c r="AC23" i="1" s="1"/>
  <c r="AB23" i="1"/>
  <c r="AA24" i="1"/>
  <c r="AB24" i="1"/>
  <c r="AA25" i="1"/>
  <c r="AB25" i="1"/>
  <c r="AA26" i="1"/>
  <c r="AB26" i="1"/>
  <c r="AA27" i="1"/>
  <c r="AC27" i="1" s="1"/>
  <c r="AB27" i="1"/>
  <c r="AA28" i="1"/>
  <c r="AB28" i="1"/>
  <c r="AA29" i="1"/>
  <c r="AC29" i="1" s="1"/>
  <c r="AB29" i="1"/>
  <c r="AA30" i="1"/>
  <c r="AB30" i="1"/>
  <c r="AA31" i="1"/>
  <c r="AB31" i="1"/>
  <c r="AA32" i="1"/>
  <c r="AB32" i="1"/>
  <c r="AA33" i="1"/>
  <c r="AB33" i="1"/>
  <c r="AA34" i="1"/>
  <c r="AB34" i="1"/>
  <c r="AA35" i="1"/>
  <c r="AB35" i="1"/>
  <c r="AA36" i="1"/>
  <c r="AB36" i="1"/>
  <c r="AA37" i="1"/>
  <c r="AB37" i="1"/>
  <c r="AA38" i="1"/>
  <c r="AB38" i="1"/>
  <c r="AA39" i="1"/>
  <c r="AB39" i="1"/>
  <c r="AA40" i="1"/>
  <c r="AB40" i="1"/>
  <c r="AA41" i="1"/>
  <c r="AC41" i="1" s="1"/>
  <c r="AB41" i="1"/>
  <c r="AA42" i="1"/>
  <c r="AB42" i="1"/>
  <c r="AA43" i="1"/>
  <c r="AB43" i="1"/>
  <c r="AA44" i="1"/>
  <c r="AB44" i="1"/>
  <c r="AA45" i="1"/>
  <c r="AC45" i="1" s="1"/>
  <c r="AB45" i="1"/>
  <c r="AA46" i="1"/>
  <c r="AB46" i="1"/>
  <c r="AA47" i="1"/>
  <c r="AB47" i="1"/>
  <c r="AA48" i="1"/>
  <c r="AB48" i="1"/>
  <c r="AA49" i="1"/>
  <c r="AB49" i="1"/>
  <c r="AA50" i="1"/>
  <c r="AB50" i="1"/>
  <c r="AA51" i="1"/>
  <c r="AB51" i="1"/>
  <c r="AA52" i="1"/>
  <c r="AB52" i="1"/>
  <c r="AA53" i="1"/>
  <c r="AB53" i="1"/>
  <c r="AA54" i="1"/>
  <c r="AB54" i="1"/>
  <c r="AA55" i="1"/>
  <c r="AC55" i="1" s="1"/>
  <c r="AB55" i="1"/>
  <c r="AA56" i="1"/>
  <c r="AB56" i="1"/>
  <c r="AA57" i="1"/>
  <c r="AB57" i="1"/>
  <c r="AA58" i="1"/>
  <c r="AB58" i="1"/>
  <c r="AA59" i="1"/>
  <c r="AC59" i="1" s="1"/>
  <c r="AB59" i="1"/>
  <c r="AA60" i="1"/>
  <c r="AB60" i="1"/>
  <c r="AA61" i="1"/>
  <c r="AB61" i="1"/>
  <c r="AA62" i="1"/>
  <c r="AB62" i="1"/>
  <c r="AA63" i="1"/>
  <c r="AC63" i="1" s="1"/>
  <c r="AB63" i="1"/>
  <c r="AA64" i="1"/>
  <c r="AB64" i="1"/>
  <c r="AA65" i="1"/>
  <c r="AC65" i="1" s="1"/>
  <c r="AB65" i="1"/>
  <c r="AA66" i="1"/>
  <c r="AB66" i="1"/>
  <c r="AA67" i="1"/>
  <c r="AC67" i="1" s="1"/>
  <c r="AB67" i="1"/>
  <c r="AA68" i="1"/>
  <c r="AB68" i="1"/>
  <c r="U10" i="1"/>
  <c r="V10" i="1"/>
  <c r="X10" i="1"/>
  <c r="Y10" i="1"/>
  <c r="Z10" i="1"/>
  <c r="U11" i="1"/>
  <c r="V11" i="1"/>
  <c r="X11" i="1"/>
  <c r="Y11" i="1"/>
  <c r="Z11" i="1"/>
  <c r="U12" i="1"/>
  <c r="V12" i="1"/>
  <c r="X12" i="1"/>
  <c r="Y12" i="1"/>
  <c r="Z12" i="1"/>
  <c r="U13" i="1"/>
  <c r="V13" i="1"/>
  <c r="X13" i="1"/>
  <c r="Y13" i="1"/>
  <c r="Z13" i="1"/>
  <c r="U14" i="1"/>
  <c r="V14" i="1"/>
  <c r="X14" i="1"/>
  <c r="Y14" i="1"/>
  <c r="Z14" i="1"/>
  <c r="U15" i="1"/>
  <c r="V15" i="1"/>
  <c r="X15" i="1"/>
  <c r="Y15" i="1"/>
  <c r="Z15" i="1"/>
  <c r="U16" i="1"/>
  <c r="V16" i="1"/>
  <c r="X16" i="1"/>
  <c r="Y16" i="1"/>
  <c r="Z16" i="1"/>
  <c r="U17" i="1"/>
  <c r="V17" i="1"/>
  <c r="X17" i="1"/>
  <c r="Y17" i="1"/>
  <c r="Z17" i="1"/>
  <c r="U18" i="1"/>
  <c r="V18" i="1"/>
  <c r="X18" i="1"/>
  <c r="Y18" i="1"/>
  <c r="Z18" i="1"/>
  <c r="U19" i="1"/>
  <c r="V19" i="1"/>
  <c r="X19" i="1"/>
  <c r="Y19" i="1"/>
  <c r="Z19" i="1"/>
  <c r="U20" i="1"/>
  <c r="V20" i="1"/>
  <c r="X20" i="1"/>
  <c r="Y20" i="1"/>
  <c r="Z20" i="1"/>
  <c r="U21" i="1"/>
  <c r="V21" i="1"/>
  <c r="X21" i="1"/>
  <c r="Y21" i="1"/>
  <c r="Z21" i="1"/>
  <c r="U22" i="1"/>
  <c r="V22" i="1"/>
  <c r="X22" i="1"/>
  <c r="Y22" i="1"/>
  <c r="Z22" i="1"/>
  <c r="U23" i="1"/>
  <c r="V23" i="1"/>
  <c r="X23" i="1"/>
  <c r="Y23" i="1"/>
  <c r="Z23" i="1"/>
  <c r="U24" i="1"/>
  <c r="V24" i="1"/>
  <c r="X24" i="1"/>
  <c r="Y24" i="1"/>
  <c r="Z24" i="1"/>
  <c r="U25" i="1"/>
  <c r="V25" i="1"/>
  <c r="X25" i="1"/>
  <c r="Y25" i="1"/>
  <c r="Z25" i="1"/>
  <c r="U26" i="1"/>
  <c r="V26" i="1"/>
  <c r="X26" i="1"/>
  <c r="Y26" i="1"/>
  <c r="Z26" i="1"/>
  <c r="U27" i="1"/>
  <c r="V27" i="1"/>
  <c r="X27" i="1"/>
  <c r="Y27" i="1"/>
  <c r="Z27" i="1"/>
  <c r="U28" i="1"/>
  <c r="V28" i="1"/>
  <c r="X28" i="1"/>
  <c r="Y28" i="1"/>
  <c r="Z28" i="1"/>
  <c r="U29" i="1"/>
  <c r="V29" i="1"/>
  <c r="X29" i="1"/>
  <c r="Y29" i="1"/>
  <c r="Z29" i="1"/>
  <c r="U30" i="1"/>
  <c r="V30" i="1"/>
  <c r="X30" i="1"/>
  <c r="Y30" i="1"/>
  <c r="Z30" i="1"/>
  <c r="U31" i="1"/>
  <c r="V31" i="1"/>
  <c r="X31" i="1"/>
  <c r="Y31" i="1"/>
  <c r="Z31" i="1"/>
  <c r="U32" i="1"/>
  <c r="V32" i="1"/>
  <c r="X32" i="1"/>
  <c r="Y32" i="1"/>
  <c r="Z32" i="1"/>
  <c r="U33" i="1"/>
  <c r="V33" i="1"/>
  <c r="X33" i="1"/>
  <c r="Y33" i="1"/>
  <c r="Z33" i="1"/>
  <c r="U34" i="1"/>
  <c r="V34" i="1"/>
  <c r="X34" i="1"/>
  <c r="Y34" i="1"/>
  <c r="Z34" i="1"/>
  <c r="U35" i="1"/>
  <c r="V35" i="1"/>
  <c r="X35" i="1"/>
  <c r="Y35" i="1"/>
  <c r="Z35" i="1"/>
  <c r="U36" i="1"/>
  <c r="V36" i="1"/>
  <c r="X36" i="1"/>
  <c r="Y36" i="1"/>
  <c r="Z36" i="1"/>
  <c r="U37" i="1"/>
  <c r="V37" i="1"/>
  <c r="X37" i="1"/>
  <c r="Y37" i="1"/>
  <c r="Z37" i="1"/>
  <c r="U38" i="1"/>
  <c r="V38" i="1"/>
  <c r="X38" i="1"/>
  <c r="Y38" i="1"/>
  <c r="Z38" i="1"/>
  <c r="U39" i="1"/>
  <c r="V39" i="1"/>
  <c r="X39" i="1"/>
  <c r="Y39" i="1"/>
  <c r="Z39" i="1"/>
  <c r="U40" i="1"/>
  <c r="V40" i="1"/>
  <c r="X40" i="1"/>
  <c r="Y40" i="1"/>
  <c r="Z40" i="1"/>
  <c r="U41" i="1"/>
  <c r="V41" i="1"/>
  <c r="X41" i="1"/>
  <c r="Y41" i="1"/>
  <c r="Z41" i="1"/>
  <c r="U42" i="1"/>
  <c r="V42" i="1"/>
  <c r="X42" i="1"/>
  <c r="Y42" i="1"/>
  <c r="Z42" i="1"/>
  <c r="U43" i="1"/>
  <c r="V43" i="1"/>
  <c r="X43" i="1"/>
  <c r="Y43" i="1"/>
  <c r="Z43" i="1"/>
  <c r="U44" i="1"/>
  <c r="V44" i="1"/>
  <c r="X44" i="1"/>
  <c r="Y44" i="1"/>
  <c r="Z44" i="1"/>
  <c r="U45" i="1"/>
  <c r="V45" i="1"/>
  <c r="X45" i="1"/>
  <c r="Y45" i="1"/>
  <c r="Z45" i="1"/>
  <c r="U46" i="1"/>
  <c r="V46" i="1"/>
  <c r="X46" i="1"/>
  <c r="Y46" i="1"/>
  <c r="Z46" i="1"/>
  <c r="U47" i="1"/>
  <c r="V47" i="1"/>
  <c r="X47" i="1"/>
  <c r="Y47" i="1"/>
  <c r="Z47" i="1"/>
  <c r="U48" i="1"/>
  <c r="V48" i="1"/>
  <c r="X48" i="1"/>
  <c r="Y48" i="1"/>
  <c r="Z48" i="1"/>
  <c r="U49" i="1"/>
  <c r="V49" i="1"/>
  <c r="X49" i="1"/>
  <c r="Y49" i="1"/>
  <c r="Z49" i="1"/>
  <c r="U50" i="1"/>
  <c r="V50" i="1"/>
  <c r="X50" i="1"/>
  <c r="Y50" i="1"/>
  <c r="Z50" i="1"/>
  <c r="U51" i="1"/>
  <c r="V51" i="1"/>
  <c r="X51" i="1"/>
  <c r="Y51" i="1"/>
  <c r="Z51" i="1"/>
  <c r="U52" i="1"/>
  <c r="V52" i="1"/>
  <c r="X52" i="1"/>
  <c r="Y52" i="1"/>
  <c r="Z52" i="1"/>
  <c r="U53" i="1"/>
  <c r="V53" i="1"/>
  <c r="X53" i="1"/>
  <c r="Y53" i="1"/>
  <c r="Z53" i="1"/>
  <c r="U54" i="1"/>
  <c r="V54" i="1"/>
  <c r="X54" i="1"/>
  <c r="Y54" i="1"/>
  <c r="Z54" i="1"/>
  <c r="U55" i="1"/>
  <c r="V55" i="1"/>
  <c r="X55" i="1"/>
  <c r="Y55" i="1"/>
  <c r="Z55" i="1"/>
  <c r="U56" i="1"/>
  <c r="V56" i="1"/>
  <c r="X56" i="1"/>
  <c r="Y56" i="1"/>
  <c r="Z56" i="1"/>
  <c r="U57" i="1"/>
  <c r="V57" i="1"/>
  <c r="X57" i="1"/>
  <c r="Y57" i="1"/>
  <c r="Z57" i="1"/>
  <c r="U58" i="1"/>
  <c r="V58" i="1"/>
  <c r="X58" i="1"/>
  <c r="Y58" i="1"/>
  <c r="Z58" i="1"/>
  <c r="U59" i="1"/>
  <c r="V59" i="1"/>
  <c r="X59" i="1"/>
  <c r="Y59" i="1"/>
  <c r="Z59" i="1"/>
  <c r="U60" i="1"/>
  <c r="V60" i="1"/>
  <c r="X60" i="1"/>
  <c r="Y60" i="1"/>
  <c r="Z60" i="1"/>
  <c r="U61" i="1"/>
  <c r="V61" i="1"/>
  <c r="X61" i="1"/>
  <c r="Y61" i="1"/>
  <c r="Z61" i="1"/>
  <c r="U62" i="1"/>
  <c r="V62" i="1"/>
  <c r="X62" i="1"/>
  <c r="Y62" i="1"/>
  <c r="Z62" i="1"/>
  <c r="U63" i="1"/>
  <c r="V63" i="1"/>
  <c r="X63" i="1"/>
  <c r="Y63" i="1"/>
  <c r="Z63" i="1"/>
  <c r="U64" i="1"/>
  <c r="V64" i="1"/>
  <c r="X64" i="1"/>
  <c r="Y64" i="1"/>
  <c r="Z64" i="1"/>
  <c r="U65" i="1"/>
  <c r="V65" i="1"/>
  <c r="X65" i="1"/>
  <c r="Y65" i="1"/>
  <c r="Z65" i="1"/>
  <c r="U66" i="1"/>
  <c r="V66" i="1"/>
  <c r="X66" i="1"/>
  <c r="Y66" i="1"/>
  <c r="Z66" i="1"/>
  <c r="U67" i="1"/>
  <c r="V67" i="1"/>
  <c r="X67" i="1"/>
  <c r="Y67" i="1"/>
  <c r="Z67" i="1"/>
  <c r="U68" i="1"/>
  <c r="V68" i="1"/>
  <c r="X68" i="1"/>
  <c r="Y68" i="1"/>
  <c r="Z68" i="1"/>
  <c r="U9" i="1"/>
  <c r="V9" i="1"/>
  <c r="X9" i="1"/>
  <c r="Z9" i="1"/>
  <c r="BD26" i="20"/>
  <c r="BD31" i="20"/>
  <c r="BD34" i="20"/>
  <c r="AW30" i="20"/>
  <c r="AQ31" i="20"/>
  <c r="AP26" i="20"/>
  <c r="AP27" i="20"/>
  <c r="AP34" i="20"/>
  <c r="BE26" i="20"/>
  <c r="BE28" i="20"/>
  <c r="BE29" i="20"/>
  <c r="BE34" i="20"/>
  <c r="AX26" i="20"/>
  <c r="AX35" i="20" s="1"/>
  <c r="AX27" i="20"/>
  <c r="AX28" i="20"/>
  <c r="AX33" i="20"/>
  <c r="AX34" i="20"/>
  <c r="AQ25" i="20"/>
  <c r="AQ30" i="20"/>
  <c r="AQ32" i="20"/>
  <c r="AQ34" i="20"/>
  <c r="AZ25" i="20"/>
  <c r="BA25" i="20"/>
  <c r="BE25" i="20"/>
  <c r="BE35" i="20" s="1"/>
  <c r="BB25" i="20"/>
  <c r="AZ26" i="20"/>
  <c r="BA26" i="20"/>
  <c r="BB26" i="20"/>
  <c r="AZ27" i="20"/>
  <c r="BA27" i="20"/>
  <c r="BE27" i="20"/>
  <c r="BB27" i="20"/>
  <c r="BD27" i="20"/>
  <c r="AZ28" i="20"/>
  <c r="BA28" i="20"/>
  <c r="BB28" i="20"/>
  <c r="BD28" i="20"/>
  <c r="AZ29" i="20"/>
  <c r="BA29" i="20"/>
  <c r="BB29" i="20"/>
  <c r="BD29" i="20"/>
  <c r="AZ30" i="20"/>
  <c r="BA30" i="20"/>
  <c r="BE30" i="20"/>
  <c r="BB30" i="20"/>
  <c r="BD30" i="20"/>
  <c r="AZ31" i="20"/>
  <c r="BA31" i="20"/>
  <c r="BE31" i="20"/>
  <c r="BB31" i="20"/>
  <c r="AZ32" i="20"/>
  <c r="BA32" i="20"/>
  <c r="BE32" i="20"/>
  <c r="BB32" i="20"/>
  <c r="BD32" i="20"/>
  <c r="AZ33" i="20"/>
  <c r="BA33" i="20"/>
  <c r="BE33" i="20"/>
  <c r="BB33" i="20"/>
  <c r="AZ34" i="20"/>
  <c r="BA34" i="20"/>
  <c r="BB34" i="20"/>
  <c r="AY26" i="20"/>
  <c r="AY27" i="20"/>
  <c r="AY28" i="20"/>
  <c r="AY29" i="20"/>
  <c r="AY30" i="20"/>
  <c r="AY31" i="20"/>
  <c r="AY32" i="20"/>
  <c r="AY33" i="20"/>
  <c r="AY34" i="20"/>
  <c r="AY25" i="20"/>
  <c r="AT25" i="20"/>
  <c r="AX25" i="20"/>
  <c r="AU25" i="20"/>
  <c r="AW25" i="20"/>
  <c r="AT26" i="20"/>
  <c r="AU26" i="20"/>
  <c r="AW26" i="20"/>
  <c r="AT27" i="20"/>
  <c r="AU27" i="20"/>
  <c r="AW27" i="20"/>
  <c r="AT28" i="20"/>
  <c r="AU28" i="20"/>
  <c r="AW28" i="20"/>
  <c r="AT29" i="20"/>
  <c r="AX29" i="20"/>
  <c r="AU29" i="20"/>
  <c r="AW29" i="20"/>
  <c r="AT30" i="20"/>
  <c r="AX30" i="20"/>
  <c r="AU30" i="20"/>
  <c r="AT31" i="20"/>
  <c r="AX31" i="20"/>
  <c r="AU31" i="20"/>
  <c r="AW31" i="20"/>
  <c r="AT32" i="20"/>
  <c r="AX32" i="20"/>
  <c r="AU32" i="20"/>
  <c r="AW32" i="20"/>
  <c r="AT33" i="20"/>
  <c r="AU33" i="20"/>
  <c r="AW33" i="20"/>
  <c r="AT34" i="20"/>
  <c r="AU34" i="20"/>
  <c r="AW34" i="20"/>
  <c r="AS25" i="20"/>
  <c r="AS26" i="20"/>
  <c r="AS27" i="20"/>
  <c r="AS28" i="20"/>
  <c r="AS29" i="20"/>
  <c r="AS30" i="20"/>
  <c r="AS31" i="20"/>
  <c r="AS32" i="20"/>
  <c r="AS33" i="20"/>
  <c r="AS34" i="20"/>
  <c r="AR26" i="20"/>
  <c r="AR27" i="20"/>
  <c r="AR28" i="20"/>
  <c r="AR29" i="20"/>
  <c r="AR30" i="20"/>
  <c r="AR31" i="20"/>
  <c r="AR32" i="20"/>
  <c r="AR33" i="20"/>
  <c r="AR34" i="20"/>
  <c r="AR25" i="20"/>
  <c r="AM25" i="20"/>
  <c r="AN25" i="20"/>
  <c r="AP25" i="20"/>
  <c r="AM26" i="20"/>
  <c r="AQ26" i="20"/>
  <c r="AN26" i="20"/>
  <c r="AM27" i="20"/>
  <c r="AQ27" i="20"/>
  <c r="AN27" i="20"/>
  <c r="AM28" i="20"/>
  <c r="AQ28" i="20"/>
  <c r="AQ35" i="20" s="1"/>
  <c r="AN28" i="20"/>
  <c r="AP28" i="20"/>
  <c r="AM29" i="20"/>
  <c r="AQ29" i="20"/>
  <c r="AN29" i="20"/>
  <c r="AP29" i="20"/>
  <c r="AM30" i="20"/>
  <c r="AN30" i="20"/>
  <c r="AP30" i="20"/>
  <c r="AM31" i="20"/>
  <c r="AN31" i="20"/>
  <c r="AP31" i="20"/>
  <c r="AM32" i="20"/>
  <c r="AN32" i="20"/>
  <c r="AP32" i="20"/>
  <c r="AM33" i="20"/>
  <c r="AQ33" i="20"/>
  <c r="AN33" i="20"/>
  <c r="AP33" i="20"/>
  <c r="AM34" i="20"/>
  <c r="AN34" i="20"/>
  <c r="AL26" i="20"/>
  <c r="AL27" i="20"/>
  <c r="AL28" i="20"/>
  <c r="AL29" i="20"/>
  <c r="AL30" i="20"/>
  <c r="AL31" i="20"/>
  <c r="AL32" i="20"/>
  <c r="AL33" i="20"/>
  <c r="AL34" i="20"/>
  <c r="AL25" i="20"/>
  <c r="AK26" i="20"/>
  <c r="AK27" i="20"/>
  <c r="AK28" i="20"/>
  <c r="AK29" i="20"/>
  <c r="AK30" i="20"/>
  <c r="AK31" i="20"/>
  <c r="AK32" i="20"/>
  <c r="AK33" i="20"/>
  <c r="AK34" i="20"/>
  <c r="AK25" i="20"/>
  <c r="AV16" i="20"/>
  <c r="AU16" i="20"/>
  <c r="BD33" i="20"/>
  <c r="BA35" i="20"/>
  <c r="BB35" i="20"/>
  <c r="BD25" i="20"/>
  <c r="E11" i="19"/>
  <c r="E10" i="19"/>
  <c r="H4" i="34"/>
  <c r="Q8" i="17"/>
  <c r="U8" i="17"/>
  <c r="V8" i="17"/>
  <c r="X8" i="17"/>
  <c r="Y8" i="17"/>
  <c r="Z8" i="17"/>
  <c r="AA8" i="17"/>
  <c r="AB8" i="17"/>
  <c r="AC8" i="17"/>
  <c r="AD8" i="17"/>
  <c r="AF8" i="17"/>
  <c r="AG8" i="17"/>
  <c r="AH8" i="17"/>
  <c r="Q10" i="17"/>
  <c r="Q11" i="17"/>
  <c r="Q12" i="17"/>
  <c r="Q13" i="17"/>
  <c r="Q14" i="17"/>
  <c r="Q15" i="17"/>
  <c r="Q16" i="17"/>
  <c r="Q17" i="17"/>
  <c r="Q18" i="17"/>
  <c r="Q19" i="17"/>
  <c r="Q20" i="17"/>
  <c r="Q21" i="17"/>
  <c r="Q22" i="17"/>
  <c r="Q23" i="17"/>
  <c r="T8" i="17"/>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69" i="19"/>
  <c r="E70" i="19"/>
  <c r="E71" i="19"/>
  <c r="E72" i="19"/>
  <c r="E73" i="19"/>
  <c r="E74" i="19"/>
  <c r="E75" i="19"/>
  <c r="E76" i="19"/>
  <c r="E77" i="19"/>
  <c r="E78" i="19"/>
  <c r="E79" i="19"/>
  <c r="E80" i="19"/>
  <c r="E81" i="19"/>
  <c r="E82" i="19"/>
  <c r="E83" i="19"/>
  <c r="E84" i="19"/>
  <c r="E85" i="19"/>
  <c r="E86" i="19"/>
  <c r="E87" i="19"/>
  <c r="E88" i="19"/>
  <c r="E89" i="19"/>
  <c r="E90" i="19"/>
  <c r="E91" i="19"/>
  <c r="E92" i="19"/>
  <c r="E93" i="19"/>
  <c r="E94" i="19"/>
  <c r="E95" i="19"/>
  <c r="E96" i="19"/>
  <c r="E97" i="19"/>
  <c r="E98" i="19"/>
  <c r="E99" i="19"/>
  <c r="E100" i="19"/>
  <c r="E101" i="19"/>
  <c r="E102" i="19"/>
  <c r="E103" i="19"/>
  <c r="E104" i="19"/>
  <c r="E105" i="19"/>
  <c r="E106" i="19"/>
  <c r="E107" i="19"/>
  <c r="E108" i="19"/>
  <c r="E109" i="19"/>
  <c r="E110" i="19"/>
  <c r="E111" i="19"/>
  <c r="E112" i="19"/>
  <c r="E113" i="19"/>
  <c r="E114" i="19"/>
  <c r="E4" i="19"/>
  <c r="E5" i="19"/>
  <c r="E6" i="19"/>
  <c r="E7" i="19"/>
  <c r="E8" i="19"/>
  <c r="E9" i="19"/>
  <c r="E12" i="19"/>
  <c r="E13" i="19"/>
  <c r="E14" i="19"/>
  <c r="AJ16" i="20"/>
  <c r="AI16" i="20"/>
  <c r="AP16" i="20"/>
  <c r="AO16" i="20"/>
  <c r="AU35" i="20"/>
  <c r="AN35" i="20"/>
  <c r="AT35" i="20"/>
  <c r="AM35" i="20"/>
  <c r="K8" i="32"/>
  <c r="J8" i="32"/>
  <c r="M8" i="31"/>
  <c r="AB8" i="31" s="1" a="1"/>
  <c r="AB8" i="31" s="1"/>
  <c r="F49" i="25"/>
  <c r="K49" i="25"/>
  <c r="M49" i="25"/>
  <c r="AA49" i="25"/>
  <c r="N9" i="14"/>
  <c r="E34" i="20"/>
  <c r="AD16" i="20"/>
  <c r="AG26" i="20"/>
  <c r="AG27" i="20"/>
  <c r="AG28" i="20"/>
  <c r="AG29" i="20"/>
  <c r="AG30" i="20"/>
  <c r="AG31" i="20"/>
  <c r="AG32" i="20"/>
  <c r="AG33" i="20"/>
  <c r="AG34" i="20"/>
  <c r="AG25" i="20"/>
  <c r="AI25" i="20" a="1"/>
  <c r="AI25" i="20"/>
  <c r="AF26" i="20"/>
  <c r="AF27" i="20"/>
  <c r="AJ27" i="20"/>
  <c r="AF28" i="20"/>
  <c r="AJ28" i="20"/>
  <c r="AF29" i="20"/>
  <c r="AJ29" i="20"/>
  <c r="AF30" i="20"/>
  <c r="AJ30" i="20"/>
  <c r="AF31" i="20"/>
  <c r="AJ31" i="20"/>
  <c r="AF32" i="20"/>
  <c r="AJ32" i="20"/>
  <c r="AF33" i="20"/>
  <c r="AJ33" i="20"/>
  <c r="AF34" i="20"/>
  <c r="AJ34" i="20"/>
  <c r="AJ35" i="20" s="1"/>
  <c r="AF25" i="20"/>
  <c r="AJ25" i="20"/>
  <c r="AE26" i="20"/>
  <c r="AE27" i="20"/>
  <c r="AE28" i="20"/>
  <c r="AE29" i="20"/>
  <c r="AE30" i="20"/>
  <c r="AE31" i="20"/>
  <c r="AE32" i="20"/>
  <c r="AE33" i="20"/>
  <c r="AE34" i="20"/>
  <c r="AE25" i="20"/>
  <c r="AD26" i="20"/>
  <c r="AD27" i="20"/>
  <c r="AD28" i="20"/>
  <c r="AD29" i="20"/>
  <c r="AD30" i="20"/>
  <c r="AD31" i="20"/>
  <c r="AD32" i="20"/>
  <c r="AD33" i="20"/>
  <c r="AD34" i="20"/>
  <c r="AD25" i="20"/>
  <c r="Z26" i="20"/>
  <c r="Y26" i="20"/>
  <c r="AC26" i="20"/>
  <c r="Z27" i="20"/>
  <c r="Z28" i="20"/>
  <c r="Z29" i="20"/>
  <c r="Z30" i="20"/>
  <c r="Z31" i="20"/>
  <c r="Z32" i="20"/>
  <c r="Z33" i="20"/>
  <c r="Z34" i="20"/>
  <c r="Z25" i="20"/>
  <c r="AB25" i="20" a="1"/>
  <c r="AB25" i="20"/>
  <c r="Y27" i="20"/>
  <c r="AC27" i="20"/>
  <c r="Y28" i="20"/>
  <c r="AC28" i="20"/>
  <c r="Y29" i="20"/>
  <c r="Y30" i="20"/>
  <c r="AC30" i="20"/>
  <c r="Y31" i="20"/>
  <c r="AC31" i="20"/>
  <c r="Y32" i="20"/>
  <c r="AC32" i="20"/>
  <c r="Y33" i="20"/>
  <c r="Y34" i="20"/>
  <c r="AC34" i="20"/>
  <c r="Y25" i="20"/>
  <c r="AC25" i="20"/>
  <c r="X26" i="20"/>
  <c r="X27" i="20"/>
  <c r="X28" i="20"/>
  <c r="X29" i="20"/>
  <c r="X30" i="20"/>
  <c r="X31" i="20"/>
  <c r="X32" i="20"/>
  <c r="X33" i="20"/>
  <c r="X34" i="20"/>
  <c r="X25" i="20"/>
  <c r="W26" i="20"/>
  <c r="W27" i="20"/>
  <c r="W28" i="20"/>
  <c r="W29" i="20"/>
  <c r="W30" i="20"/>
  <c r="W31" i="20"/>
  <c r="W32" i="20"/>
  <c r="W33" i="20"/>
  <c r="W34" i="20"/>
  <c r="W25" i="20"/>
  <c r="V27" i="20"/>
  <c r="S26" i="20"/>
  <c r="S27" i="20"/>
  <c r="S28" i="20"/>
  <c r="S29" i="20"/>
  <c r="S30" i="20"/>
  <c r="S31" i="20"/>
  <c r="S32" i="20"/>
  <c r="S33" i="20"/>
  <c r="S34" i="20"/>
  <c r="S25" i="20"/>
  <c r="U25" i="20" a="1"/>
  <c r="U25" i="20"/>
  <c r="R26" i="20"/>
  <c r="V26" i="20"/>
  <c r="R27" i="20"/>
  <c r="R28" i="20"/>
  <c r="V28" i="20"/>
  <c r="R29" i="20"/>
  <c r="V29" i="20"/>
  <c r="R30" i="20"/>
  <c r="V30" i="20"/>
  <c r="R31" i="20"/>
  <c r="V31" i="20"/>
  <c r="R32" i="20"/>
  <c r="V32" i="20"/>
  <c r="R33" i="20"/>
  <c r="V33" i="20"/>
  <c r="R34" i="20"/>
  <c r="R25" i="20"/>
  <c r="V25" i="20"/>
  <c r="V35" i="20" s="1"/>
  <c r="Q26" i="20"/>
  <c r="Q27" i="20"/>
  <c r="Q28" i="20"/>
  <c r="Q29" i="20"/>
  <c r="Q30" i="20"/>
  <c r="Q31" i="20"/>
  <c r="Q32" i="20"/>
  <c r="Q33" i="20"/>
  <c r="Q34" i="20"/>
  <c r="Q25" i="20"/>
  <c r="P26" i="20"/>
  <c r="P27" i="20"/>
  <c r="P28" i="20"/>
  <c r="P29" i="20"/>
  <c r="P30" i="20"/>
  <c r="P31" i="20"/>
  <c r="P32" i="20"/>
  <c r="P33" i="20"/>
  <c r="P34" i="20"/>
  <c r="P25" i="20"/>
  <c r="K26" i="20"/>
  <c r="O26" i="20"/>
  <c r="D27" i="20"/>
  <c r="H27" i="20"/>
  <c r="I26" i="20"/>
  <c r="I27" i="20"/>
  <c r="I28" i="20"/>
  <c r="I29" i="20"/>
  <c r="I30" i="20"/>
  <c r="I31" i="20"/>
  <c r="I32" i="20"/>
  <c r="I33" i="20"/>
  <c r="I34" i="20"/>
  <c r="I25" i="20"/>
  <c r="J26" i="20"/>
  <c r="J27" i="20"/>
  <c r="J28" i="20"/>
  <c r="J29" i="20"/>
  <c r="J30" i="20"/>
  <c r="J31" i="20"/>
  <c r="J32" i="20"/>
  <c r="J33" i="20"/>
  <c r="J34" i="20"/>
  <c r="J25" i="20"/>
  <c r="L26" i="20"/>
  <c r="L27" i="20"/>
  <c r="L28" i="20"/>
  <c r="L29" i="20"/>
  <c r="L30" i="20"/>
  <c r="L31" i="20"/>
  <c r="L32" i="20"/>
  <c r="L33" i="20"/>
  <c r="L34" i="20"/>
  <c r="L25" i="20"/>
  <c r="K25" i="20"/>
  <c r="O25" i="20"/>
  <c r="O35" i="20" s="1"/>
  <c r="K27" i="20"/>
  <c r="O27" i="20"/>
  <c r="K28" i="20"/>
  <c r="O28" i="20"/>
  <c r="K29" i="20"/>
  <c r="O29" i="20"/>
  <c r="K30" i="20"/>
  <c r="O30" i="20"/>
  <c r="K31" i="20"/>
  <c r="O31" i="20"/>
  <c r="K32" i="20"/>
  <c r="K33" i="20"/>
  <c r="O33" i="20"/>
  <c r="K34" i="20"/>
  <c r="O34" i="20"/>
  <c r="D25" i="20"/>
  <c r="H25" i="20"/>
  <c r="H35" i="20" s="1"/>
  <c r="E25" i="20"/>
  <c r="D26" i="20"/>
  <c r="H26" i="20"/>
  <c r="E33" i="20"/>
  <c r="E32" i="20"/>
  <c r="E31" i="20"/>
  <c r="E30" i="20"/>
  <c r="E29" i="20"/>
  <c r="E28" i="20"/>
  <c r="E27" i="20"/>
  <c r="E26" i="20"/>
  <c r="D28" i="20"/>
  <c r="H28" i="20"/>
  <c r="D29" i="20"/>
  <c r="D30" i="20"/>
  <c r="H30" i="20"/>
  <c r="D31" i="20"/>
  <c r="H31" i="20"/>
  <c r="D32" i="20"/>
  <c r="H32" i="20"/>
  <c r="D33" i="20"/>
  <c r="H33" i="20"/>
  <c r="D34" i="20"/>
  <c r="H34" i="20"/>
  <c r="C26" i="20"/>
  <c r="C27" i="20"/>
  <c r="C28" i="20"/>
  <c r="C29" i="20"/>
  <c r="C30" i="20"/>
  <c r="C31" i="20"/>
  <c r="C32" i="20"/>
  <c r="C33" i="20"/>
  <c r="C34" i="20"/>
  <c r="C25" i="20"/>
  <c r="B26" i="20"/>
  <c r="B27" i="20"/>
  <c r="B28" i="20"/>
  <c r="B29" i="20"/>
  <c r="B30" i="20"/>
  <c r="B31" i="20"/>
  <c r="B32" i="20"/>
  <c r="B33" i="20"/>
  <c r="B34" i="20"/>
  <c r="B25" i="20"/>
  <c r="N25" i="20" a="1"/>
  <c r="N25" i="20"/>
  <c r="G25" i="20" a="1"/>
  <c r="G25" i="20"/>
  <c r="U33" i="20" a="1"/>
  <c r="U33" i="20" s="1"/>
  <c r="N28" i="20" a="1"/>
  <c r="N28" i="20"/>
  <c r="AB32" i="20" a="1"/>
  <c r="AB32" i="20"/>
  <c r="N30" i="20" a="1"/>
  <c r="N30" i="20"/>
  <c r="AB34" i="20" a="1"/>
  <c r="AB34" i="20" s="1"/>
  <c r="AI31" i="20" a="1"/>
  <c r="AI31" i="20" s="1"/>
  <c r="N31" i="20" a="1"/>
  <c r="N31" i="20"/>
  <c r="AI33" i="20" a="1"/>
  <c r="AI33" i="20"/>
  <c r="N29" i="20" a="1"/>
  <c r="N29" i="20" s="1"/>
  <c r="U31" i="20" a="1"/>
  <c r="U31" i="20"/>
  <c r="G26" i="20" a="1"/>
  <c r="G26" i="20"/>
  <c r="AB30" i="20" a="1"/>
  <c r="AB30" i="20"/>
  <c r="AI28" i="20" a="1"/>
  <c r="AI28" i="20" s="1"/>
  <c r="U29" i="20" a="1"/>
  <c r="U29" i="20" s="1"/>
  <c r="AI26" i="20" a="1"/>
  <c r="AI26" i="20"/>
  <c r="G34" i="20" a="1"/>
  <c r="G34" i="20"/>
  <c r="U32" i="20" a="1"/>
  <c r="U32" i="20" s="1"/>
  <c r="AI30" i="20" a="1"/>
  <c r="AI30" i="20"/>
  <c r="AI29" i="20" a="1"/>
  <c r="AI29" i="20"/>
  <c r="G28" i="20" a="1"/>
  <c r="G28" i="20" s="1"/>
  <c r="AB31" i="20" a="1"/>
  <c r="AB31" i="20" s="1"/>
  <c r="G33" i="20" a="1"/>
  <c r="G33" i="20" s="1"/>
  <c r="Z35" i="20"/>
  <c r="N27" i="20" a="1"/>
  <c r="N27" i="20"/>
  <c r="U30" i="20" a="1"/>
  <c r="U30" i="20" s="1"/>
  <c r="AI34" i="20" a="1"/>
  <c r="AI34" i="20"/>
  <c r="AB27" i="20" a="1"/>
  <c r="AB27" i="20"/>
  <c r="G27" i="20" a="1"/>
  <c r="G27" i="20"/>
  <c r="U34" i="20" a="1"/>
  <c r="U34" i="20" s="1"/>
  <c r="U28" i="20" a="1"/>
  <c r="U28" i="20" s="1"/>
  <c r="AB33" i="20" a="1"/>
  <c r="AB33" i="20"/>
  <c r="U27" i="20" a="1"/>
  <c r="U27" i="20"/>
  <c r="G29" i="20" a="1"/>
  <c r="G29" i="20" s="1"/>
  <c r="S35" i="20"/>
  <c r="AI27" i="20" a="1"/>
  <c r="AI27" i="20"/>
  <c r="AF35" i="20"/>
  <c r="N34" i="20" a="1"/>
  <c r="N34" i="20"/>
  <c r="G30" i="20" a="1"/>
  <c r="G30" i="20" s="1"/>
  <c r="V34" i="20"/>
  <c r="AB29" i="20" a="1"/>
  <c r="AB29" i="20"/>
  <c r="G31" i="20" a="1"/>
  <c r="G31" i="20"/>
  <c r="G32" i="20" a="1"/>
  <c r="G32" i="20" s="1"/>
  <c r="U26" i="20" a="1"/>
  <c r="U26" i="20"/>
  <c r="AC33" i="20"/>
  <c r="K35" i="20"/>
  <c r="N33" i="20" a="1"/>
  <c r="N33" i="20"/>
  <c r="AI32" i="20" a="1"/>
  <c r="AI32" i="20" s="1"/>
  <c r="AJ26" i="20"/>
  <c r="N32" i="20" a="1"/>
  <c r="N32" i="20" s="1"/>
  <c r="AC29" i="20"/>
  <c r="O32" i="20"/>
  <c r="AG35" i="20"/>
  <c r="N26" i="20" a="1"/>
  <c r="N26" i="20" s="1"/>
  <c r="AB28" i="20" a="1"/>
  <c r="AB28" i="20"/>
  <c r="L35" i="20"/>
  <c r="E35" i="20"/>
  <c r="M38" i="20" s="1"/>
  <c r="AB26" i="20" a="1"/>
  <c r="AB26" i="20"/>
  <c r="Y35" i="20"/>
  <c r="R35" i="20"/>
  <c r="H29" i="20"/>
  <c r="D35" i="20"/>
  <c r="AC35" i="20"/>
  <c r="R16" i="20"/>
  <c r="Q16" i="20"/>
  <c r="X16" i="20"/>
  <c r="L16" i="20"/>
  <c r="F16" i="20"/>
  <c r="K16" i="20"/>
  <c r="AC16" i="20"/>
  <c r="W16" i="20"/>
  <c r="E16" i="20"/>
  <c r="K18" i="20"/>
  <c r="T49" i="25" l="1"/>
  <c r="I49" i="25"/>
  <c r="W13" i="25"/>
  <c r="AB13" i="25" s="1"/>
  <c r="K92" i="36" s="1"/>
  <c r="AG13" i="25" a="1"/>
  <c r="AG13" i="25" s="1"/>
  <c r="AG10" i="25" a="1"/>
  <c r="AG10" i="25" s="1"/>
  <c r="AG12" i="25" a="1"/>
  <c r="AG12" i="25" s="1"/>
  <c r="AG11" i="25" a="1"/>
  <c r="AG11" i="25" s="1"/>
  <c r="BC10" i="14"/>
  <c r="BE10" i="14" s="1"/>
  <c r="BF10" i="14" a="1"/>
  <c r="BF10" i="14" s="1"/>
  <c r="BH10" i="14" s="1"/>
  <c r="BD10" i="14"/>
  <c r="BG10" i="14" a="1"/>
  <c r="BG10" i="14" s="1"/>
  <c r="AM13" i="17"/>
  <c r="AL13" i="17" a="1"/>
  <c r="AL13" i="17" s="1"/>
  <c r="AL12" i="17" a="1"/>
  <c r="AL12" i="17" s="1"/>
  <c r="AM12" i="17"/>
  <c r="AL11" i="17" a="1"/>
  <c r="AL11" i="17" s="1"/>
  <c r="AM11" i="17"/>
  <c r="AL10" i="17" a="1"/>
  <c r="AL10" i="17" s="1"/>
  <c r="AM10" i="17"/>
  <c r="AC13" i="1"/>
  <c r="AG13" i="1" s="1"/>
  <c r="AF40" i="13" a="1"/>
  <c r="AF40" i="13" s="1"/>
  <c r="AF11" i="13" a="1"/>
  <c r="AF11" i="13" s="1"/>
  <c r="AF24" i="13" a="1"/>
  <c r="AF24" i="13" s="1"/>
  <c r="K55" i="36"/>
  <c r="K54" i="36"/>
  <c r="K56" i="36"/>
  <c r="K57" i="36"/>
  <c r="N49" i="25"/>
  <c r="G25" i="36"/>
  <c r="D6" i="34"/>
  <c r="M39" i="20"/>
  <c r="AL41" i="1"/>
  <c r="AK41" i="1" a="1"/>
  <c r="AK41" i="1" s="1"/>
  <c r="AL63" i="1"/>
  <c r="AK63" i="1" a="1"/>
  <c r="AK63" i="1" s="1"/>
  <c r="AL62" i="1"/>
  <c r="AK62" i="1" a="1"/>
  <c r="AK62" i="1" s="1"/>
  <c r="AL30" i="1"/>
  <c r="AK30" i="1" a="1"/>
  <c r="AK30" i="1" s="1"/>
  <c r="AL43" i="1"/>
  <c r="AL61" i="1"/>
  <c r="AK61" i="1" a="1"/>
  <c r="AK61" i="1" s="1"/>
  <c r="AL45" i="1"/>
  <c r="AK45" i="1" a="1"/>
  <c r="AK45" i="1" s="1"/>
  <c r="AL29" i="1"/>
  <c r="AK29" i="1" a="1"/>
  <c r="AK29" i="1" s="1"/>
  <c r="AL13" i="1"/>
  <c r="K69" i="36" s="1"/>
  <c r="AK13" i="1" a="1"/>
  <c r="AK13" i="1" s="1"/>
  <c r="AL42" i="1"/>
  <c r="T25" i="23"/>
  <c r="O43" i="23"/>
  <c r="O46" i="23" s="1"/>
  <c r="O118" i="23" s="1"/>
  <c r="T23" i="23"/>
  <c r="K61" i="36"/>
  <c r="K60" i="36"/>
  <c r="AB9" i="31" a="1"/>
  <c r="AB9" i="31" s="1"/>
  <c r="K59" i="36"/>
  <c r="AI9" i="1"/>
  <c r="BO28" i="14"/>
  <c r="BN28" i="14"/>
  <c r="BS28" i="14" s="1" a="1"/>
  <c r="BS28" i="14" s="1"/>
  <c r="BO40" i="14"/>
  <c r="BN40" i="14"/>
  <c r="BS40" i="14" s="1" a="1"/>
  <c r="BS40" i="14" s="1"/>
  <c r="BO24" i="14"/>
  <c r="BN24" i="14"/>
  <c r="BS24" i="14" s="1" a="1"/>
  <c r="BS24" i="14" s="1"/>
  <c r="Y10" i="14" a="1"/>
  <c r="Y10" i="14" s="1"/>
  <c r="AF10" i="14" s="1"/>
  <c r="E10" i="32" s="1"/>
  <c r="F10" i="32" s="1"/>
  <c r="H10" i="32" s="1"/>
  <c r="C44" i="23" s="1"/>
  <c r="F44" i="23" s="1"/>
  <c r="BO45" i="14"/>
  <c r="BN45" i="14"/>
  <c r="BS45" i="14" s="1" a="1"/>
  <c r="BS45" i="14" s="1"/>
  <c r="BO36" i="14"/>
  <c r="BN36" i="14"/>
  <c r="BS36" i="14" s="1" a="1"/>
  <c r="BS36" i="14" s="1"/>
  <c r="BO20" i="14"/>
  <c r="BN20" i="14"/>
  <c r="BS20" i="14" s="1" a="1"/>
  <c r="BS20" i="14" s="1"/>
  <c r="BO42" i="14"/>
  <c r="BN42" i="14"/>
  <c r="BS42" i="14" s="1" a="1"/>
  <c r="BS42" i="14" s="1"/>
  <c r="BO29" i="14"/>
  <c r="BN29" i="14"/>
  <c r="BS29" i="14" s="1" a="1"/>
  <c r="BS29" i="14" s="1"/>
  <c r="BO48" i="14"/>
  <c r="BN48" i="14"/>
  <c r="BS48" i="14" s="1" a="1"/>
  <c r="BS48" i="14" s="1"/>
  <c r="BO32" i="14"/>
  <c r="BN32" i="14"/>
  <c r="BS32" i="14" s="1" a="1"/>
  <c r="BS32" i="14" s="1"/>
  <c r="BO16" i="14"/>
  <c r="BN16" i="14"/>
  <c r="BS16" i="14" s="1" a="1"/>
  <c r="BS16" i="14" s="1"/>
  <c r="BO35" i="14"/>
  <c r="BN35" i="14"/>
  <c r="BS35" i="14" s="1" a="1"/>
  <c r="BS35" i="14" s="1"/>
  <c r="BO19" i="14"/>
  <c r="BN19" i="14"/>
  <c r="BS19" i="14" s="1" a="1"/>
  <c r="BS19" i="14" s="1"/>
  <c r="BO33" i="14"/>
  <c r="BN33" i="14"/>
  <c r="BS33" i="14" s="1" a="1"/>
  <c r="BS33" i="14" s="1"/>
  <c r="BO17" i="14"/>
  <c r="BN17" i="14"/>
  <c r="BS17" i="14" s="1" a="1"/>
  <c r="BS17" i="14" s="1"/>
  <c r="BO47" i="14"/>
  <c r="BN47" i="14"/>
  <c r="BS47" i="14" s="1" a="1"/>
  <c r="BS47" i="14" s="1"/>
  <c r="BO31" i="14"/>
  <c r="BN31" i="14"/>
  <c r="BS31" i="14" s="1" a="1"/>
  <c r="BS31" i="14" s="1"/>
  <c r="BO22" i="14"/>
  <c r="BN22" i="14"/>
  <c r="BS22" i="14" s="1" a="1"/>
  <c r="BS22" i="14" s="1"/>
  <c r="BO43" i="14"/>
  <c r="BN43" i="14"/>
  <c r="BS43" i="14" s="1" a="1"/>
  <c r="BS43" i="14" s="1"/>
  <c r="BO27" i="14"/>
  <c r="BN27" i="14"/>
  <c r="BS27" i="14" s="1" a="1"/>
  <c r="BS27" i="14" s="1"/>
  <c r="BO34" i="14"/>
  <c r="BN34" i="14"/>
  <c r="BS34" i="14" s="1" a="1"/>
  <c r="BS34" i="14" s="1"/>
  <c r="BO39" i="14"/>
  <c r="BN39" i="14"/>
  <c r="BS39" i="14" s="1" a="1"/>
  <c r="BS39" i="14" s="1"/>
  <c r="BO23" i="14"/>
  <c r="BN23" i="14"/>
  <c r="BS23" i="14" s="1" a="1"/>
  <c r="BS23" i="14" s="1"/>
  <c r="BO15" i="14"/>
  <c r="BN15" i="14"/>
  <c r="BS15" i="14" s="1" a="1"/>
  <c r="BS15" i="14" s="1"/>
  <c r="BO13" i="14"/>
  <c r="BN13" i="14"/>
  <c r="BS13" i="14" s="1" a="1"/>
  <c r="BS13" i="14" s="1"/>
  <c r="BO41" i="14"/>
  <c r="BN41" i="14"/>
  <c r="BS41" i="14" s="1" a="1"/>
  <c r="BS41" i="14" s="1"/>
  <c r="BO25" i="14"/>
  <c r="BN25" i="14"/>
  <c r="BS25" i="14" s="1" a="1"/>
  <c r="BS25" i="14" s="1"/>
  <c r="BN10" i="14"/>
  <c r="BO46" i="14"/>
  <c r="BN46" i="14"/>
  <c r="BS46" i="14" s="1" a="1"/>
  <c r="BS46" i="14" s="1"/>
  <c r="BO30" i="14"/>
  <c r="BN30" i="14"/>
  <c r="BS30" i="14" s="1" a="1"/>
  <c r="BS30" i="14" s="1"/>
  <c r="BO14" i="14"/>
  <c r="BN14" i="14"/>
  <c r="BS14" i="14" s="1" a="1"/>
  <c r="BS14" i="14" s="1"/>
  <c r="BO44" i="14"/>
  <c r="BN44" i="14"/>
  <c r="BS44" i="14" s="1" a="1"/>
  <c r="BS44" i="14" s="1"/>
  <c r="BN12" i="14"/>
  <c r="BS12" i="14" s="1" a="1"/>
  <c r="BS12" i="14" s="1"/>
  <c r="BO26" i="14"/>
  <c r="BN26" i="14"/>
  <c r="BS26" i="14" s="1" a="1"/>
  <c r="BS26" i="14" s="1"/>
  <c r="BO49" i="14"/>
  <c r="BN49" i="14"/>
  <c r="BS49" i="14" s="1" a="1"/>
  <c r="BS49" i="14" s="1"/>
  <c r="BO38" i="14"/>
  <c r="BN38" i="14"/>
  <c r="BS38" i="14" s="1" a="1"/>
  <c r="BS38" i="14" s="1"/>
  <c r="BO18" i="14"/>
  <c r="BN18" i="14"/>
  <c r="BS18" i="14" s="1" a="1"/>
  <c r="BS18" i="14" s="1"/>
  <c r="BO37" i="14"/>
  <c r="BN37" i="14"/>
  <c r="BS37" i="14" s="1" a="1"/>
  <c r="BS37" i="14" s="1"/>
  <c r="BO21" i="14"/>
  <c r="BN21" i="14"/>
  <c r="BS21" i="14" s="1" a="1"/>
  <c r="BS21" i="14" s="1"/>
  <c r="C41" i="23"/>
  <c r="D21" i="23"/>
  <c r="C110" i="34"/>
  <c r="C59" i="34"/>
  <c r="C100" i="34"/>
  <c r="C109" i="34"/>
  <c r="C79" i="34"/>
  <c r="C71" i="34"/>
  <c r="C121" i="34"/>
  <c r="C120" i="34"/>
  <c r="C119" i="34"/>
  <c r="C111" i="34"/>
  <c r="C101" i="34"/>
  <c r="C51" i="34"/>
  <c r="C49" i="34"/>
  <c r="C99" i="34"/>
  <c r="C91" i="34"/>
  <c r="C90" i="34"/>
  <c r="C89" i="34"/>
  <c r="C81" i="34"/>
  <c r="C80" i="34"/>
  <c r="C70" i="34"/>
  <c r="C69" i="34"/>
  <c r="F69" i="34" s="1"/>
  <c r="C61" i="34"/>
  <c r="C60" i="34"/>
  <c r="D29" i="34"/>
  <c r="G29" i="34" s="1"/>
  <c r="D27" i="34"/>
  <c r="O124" i="34"/>
  <c r="O102" i="34"/>
  <c r="O73" i="34"/>
  <c r="O123" i="34"/>
  <c r="O94" i="34"/>
  <c r="O72" i="34"/>
  <c r="O92" i="34"/>
  <c r="O62" i="34"/>
  <c r="O122" i="34"/>
  <c r="O93" i="34"/>
  <c r="O63" i="34"/>
  <c r="O64" i="34"/>
  <c r="O52" i="34"/>
  <c r="O114" i="34"/>
  <c r="O113" i="34"/>
  <c r="O84" i="34"/>
  <c r="O54" i="34"/>
  <c r="O112" i="34"/>
  <c r="O83" i="34"/>
  <c r="O53" i="34"/>
  <c r="O104" i="34"/>
  <c r="O82" i="34"/>
  <c r="O103" i="34"/>
  <c r="O74" i="34"/>
  <c r="AL26" i="1"/>
  <c r="AL58" i="1"/>
  <c r="AL57" i="1"/>
  <c r="AL31" i="1"/>
  <c r="AL59" i="1"/>
  <c r="AL27" i="1"/>
  <c r="AC37" i="1"/>
  <c r="AC51" i="1"/>
  <c r="AC47" i="1"/>
  <c r="AC33" i="1"/>
  <c r="AC19" i="1"/>
  <c r="AC15" i="1"/>
  <c r="AC53" i="1"/>
  <c r="AC21" i="1"/>
  <c r="AC57" i="1"/>
  <c r="AC43" i="1"/>
  <c r="AC39" i="1"/>
  <c r="AC25" i="1"/>
  <c r="AC49" i="1"/>
  <c r="AC35" i="1"/>
  <c r="AC31" i="1"/>
  <c r="AC17" i="1"/>
  <c r="F84" i="23"/>
  <c r="L84" i="23"/>
  <c r="H84" i="23"/>
  <c r="AL64" i="1"/>
  <c r="AL56" i="1"/>
  <c r="AL48" i="1"/>
  <c r="AL40" i="1"/>
  <c r="AL32" i="1"/>
  <c r="AL24" i="1"/>
  <c r="AL16" i="1"/>
  <c r="AC68" i="1"/>
  <c r="AC60" i="1"/>
  <c r="AC52" i="1"/>
  <c r="AC44" i="1"/>
  <c r="AC36" i="1"/>
  <c r="AC28" i="1"/>
  <c r="AC20" i="1"/>
  <c r="AC12" i="1"/>
  <c r="AG12" i="1" s="1"/>
  <c r="F83" i="23"/>
  <c r="H83" i="23"/>
  <c r="L83" i="23"/>
  <c r="AL55" i="1"/>
  <c r="AL23" i="1"/>
  <c r="F105" i="23"/>
  <c r="L105" i="23"/>
  <c r="H105" i="23"/>
  <c r="AL38" i="1"/>
  <c r="AL22" i="1"/>
  <c r="AC62" i="1"/>
  <c r="AC54" i="1"/>
  <c r="AC46" i="1"/>
  <c r="AC38" i="1"/>
  <c r="AC30" i="1"/>
  <c r="AC22" i="1"/>
  <c r="AC14" i="1"/>
  <c r="AC11" i="1"/>
  <c r="AG11" i="1" s="1"/>
  <c r="AL14" i="1"/>
  <c r="F74" i="23"/>
  <c r="L74" i="23"/>
  <c r="H74" i="23"/>
  <c r="AL53" i="1"/>
  <c r="AL37" i="1"/>
  <c r="AL21" i="1"/>
  <c r="F95" i="23"/>
  <c r="L95" i="23"/>
  <c r="H95" i="23"/>
  <c r="AC64" i="1"/>
  <c r="AC56" i="1"/>
  <c r="AC48" i="1"/>
  <c r="AC40" i="1"/>
  <c r="AC32" i="1"/>
  <c r="AC24" i="1"/>
  <c r="AC16" i="1"/>
  <c r="AL46" i="1"/>
  <c r="AL12" i="1"/>
  <c r="K68" i="36" s="1"/>
  <c r="E17" i="32"/>
  <c r="F17" i="32" s="1"/>
  <c r="H17" i="32" s="1"/>
  <c r="C65" i="23" s="1"/>
  <c r="F65" i="23" s="1"/>
  <c r="AL67" i="1"/>
  <c r="AL51" i="1"/>
  <c r="AL35" i="1"/>
  <c r="AL19" i="1"/>
  <c r="AC61" i="1"/>
  <c r="F12" i="32"/>
  <c r="F64" i="23"/>
  <c r="L64" i="23"/>
  <c r="H64" i="23"/>
  <c r="AC66" i="1"/>
  <c r="AC58" i="1"/>
  <c r="AC50" i="1"/>
  <c r="AC42" i="1"/>
  <c r="AC34" i="1"/>
  <c r="AC26" i="1"/>
  <c r="AC18" i="1"/>
  <c r="AL44" i="1"/>
  <c r="F85" i="23"/>
  <c r="H85" i="23"/>
  <c r="L85" i="23"/>
  <c r="AL65" i="1"/>
  <c r="AL49" i="1"/>
  <c r="AL33" i="1"/>
  <c r="AL17" i="1"/>
  <c r="M49" i="31"/>
  <c r="L14" i="32"/>
  <c r="L30" i="32"/>
  <c r="L15" i="32"/>
  <c r="L31" i="32"/>
  <c r="L16" i="32"/>
  <c r="L32" i="32"/>
  <c r="L18" i="32"/>
  <c r="L26" i="32"/>
  <c r="L19" i="32"/>
  <c r="L20" i="32"/>
  <c r="L21" i="32"/>
  <c r="L22" i="32"/>
  <c r="L23" i="32"/>
  <c r="L24" i="32"/>
  <c r="L25" i="32"/>
  <c r="L11" i="32"/>
  <c r="L27" i="32"/>
  <c r="L28" i="32"/>
  <c r="L29" i="32"/>
  <c r="AL39" i="1"/>
  <c r="AL54" i="1"/>
  <c r="AL66" i="1"/>
  <c r="AL50" i="1"/>
  <c r="AL34" i="1"/>
  <c r="AL18" i="1"/>
  <c r="AL68" i="1"/>
  <c r="AL52" i="1"/>
  <c r="AL36" i="1"/>
  <c r="AL20" i="1"/>
  <c r="AI10" i="1"/>
  <c r="L12" i="32" s="1"/>
  <c r="H18" i="32"/>
  <c r="C73" i="23" s="1"/>
  <c r="AC9" i="31"/>
  <c r="AC49" i="31" s="1"/>
  <c r="Z49" i="31"/>
  <c r="D22" i="23"/>
  <c r="AF10" i="13" a="1"/>
  <c r="AF10" i="13" s="1"/>
  <c r="C63" i="23" s="1"/>
  <c r="F63" i="23" s="1"/>
  <c r="BK10" i="13"/>
  <c r="E20" i="23"/>
  <c r="H20" i="32"/>
  <c r="C75" i="23" s="1"/>
  <c r="AF44" i="13" a="1"/>
  <c r="AF44" i="13" s="1"/>
  <c r="AF23" i="13" a="1"/>
  <c r="AF23" i="13" s="1"/>
  <c r="AF34" i="13" a="1"/>
  <c r="AF34" i="13" s="1"/>
  <c r="AF33" i="13" a="1"/>
  <c r="AF33" i="13" s="1"/>
  <c r="AF17" i="13" a="1"/>
  <c r="AF17" i="13" s="1"/>
  <c r="Q24" i="17"/>
  <c r="AF41" i="13" a="1"/>
  <c r="AF41" i="13" s="1"/>
  <c r="BB10" i="13"/>
  <c r="AF25" i="13" a="1"/>
  <c r="AF25" i="13" s="1"/>
  <c r="AF38" i="13" a="1"/>
  <c r="AF38" i="13" s="1"/>
  <c r="AF22" i="13" a="1"/>
  <c r="AF22" i="13" s="1"/>
  <c r="AF37" i="13" a="1"/>
  <c r="AF37" i="13" s="1"/>
  <c r="AF21" i="13" a="1"/>
  <c r="AF21" i="13" s="1"/>
  <c r="BG10" i="13"/>
  <c r="AF36" i="13" a="1"/>
  <c r="AF36" i="13" s="1"/>
  <c r="AF20" i="13" a="1"/>
  <c r="AF20" i="13" s="1"/>
  <c r="AF35" i="13" a="1"/>
  <c r="AF35" i="13" s="1"/>
  <c r="AF19" i="13" a="1"/>
  <c r="AF19" i="13" s="1"/>
  <c r="AF48" i="13" a="1"/>
  <c r="AF48" i="13" s="1"/>
  <c r="AF32" i="13" a="1"/>
  <c r="AF32" i="13" s="1"/>
  <c r="AF16" i="13" a="1"/>
  <c r="AF16" i="13" s="1"/>
  <c r="AF46" i="13" a="1"/>
  <c r="AF46" i="13" s="1"/>
  <c r="AF30" i="13" a="1"/>
  <c r="AF30" i="13" s="1"/>
  <c r="AF14" i="13" a="1"/>
  <c r="AF14" i="13" s="1"/>
  <c r="AF29" i="13" a="1"/>
  <c r="AF29" i="13" s="1"/>
  <c r="AF45" i="13" a="1"/>
  <c r="AF45" i="13" s="1"/>
  <c r="AF13" i="13" a="1"/>
  <c r="AF13" i="13" s="1"/>
  <c r="AF28" i="13" a="1"/>
  <c r="AF28" i="13" s="1"/>
  <c r="AF12" i="13" a="1"/>
  <c r="AF12" i="13" s="1"/>
  <c r="AF43" i="13" a="1"/>
  <c r="AF43" i="13" s="1"/>
  <c r="AF27" i="13" a="1"/>
  <c r="AF27" i="13" s="1"/>
  <c r="AF49" i="13" a="1"/>
  <c r="AF49" i="13" s="1"/>
  <c r="Q69" i="1"/>
  <c r="H30" i="32"/>
  <c r="C113" i="23" s="1"/>
  <c r="H28" i="32"/>
  <c r="C104" i="23" s="1"/>
  <c r="H14" i="32"/>
  <c r="C55" i="23" s="1"/>
  <c r="W49" i="25"/>
  <c r="W50" i="14"/>
  <c r="AZ33" i="14"/>
  <c r="H32" i="32"/>
  <c r="C115" i="23" s="1"/>
  <c r="Y41" i="14" a="1"/>
  <c r="Y41" i="14" s="1"/>
  <c r="AW45" i="14"/>
  <c r="AW17" i="14"/>
  <c r="BG48" i="14" a="1"/>
  <c r="BG48" i="14" s="1"/>
  <c r="BU48" i="14" s="1"/>
  <c r="BF17" i="14" a="1"/>
  <c r="BF17" i="14" s="1"/>
  <c r="AZ29" i="14"/>
  <c r="Y47" i="14" a="1"/>
  <c r="Y47" i="14" s="1"/>
  <c r="Y39" i="14" a="1"/>
  <c r="Y39" i="14" s="1"/>
  <c r="Y23" i="14" a="1"/>
  <c r="Y23" i="14" s="1"/>
  <c r="BC15" i="14"/>
  <c r="BE15" i="14" s="1"/>
  <c r="AZ46" i="14"/>
  <c r="BG35" i="14" a="1"/>
  <c r="BG35" i="14" s="1"/>
  <c r="BU35" i="14" s="1"/>
  <c r="AT37" i="14"/>
  <c r="AW36" i="14"/>
  <c r="AW32" i="14"/>
  <c r="AZ40" i="14"/>
  <c r="AZ24" i="14"/>
  <c r="AZ20" i="14"/>
  <c r="H11" i="32"/>
  <c r="C45" i="23" s="1"/>
  <c r="H24" i="32"/>
  <c r="C93" i="23" s="1"/>
  <c r="BD14" i="14"/>
  <c r="AZ34" i="14"/>
  <c r="BC38" i="14"/>
  <c r="BE38" i="14" s="1"/>
  <c r="Y42" i="14" a="1"/>
  <c r="Y42" i="14" s="1"/>
  <c r="Y34" i="14" a="1"/>
  <c r="Y34" i="14" s="1"/>
  <c r="Y18" i="14" a="1"/>
  <c r="Y18" i="14" s="1"/>
  <c r="AZ41" i="14"/>
  <c r="AZ37" i="14"/>
  <c r="AZ21" i="14"/>
  <c r="AZ17" i="14"/>
  <c r="AZ13" i="14"/>
  <c r="BD23" i="14"/>
  <c r="E13" i="32"/>
  <c r="F13" i="32" s="1"/>
  <c r="H13" i="32" s="1"/>
  <c r="BC23" i="14"/>
  <c r="BE23" i="14" s="1"/>
  <c r="BC47" i="14"/>
  <c r="BE47" i="14" s="1"/>
  <c r="AW34" i="14"/>
  <c r="AW22" i="14"/>
  <c r="AZ14" i="14"/>
  <c r="AW10" i="14"/>
  <c r="AT26" i="14"/>
  <c r="BF24" i="14" a="1"/>
  <c r="BF24" i="14" s="1"/>
  <c r="AW40" i="14"/>
  <c r="AW24" i="14"/>
  <c r="AZ27" i="14"/>
  <c r="AZ23" i="14"/>
  <c r="AZ19" i="14"/>
  <c r="AZ11" i="14"/>
  <c r="BC33" i="14"/>
  <c r="BE33" i="14" s="1"/>
  <c r="BD33" i="14"/>
  <c r="Y48" i="14" a="1"/>
  <c r="Y48" i="14" s="1"/>
  <c r="AZ38" i="14"/>
  <c r="AZ10" i="14"/>
  <c r="BC20" i="14"/>
  <c r="BE20" i="14" s="1"/>
  <c r="BF45" i="14" a="1"/>
  <c r="BF45" i="14" s="1"/>
  <c r="AZ42" i="14"/>
  <c r="AZ30" i="14"/>
  <c r="AZ26" i="14"/>
  <c r="AT22" i="14"/>
  <c r="BD38" i="14"/>
  <c r="AT49" i="14"/>
  <c r="AT24" i="14"/>
  <c r="BG29" i="14" a="1"/>
  <c r="BG29" i="14" s="1"/>
  <c r="BU29" i="14" s="1"/>
  <c r="AT29" i="14"/>
  <c r="AW18" i="14"/>
  <c r="AW49" i="14"/>
  <c r="AW41" i="14"/>
  <c r="AW33" i="14"/>
  <c r="AW29" i="14"/>
  <c r="AW21" i="14"/>
  <c r="BC18" i="14"/>
  <c r="BE18" i="14" s="1"/>
  <c r="BG47" i="14" a="1"/>
  <c r="BG47" i="14" s="1"/>
  <c r="BU47" i="14" s="1"/>
  <c r="AT19" i="14"/>
  <c r="BD13" i="14"/>
  <c r="BG11" i="14" a="1"/>
  <c r="BG11" i="14" s="1"/>
  <c r="BU11" i="14" s="1"/>
  <c r="AW27" i="14"/>
  <c r="AT47" i="14"/>
  <c r="BC22" i="14"/>
  <c r="BE22" i="14" s="1"/>
  <c r="Y24" i="14" a="1"/>
  <c r="Y24" i="14" s="1"/>
  <c r="BG30" i="14" a="1"/>
  <c r="BG30" i="14" s="1"/>
  <c r="BU30" i="14" s="1"/>
  <c r="BG36" i="14" a="1"/>
  <c r="BG36" i="14" s="1"/>
  <c r="BU36" i="14" s="1"/>
  <c r="AW46" i="14"/>
  <c r="AW42" i="14"/>
  <c r="AW30" i="14"/>
  <c r="AW14" i="14"/>
  <c r="AZ49" i="14"/>
  <c r="AZ45" i="14"/>
  <c r="AZ25" i="14"/>
  <c r="BU10" i="14"/>
  <c r="AW25" i="14"/>
  <c r="AW13" i="14"/>
  <c r="Y22" i="14" a="1"/>
  <c r="Y22" i="14" s="1"/>
  <c r="AZ36" i="14"/>
  <c r="AT15" i="14"/>
  <c r="BF16" i="14" a="1"/>
  <c r="BF16" i="14" s="1"/>
  <c r="Y45" i="14" a="1"/>
  <c r="Y45" i="14" s="1"/>
  <c r="Y29" i="14" a="1"/>
  <c r="Y29" i="14" s="1"/>
  <c r="Y21" i="14" a="1"/>
  <c r="Y21" i="14" s="1"/>
  <c r="Y26" i="14" a="1"/>
  <c r="Y26" i="14" s="1"/>
  <c r="Y37" i="14" a="1"/>
  <c r="Y37" i="14" s="1"/>
  <c r="AT20" i="14"/>
  <c r="AW20" i="14"/>
  <c r="BF28" i="14" a="1"/>
  <c r="BF28" i="14" s="1"/>
  <c r="AT40" i="14"/>
  <c r="AZ32" i="14"/>
  <c r="AZ12" i="14"/>
  <c r="BD43" i="14"/>
  <c r="Y25" i="14" a="1"/>
  <c r="Y25" i="14" s="1"/>
  <c r="BF31" i="14" a="1"/>
  <c r="BF31" i="14" s="1"/>
  <c r="BF13" i="14" a="1"/>
  <c r="BF13" i="14" s="1"/>
  <c r="AW43" i="14"/>
  <c r="AW39" i="14"/>
  <c r="AW31" i="14"/>
  <c r="AW23" i="14"/>
  <c r="AW19" i="14"/>
  <c r="AW11" i="14"/>
  <c r="AZ47" i="14"/>
  <c r="AZ31" i="14"/>
  <c r="AT11" i="14"/>
  <c r="BH11" i="14" s="1" a="1"/>
  <c r="BH11" i="14" s="1"/>
  <c r="AT38" i="14"/>
  <c r="BD20" i="14"/>
  <c r="H25" i="32"/>
  <c r="C94" i="23" s="1"/>
  <c r="AT14" i="14"/>
  <c r="BF22" i="14" a="1"/>
  <c r="BF22" i="14" s="1"/>
  <c r="AT33" i="14"/>
  <c r="BG31" i="14" a="1"/>
  <c r="BG31" i="14" s="1"/>
  <c r="BU31" i="14" s="1"/>
  <c r="BC12" i="14"/>
  <c r="BE12" i="14" s="1"/>
  <c r="Y44" i="14" a="1"/>
  <c r="Y44" i="14" s="1"/>
  <c r="BG20" i="14" a="1"/>
  <c r="BG20" i="14" s="1"/>
  <c r="BU20" i="14" s="1"/>
  <c r="AW48" i="14"/>
  <c r="AW44" i="14"/>
  <c r="AW28" i="14"/>
  <c r="BU44" i="14"/>
  <c r="BU23" i="14"/>
  <c r="BU13" i="14"/>
  <c r="AT32" i="14"/>
  <c r="BF49" i="14" a="1"/>
  <c r="BF49" i="14" s="1"/>
  <c r="BG26" i="14" a="1"/>
  <c r="BG26" i="14" s="1"/>
  <c r="BU26" i="14" s="1"/>
  <c r="BG49" i="14" a="1"/>
  <c r="BG49" i="14" s="1"/>
  <c r="AW16" i="14"/>
  <c r="AW12" i="14"/>
  <c r="AZ44" i="14"/>
  <c r="AT16" i="14"/>
  <c r="AT27" i="14"/>
  <c r="BF25" i="14" a="1"/>
  <c r="BF25" i="14" s="1"/>
  <c r="BG39" i="14" a="1"/>
  <c r="BG39" i="14" s="1"/>
  <c r="BU39" i="14" s="1"/>
  <c r="BD16" i="14"/>
  <c r="AW35" i="14"/>
  <c r="AZ16" i="14"/>
  <c r="Y49" i="14" a="1"/>
  <c r="Y49" i="14" s="1"/>
  <c r="Y19" i="14" a="1"/>
  <c r="Y19" i="14" s="1"/>
  <c r="AZ39" i="14"/>
  <c r="AZ35" i="14"/>
  <c r="AT10" i="14"/>
  <c r="AT45" i="14"/>
  <c r="AT39" i="14"/>
  <c r="BC42" i="14"/>
  <c r="BE42" i="14" s="1"/>
  <c r="BF26" i="14" a="1"/>
  <c r="BF26" i="14" s="1"/>
  <c r="Y32" i="14" a="1"/>
  <c r="Y32" i="14" s="1"/>
  <c r="AT30" i="14"/>
  <c r="BG24" i="14" a="1"/>
  <c r="BG24" i="14" s="1"/>
  <c r="BU24" i="14" s="1"/>
  <c r="AW38" i="14"/>
  <c r="AW26" i="14"/>
  <c r="BC37" i="14"/>
  <c r="BE37" i="14" s="1"/>
  <c r="Y33" i="14" a="1"/>
  <c r="Y33" i="14" s="1"/>
  <c r="Y40" i="14" a="1"/>
  <c r="Y40" i="14" s="1"/>
  <c r="AW15" i="14"/>
  <c r="AZ43" i="14"/>
  <c r="AT13" i="14"/>
  <c r="BH13" i="14" s="1" a="1"/>
  <c r="BH13" i="14" s="1"/>
  <c r="BD19" i="14"/>
  <c r="BG15" i="14" a="1"/>
  <c r="BG15" i="14" s="1"/>
  <c r="BU15" i="14" s="1"/>
  <c r="Y38" i="14" a="1"/>
  <c r="Y38" i="14" s="1"/>
  <c r="Y17" i="14" a="1"/>
  <c r="Y17" i="14" s="1"/>
  <c r="Y46" i="14" a="1"/>
  <c r="Y46" i="14" s="1"/>
  <c r="Y30" i="14" a="1"/>
  <c r="Y30" i="14" s="1"/>
  <c r="AT12" i="14"/>
  <c r="BH12" i="14" s="1" a="1"/>
  <c r="BH12" i="14" s="1"/>
  <c r="AT42" i="14"/>
  <c r="AZ22" i="14"/>
  <c r="AZ18" i="14"/>
  <c r="BD44" i="14"/>
  <c r="Y27" i="14" a="1"/>
  <c r="Y27" i="14" s="1"/>
  <c r="BU34" i="14"/>
  <c r="BU19" i="14"/>
  <c r="BU14" i="14"/>
  <c r="Y35" i="14" a="1"/>
  <c r="Y35" i="14" s="1"/>
  <c r="Y43" i="14" a="1"/>
  <c r="Y43" i="14" s="1"/>
  <c r="BC41" i="14"/>
  <c r="BE41" i="14" s="1"/>
  <c r="BF41" i="14" a="1"/>
  <c r="BF41" i="14" s="1"/>
  <c r="AT31" i="14"/>
  <c r="AT18" i="14"/>
  <c r="BC19" i="14"/>
  <c r="BE19" i="14" s="1"/>
  <c r="BC40" i="14"/>
  <c r="BE40" i="14" s="1"/>
  <c r="AT17" i="14"/>
  <c r="BD22" i="14"/>
  <c r="BG22" i="14" a="1"/>
  <c r="BG22" i="14" s="1"/>
  <c r="BU22" i="14" s="1"/>
  <c r="AW37" i="14"/>
  <c r="AZ15" i="14"/>
  <c r="BU43" i="14"/>
  <c r="BU38" i="14"/>
  <c r="BU18" i="14"/>
  <c r="BC29" i="14"/>
  <c r="BE29" i="14" s="1"/>
  <c r="BC32" i="14"/>
  <c r="BE32" i="14" s="1"/>
  <c r="BF29" i="14" a="1"/>
  <c r="BF29" i="14" s="1"/>
  <c r="BD27" i="14"/>
  <c r="BU33" i="14"/>
  <c r="AT46" i="14"/>
  <c r="BF46" i="14" a="1"/>
  <c r="BF46" i="14" s="1"/>
  <c r="BC46" i="14"/>
  <c r="BE46" i="14" s="1"/>
  <c r="AT36" i="14"/>
  <c r="BC36" i="14"/>
  <c r="BE36" i="14" s="1"/>
  <c r="BF36" i="14" a="1"/>
  <c r="BF36" i="14" s="1"/>
  <c r="BG45" i="14" a="1"/>
  <c r="BG45" i="14" s="1"/>
  <c r="BU17" i="14"/>
  <c r="BF39" i="14" a="1"/>
  <c r="BF39" i="14" s="1"/>
  <c r="BC39" i="14"/>
  <c r="BE39" i="14" s="1"/>
  <c r="BD42" i="14"/>
  <c r="BU46" i="14"/>
  <c r="BU27" i="14"/>
  <c r="BC43" i="14"/>
  <c r="BE43" i="14" s="1"/>
  <c r="AT43" i="14"/>
  <c r="BF35" i="14" a="1"/>
  <c r="BF35" i="14" s="1"/>
  <c r="AT35" i="14"/>
  <c r="BC21" i="14"/>
  <c r="BE21" i="14" s="1"/>
  <c r="AT21" i="14"/>
  <c r="BG28" i="14" a="1"/>
  <c r="BG28" i="14" s="1"/>
  <c r="BU28" i="14" s="1"/>
  <c r="BD28" i="14"/>
  <c r="AT28" i="14"/>
  <c r="BG37" i="14" a="1"/>
  <c r="BG37" i="14" s="1"/>
  <c r="BD37" i="14"/>
  <c r="X50" i="14"/>
  <c r="BU16" i="14"/>
  <c r="BG32" i="14" a="1"/>
  <c r="BG32" i="14" s="1"/>
  <c r="BG41" i="14" a="1"/>
  <c r="BG41" i="14" s="1"/>
  <c r="BU41" i="14" s="1"/>
  <c r="BC30" i="14"/>
  <c r="BE30" i="14" s="1"/>
  <c r="BD46" i="14"/>
  <c r="BC48" i="14"/>
  <c r="BE48" i="14" s="1"/>
  <c r="AT48" i="14"/>
  <c r="BQ48" i="14" s="1" a="1"/>
  <c r="BQ48" i="14" s="1"/>
  <c r="BC27" i="14"/>
  <c r="BE27" i="14" s="1"/>
  <c r="BF27" i="14" a="1"/>
  <c r="BF27" i="14" s="1"/>
  <c r="BG25" i="14" a="1"/>
  <c r="BG25" i="14" s="1"/>
  <c r="BU25" i="14" s="1"/>
  <c r="BD25" i="14"/>
  <c r="AT25" i="14"/>
  <c r="AZ48" i="14"/>
  <c r="AZ28" i="14"/>
  <c r="BF11" i="14" a="1"/>
  <c r="BF11" i="14" s="1"/>
  <c r="AT41" i="14"/>
  <c r="AT23" i="14"/>
  <c r="BD17" i="14"/>
  <c r="BD18" i="14"/>
  <c r="BG42" i="14" a="1"/>
  <c r="BG42" i="14" s="1"/>
  <c r="BU42" i="14" s="1"/>
  <c r="Y36" i="14" a="1"/>
  <c r="Y36" i="14" s="1"/>
  <c r="Y20" i="14" a="1"/>
  <c r="Y20" i="14" s="1"/>
  <c r="AT34" i="14"/>
  <c r="BC34" i="14"/>
  <c r="BE34" i="14" s="1"/>
  <c r="BC14" i="14"/>
  <c r="BE14" i="14" s="1"/>
  <c r="BD12" i="14"/>
  <c r="BG12" i="14" a="1"/>
  <c r="BG12" i="14" s="1"/>
  <c r="BD21" i="14"/>
  <c r="BG21" i="14" a="1"/>
  <c r="BG21" i="14" s="1"/>
  <c r="BU21" i="14" s="1"/>
  <c r="BD34" i="14"/>
  <c r="BD40" i="14"/>
  <c r="BG40" i="14" a="1"/>
  <c r="BG40" i="14" s="1"/>
  <c r="BU40" i="14" s="1"/>
  <c r="AT44" i="14"/>
  <c r="BC44" i="14"/>
  <c r="BE44" i="14" s="1"/>
  <c r="Y28" i="14" a="1"/>
  <c r="Y28" i="14" s="1"/>
  <c r="Y31" i="14" a="1"/>
  <c r="Y31" i="14" s="1"/>
  <c r="AW47" i="14"/>
  <c r="H31" i="32"/>
  <c r="C114" i="23" s="1"/>
  <c r="BM10" i="13" a="1"/>
  <c r="BM10" i="13" s="1"/>
  <c r="BS10" i="13" s="1"/>
  <c r="BJ10" i="13"/>
  <c r="AF42" i="13" a="1"/>
  <c r="AF42" i="13" s="1"/>
  <c r="AF26" i="13" a="1"/>
  <c r="AF26" i="13" s="1"/>
  <c r="AF18" i="13" a="1"/>
  <c r="AF18" i="13" s="1"/>
  <c r="AF47" i="13" a="1"/>
  <c r="AF47" i="13" s="1"/>
  <c r="AF39" i="13" a="1"/>
  <c r="AF39" i="13" s="1"/>
  <c r="AF31" i="13" a="1"/>
  <c r="AF31" i="13" s="1"/>
  <c r="AF15" i="13" a="1"/>
  <c r="AF15" i="13" s="1"/>
  <c r="AE10" i="13" a="1"/>
  <c r="AE10" i="13" s="1"/>
  <c r="AD50" i="13"/>
  <c r="F27" i="32"/>
  <c r="BU11" i="13" l="1"/>
  <c r="BR11" i="13" a="1"/>
  <c r="BR11" i="13" s="1"/>
  <c r="BR12" i="13" a="1"/>
  <c r="BR12" i="13" s="1"/>
  <c r="BU12" i="13"/>
  <c r="BQ28" i="14" a="1"/>
  <c r="BQ28" i="14" s="1"/>
  <c r="BQ25" i="14" a="1"/>
  <c r="BQ25" i="14" s="1"/>
  <c r="BQ39" i="14" a="1"/>
  <c r="BQ39" i="14" s="1"/>
  <c r="BQ31" i="14" a="1"/>
  <c r="BQ31" i="14" s="1"/>
  <c r="BQ45" i="14" a="1"/>
  <c r="BQ45" i="14" s="1"/>
  <c r="BQ14" i="14" a="1"/>
  <c r="BQ14" i="14" s="1"/>
  <c r="BQ22" i="14" a="1"/>
  <c r="BQ22" i="14" s="1"/>
  <c r="BQ13" i="14" a="1"/>
  <c r="BQ13" i="14" s="1"/>
  <c r="BQ20" i="14" a="1"/>
  <c r="BQ20" i="14" s="1"/>
  <c r="BR36" i="14" a="1"/>
  <c r="BR36" i="14" s="1"/>
  <c r="BQ36" i="14" a="1"/>
  <c r="BQ36" i="14" s="1"/>
  <c r="BQ12" i="14" a="1"/>
  <c r="BQ12" i="14" s="1"/>
  <c r="BQ29" i="14" a="1"/>
  <c r="BQ29" i="14" s="1"/>
  <c r="BR17" i="14" a="1"/>
  <c r="BR17" i="14" s="1"/>
  <c r="BQ17" i="14" a="1"/>
  <c r="BQ17" i="14" s="1"/>
  <c r="BQ27" i="14" a="1"/>
  <c r="BQ27" i="14" s="1"/>
  <c r="BR16" i="14" a="1"/>
  <c r="BR16" i="14" s="1"/>
  <c r="BQ16" i="14" a="1"/>
  <c r="BQ16" i="14" s="1"/>
  <c r="BR43" i="14" a="1"/>
  <c r="BR43" i="14" s="1"/>
  <c r="BQ43" i="14" a="1"/>
  <c r="BQ43" i="14" s="1"/>
  <c r="BR42" i="14" a="1"/>
  <c r="BR42" i="14" s="1"/>
  <c r="BQ42" i="14" a="1"/>
  <c r="BQ42" i="14" s="1"/>
  <c r="BR21" i="14" a="1"/>
  <c r="BR21" i="14" s="1"/>
  <c r="BQ21" i="14" a="1"/>
  <c r="BQ21" i="14" s="1"/>
  <c r="BQ30" i="14" a="1"/>
  <c r="BQ30" i="14" s="1"/>
  <c r="BR34" i="14" a="1"/>
  <c r="BR34" i="14" s="1"/>
  <c r="BQ34" i="14" a="1"/>
  <c r="BQ34" i="14" s="1"/>
  <c r="BR35" i="14" a="1"/>
  <c r="BR35" i="14" s="1"/>
  <c r="BQ35" i="14" a="1"/>
  <c r="BQ35" i="14" s="1"/>
  <c r="BQ46" i="14" a="1"/>
  <c r="BQ46" i="14" s="1"/>
  <c r="BR18" i="14" a="1"/>
  <c r="BR18" i="14" s="1"/>
  <c r="BQ18" i="14" a="1"/>
  <c r="BQ18" i="14" s="1"/>
  <c r="BQ15" i="14" a="1"/>
  <c r="BQ15" i="14" s="1"/>
  <c r="BQ24" i="14" a="1"/>
  <c r="BQ24" i="14" s="1"/>
  <c r="BQ37" i="14" a="1"/>
  <c r="BQ37" i="14" s="1"/>
  <c r="BR33" i="14" a="1"/>
  <c r="BR33" i="14" s="1"/>
  <c r="BQ33" i="14" a="1"/>
  <c r="BQ33" i="14" s="1"/>
  <c r="BR47" i="14" a="1"/>
  <c r="BR47" i="14" s="1"/>
  <c r="BQ47" i="14" a="1"/>
  <c r="BQ47" i="14" s="1"/>
  <c r="BQ49" i="14" a="1"/>
  <c r="BQ49" i="14" s="1"/>
  <c r="BQ44" i="14" a="1"/>
  <c r="BQ44" i="14" s="1"/>
  <c r="BR23" i="14" a="1"/>
  <c r="BR23" i="14" s="1"/>
  <c r="BQ23" i="14" a="1"/>
  <c r="BQ23" i="14" s="1"/>
  <c r="BQ32" i="14" a="1"/>
  <c r="BQ32" i="14" s="1"/>
  <c r="BQ38" i="14" a="1"/>
  <c r="BQ38" i="14" s="1"/>
  <c r="BQ40" i="14" a="1"/>
  <c r="BQ40" i="14" s="1"/>
  <c r="BQ19" i="14" a="1"/>
  <c r="BQ19" i="14" s="1"/>
  <c r="BQ26" i="14" a="1"/>
  <c r="BQ26" i="14" s="1"/>
  <c r="BQ41" i="14" a="1"/>
  <c r="BQ41" i="14" s="1"/>
  <c r="BQ11" i="14" a="1"/>
  <c r="BQ11" i="14" s="1"/>
  <c r="E9" i="32"/>
  <c r="F9" i="32" s="1"/>
  <c r="F49" i="34"/>
  <c r="AM8" i="17"/>
  <c r="AB49" i="25"/>
  <c r="K88" i="36"/>
  <c r="O65" i="34"/>
  <c r="T26" i="23"/>
  <c r="O95" i="34"/>
  <c r="AK9" i="1" a="1"/>
  <c r="AK9" i="1" s="1"/>
  <c r="BR27" i="14" a="1"/>
  <c r="BR27" i="14" s="1"/>
  <c r="BR29" i="14" a="1"/>
  <c r="BR29" i="14" s="1"/>
  <c r="BR44" i="14" a="1"/>
  <c r="BR44" i="14" s="1"/>
  <c r="BR45" i="14" a="1"/>
  <c r="BR45" i="14" s="1"/>
  <c r="BR37" i="14" a="1"/>
  <c r="BR37" i="14" s="1"/>
  <c r="BR22" i="14" a="1"/>
  <c r="BR22" i="14" s="1"/>
  <c r="BR12" i="14" a="1"/>
  <c r="BR12" i="14" s="1"/>
  <c r="K84" i="36"/>
  <c r="BR39" i="14" a="1"/>
  <c r="BR39" i="14" s="1"/>
  <c r="BS10" i="14" a="1"/>
  <c r="BS10" i="14" s="1"/>
  <c r="BN50" i="14"/>
  <c r="BR15" i="14" a="1"/>
  <c r="BR15" i="14" s="1"/>
  <c r="BR14" i="14" a="1"/>
  <c r="BR14" i="14" s="1"/>
  <c r="K86" i="36"/>
  <c r="BR49" i="14" a="1"/>
  <c r="BR49" i="14" s="1"/>
  <c r="BR32" i="14" a="1"/>
  <c r="BR32" i="14" s="1"/>
  <c r="BR28" i="14" a="1"/>
  <c r="BR28" i="14" s="1"/>
  <c r="BR48" i="14" a="1"/>
  <c r="BR48" i="14" s="1"/>
  <c r="BR46" i="14" a="1"/>
  <c r="BR46" i="14" s="1"/>
  <c r="BR31" i="14" a="1"/>
  <c r="BR31" i="14" s="1"/>
  <c r="C54" i="23"/>
  <c r="F54" i="23" s="1"/>
  <c r="BR24" i="14" a="1"/>
  <c r="BR24" i="14" s="1"/>
  <c r="BR13" i="14" a="1"/>
  <c r="BR13" i="14" s="1"/>
  <c r="K85" i="36"/>
  <c r="BR40" i="14" a="1"/>
  <c r="BR40" i="14" s="1"/>
  <c r="BR19" i="14" a="1"/>
  <c r="BR19" i="14" s="1"/>
  <c r="BR26" i="14" a="1"/>
  <c r="BR26" i="14" s="1"/>
  <c r="BR25" i="14" a="1"/>
  <c r="BR25" i="14" s="1"/>
  <c r="BR30" i="14" a="1"/>
  <c r="BR30" i="14" s="1"/>
  <c r="BR41" i="14" a="1"/>
  <c r="BR41" i="14" s="1"/>
  <c r="BR38" i="14" a="1"/>
  <c r="BR38" i="14" s="1"/>
  <c r="BR20" i="14" a="1"/>
  <c r="BR20" i="14" s="1"/>
  <c r="D28" i="34"/>
  <c r="G28" i="34" s="1"/>
  <c r="C50" i="34"/>
  <c r="H50" i="34" s="1"/>
  <c r="E21" i="23"/>
  <c r="G21" i="23"/>
  <c r="F41" i="23"/>
  <c r="L41" i="23"/>
  <c r="H41" i="23"/>
  <c r="F91" i="34"/>
  <c r="H91" i="34"/>
  <c r="L91" i="34"/>
  <c r="F101" i="34"/>
  <c r="L101" i="34"/>
  <c r="H101" i="34"/>
  <c r="F111" i="34"/>
  <c r="H111" i="34"/>
  <c r="L111" i="34"/>
  <c r="F120" i="34"/>
  <c r="L120" i="34"/>
  <c r="H120" i="34"/>
  <c r="F71" i="34"/>
  <c r="L71" i="34"/>
  <c r="H71" i="34"/>
  <c r="F70" i="34"/>
  <c r="H70" i="34"/>
  <c r="L70" i="34"/>
  <c r="F121" i="34"/>
  <c r="H121" i="34"/>
  <c r="L121" i="34"/>
  <c r="F61" i="34"/>
  <c r="L61" i="34"/>
  <c r="H61" i="34"/>
  <c r="F79" i="34"/>
  <c r="H79" i="34"/>
  <c r="L79" i="34"/>
  <c r="F80" i="34"/>
  <c r="L80" i="34"/>
  <c r="H80" i="34"/>
  <c r="F109" i="34"/>
  <c r="L109" i="34"/>
  <c r="H109" i="34"/>
  <c r="H49" i="34"/>
  <c r="L49" i="34"/>
  <c r="F81" i="34"/>
  <c r="L81" i="34"/>
  <c r="H81" i="34"/>
  <c r="F100" i="34"/>
  <c r="H100" i="34"/>
  <c r="L100" i="34"/>
  <c r="F89" i="34"/>
  <c r="H89" i="34"/>
  <c r="L89" i="34"/>
  <c r="F59" i="34"/>
  <c r="H59" i="34"/>
  <c r="L59" i="34"/>
  <c r="F99" i="34"/>
  <c r="L99" i="34"/>
  <c r="H99" i="34"/>
  <c r="F51" i="34"/>
  <c r="L51" i="34"/>
  <c r="H51" i="34"/>
  <c r="F119" i="34"/>
  <c r="H119" i="34"/>
  <c r="L119" i="34"/>
  <c r="F60" i="34"/>
  <c r="H60" i="34"/>
  <c r="L60" i="34"/>
  <c r="F90" i="34"/>
  <c r="H90" i="34"/>
  <c r="L90" i="34"/>
  <c r="F110" i="34"/>
  <c r="L110" i="34"/>
  <c r="H110" i="34"/>
  <c r="AM9" i="17"/>
  <c r="AM24" i="17" s="1"/>
  <c r="K53" i="36"/>
  <c r="AK10" i="1" a="1"/>
  <c r="AK10" i="1" s="1"/>
  <c r="AI11" i="1"/>
  <c r="L9" i="32" s="1"/>
  <c r="O85" i="34"/>
  <c r="O75" i="34"/>
  <c r="O55" i="34"/>
  <c r="O115" i="34"/>
  <c r="O105" i="34"/>
  <c r="O125" i="34"/>
  <c r="M16" i="32"/>
  <c r="O16" i="32" s="1"/>
  <c r="K78" i="36" s="1"/>
  <c r="M24" i="32"/>
  <c r="O24" i="32" s="1"/>
  <c r="M15" i="32"/>
  <c r="O15" i="32" s="1"/>
  <c r="M30" i="32"/>
  <c r="O30" i="32" s="1"/>
  <c r="L17" i="32"/>
  <c r="F66" i="23"/>
  <c r="F75" i="23"/>
  <c r="H75" i="23"/>
  <c r="L75" i="23"/>
  <c r="F115" i="23"/>
  <c r="H115" i="23"/>
  <c r="L115" i="23"/>
  <c r="F114" i="23"/>
  <c r="H114" i="23"/>
  <c r="L114" i="23"/>
  <c r="F93" i="23"/>
  <c r="L93" i="23"/>
  <c r="H93" i="23"/>
  <c r="F45" i="23"/>
  <c r="L45" i="23"/>
  <c r="AL10" i="1"/>
  <c r="K66" i="36" s="1"/>
  <c r="F86" i="23"/>
  <c r="F73" i="23"/>
  <c r="L73" i="23"/>
  <c r="H73" i="23"/>
  <c r="F94" i="23"/>
  <c r="L94" i="23"/>
  <c r="H94" i="23"/>
  <c r="F55" i="23"/>
  <c r="L55" i="23"/>
  <c r="H55" i="23"/>
  <c r="F104" i="23"/>
  <c r="H104" i="23"/>
  <c r="L104" i="23"/>
  <c r="M31" i="32"/>
  <c r="O31" i="32" s="1"/>
  <c r="F113" i="23"/>
  <c r="L113" i="23"/>
  <c r="H113" i="23"/>
  <c r="M32" i="32"/>
  <c r="O32" i="32" s="1"/>
  <c r="E22" i="23"/>
  <c r="G22" i="23"/>
  <c r="M14" i="32"/>
  <c r="O14" i="32" s="1"/>
  <c r="M26" i="32"/>
  <c r="O26" i="32" s="1"/>
  <c r="Q26" i="32" s="1" a="1"/>
  <c r="Q26" i="32" s="1"/>
  <c r="M23" i="32"/>
  <c r="O23" i="32" s="1"/>
  <c r="Q23" i="32" s="1" a="1"/>
  <c r="Q23" i="32" s="1"/>
  <c r="M11" i="32"/>
  <c r="O11" i="32" s="1"/>
  <c r="M21" i="32"/>
  <c r="O21" i="32" s="1"/>
  <c r="Q21" i="32" s="1" a="1"/>
  <c r="Q21" i="32" s="1"/>
  <c r="M27" i="32"/>
  <c r="O27" i="32" s="1"/>
  <c r="M28" i="32"/>
  <c r="O28" i="32" s="1"/>
  <c r="Q28" i="32" s="1" a="1"/>
  <c r="Q28" i="32" s="1"/>
  <c r="M22" i="32"/>
  <c r="O22" i="32" s="1"/>
  <c r="Q22" i="32" s="1" a="1"/>
  <c r="Q22" i="32" s="1"/>
  <c r="M20" i="32"/>
  <c r="O20" i="32" s="1"/>
  <c r="Q20" i="32" s="1" a="1"/>
  <c r="Q20" i="32" s="1"/>
  <c r="M12" i="32"/>
  <c r="O12" i="32" s="1"/>
  <c r="M29" i="32"/>
  <c r="O29" i="32" s="1"/>
  <c r="Q29" i="32" s="1" a="1"/>
  <c r="Q29" i="32" s="1"/>
  <c r="M18" i="32"/>
  <c r="O18" i="32" s="1"/>
  <c r="Q18" i="32" s="1" a="1"/>
  <c r="Q18" i="32" s="1"/>
  <c r="M25" i="32"/>
  <c r="O25" i="32" s="1"/>
  <c r="Q25" i="32" s="1" a="1"/>
  <c r="Q25" i="32" s="1"/>
  <c r="M19" i="32"/>
  <c r="O19" i="32" s="1"/>
  <c r="Q19" i="32" s="1" a="1"/>
  <c r="Q19" i="32" s="1"/>
  <c r="BT10" i="14"/>
  <c r="BQ10" i="14" a="1"/>
  <c r="BQ10" i="14" s="1"/>
  <c r="D24" i="23"/>
  <c r="BS50" i="13"/>
  <c r="BL10" i="13"/>
  <c r="BO10" i="13" a="1"/>
  <c r="BO10" i="13" s="1"/>
  <c r="AL9" i="1"/>
  <c r="AG9" i="25" a="1"/>
  <c r="AG9" i="25" s="1"/>
  <c r="Y50" i="14"/>
  <c r="BN10" i="13" a="1"/>
  <c r="BN10" i="13" s="1"/>
  <c r="BN50" i="13" s="1"/>
  <c r="AJ24" i="17"/>
  <c r="AF50" i="13"/>
  <c r="BV47" i="14"/>
  <c r="BV41" i="14"/>
  <c r="BV37" i="14"/>
  <c r="BV13" i="14"/>
  <c r="BV19" i="14"/>
  <c r="BV15" i="14"/>
  <c r="BV18" i="14"/>
  <c r="BV26" i="14"/>
  <c r="BV29" i="14"/>
  <c r="BV22" i="14"/>
  <c r="BV24" i="14"/>
  <c r="BV28" i="14"/>
  <c r="BV42" i="14"/>
  <c r="BV40" i="14"/>
  <c r="BV32" i="14"/>
  <c r="BV27" i="14"/>
  <c r="BV16" i="14"/>
  <c r="BV33" i="14"/>
  <c r="BV49" i="14"/>
  <c r="BV38" i="14"/>
  <c r="BV14" i="14"/>
  <c r="BV39" i="14"/>
  <c r="BV20" i="14"/>
  <c r="BV36" i="14"/>
  <c r="BV45" i="14"/>
  <c r="BV12" i="14"/>
  <c r="BV30" i="14"/>
  <c r="BV21" i="14"/>
  <c r="BV31" i="14"/>
  <c r="BG50" i="14"/>
  <c r="BU49" i="14"/>
  <c r="H12" i="32"/>
  <c r="C53" i="23" s="1"/>
  <c r="F53" i="23" s="1"/>
  <c r="BU32" i="14"/>
  <c r="BV46" i="14"/>
  <c r="BU45" i="14"/>
  <c r="BV17" i="14"/>
  <c r="BV23" i="14"/>
  <c r="BV34" i="14"/>
  <c r="BU12" i="14"/>
  <c r="BV43" i="14"/>
  <c r="BU37" i="14"/>
  <c r="BV44" i="14"/>
  <c r="BF50" i="14"/>
  <c r="BV35" i="14"/>
  <c r="BV25" i="14"/>
  <c r="BV48" i="14"/>
  <c r="BM50" i="13"/>
  <c r="H27" i="32"/>
  <c r="C103" i="23" s="1"/>
  <c r="AE50" i="13"/>
  <c r="D4" i="23" s="1"/>
  <c r="O8" i="32"/>
  <c r="L50" i="34" l="1"/>
  <c r="H9" i="32"/>
  <c r="F50" i="34"/>
  <c r="BR11" i="14" a="1"/>
  <c r="BR11" i="14" s="1"/>
  <c r="K83" i="36"/>
  <c r="BR10" i="14" a="1"/>
  <c r="BR10" i="14" s="1"/>
  <c r="K82" i="36"/>
  <c r="L10" i="32"/>
  <c r="M10" i="32" s="1"/>
  <c r="O10" i="32" s="1"/>
  <c r="BV11" i="14"/>
  <c r="BU10" i="13"/>
  <c r="BU50" i="13" s="1"/>
  <c r="N90" i="34"/>
  <c r="N91" i="34"/>
  <c r="N92" i="34"/>
  <c r="N93" i="34"/>
  <c r="N94" i="34"/>
  <c r="N89" i="34"/>
  <c r="G27" i="34"/>
  <c r="N114" i="34"/>
  <c r="N110" i="34"/>
  <c r="N111" i="34"/>
  <c r="N112" i="34"/>
  <c r="N113" i="34"/>
  <c r="N109" i="34"/>
  <c r="AK11" i="1" a="1"/>
  <c r="AK11" i="1" s="1"/>
  <c r="AL11" i="1"/>
  <c r="K67" i="36" s="1"/>
  <c r="AI69" i="1"/>
  <c r="C124" i="34"/>
  <c r="F124" i="34" s="1"/>
  <c r="Q32" i="32" a="1"/>
  <c r="Q32" i="32" s="1"/>
  <c r="C102" i="34"/>
  <c r="H102" i="34" s="1"/>
  <c r="Q24" i="32" a="1"/>
  <c r="Q24" i="32" s="1"/>
  <c r="C73" i="34"/>
  <c r="L73" i="34" s="1"/>
  <c r="Q16" i="32" a="1"/>
  <c r="Q16" i="32" s="1"/>
  <c r="R16" i="32"/>
  <c r="R14" i="32"/>
  <c r="C123" i="34"/>
  <c r="F123" i="34" s="1"/>
  <c r="Q31" i="32" a="1"/>
  <c r="Q31" i="32" s="1"/>
  <c r="C122" i="34"/>
  <c r="F122" i="34" s="1"/>
  <c r="Q30" i="32" a="1"/>
  <c r="Q30" i="32" s="1"/>
  <c r="K74" i="36"/>
  <c r="C112" i="34"/>
  <c r="F112" i="34" s="1"/>
  <c r="Q27" i="32" a="1"/>
  <c r="Q27" i="32" s="1"/>
  <c r="C72" i="34"/>
  <c r="F72" i="34" s="1"/>
  <c r="Q15" i="32" a="1"/>
  <c r="Q15" i="32" s="1"/>
  <c r="R24" i="32"/>
  <c r="R30" i="32"/>
  <c r="K77" i="36"/>
  <c r="R15" i="32"/>
  <c r="C62" i="34"/>
  <c r="F62" i="34" s="1"/>
  <c r="R32" i="32"/>
  <c r="M17" i="32"/>
  <c r="O17" i="32" s="1"/>
  <c r="R21" i="32"/>
  <c r="C92" i="34"/>
  <c r="R29" i="32"/>
  <c r="C114" i="34"/>
  <c r="R26" i="32"/>
  <c r="C104" i="34"/>
  <c r="R20" i="32"/>
  <c r="C84" i="34"/>
  <c r="F116" i="23"/>
  <c r="R18" i="32"/>
  <c r="K80" i="36"/>
  <c r="C82" i="34"/>
  <c r="F103" i="23"/>
  <c r="H103" i="23"/>
  <c r="L103" i="23"/>
  <c r="K76" i="36"/>
  <c r="C64" i="34"/>
  <c r="F76" i="23"/>
  <c r="R19" i="32"/>
  <c r="C83" i="34"/>
  <c r="F56" i="23"/>
  <c r="R25" i="32"/>
  <c r="C103" i="34"/>
  <c r="K73" i="36"/>
  <c r="C54" i="34"/>
  <c r="N85" i="23"/>
  <c r="N86" i="23"/>
  <c r="N84" i="23"/>
  <c r="N80" i="23"/>
  <c r="N81" i="23"/>
  <c r="N83" i="23"/>
  <c r="N82" i="23"/>
  <c r="F96" i="23"/>
  <c r="K65" i="36"/>
  <c r="R23" i="32"/>
  <c r="C94" i="34"/>
  <c r="R22" i="32"/>
  <c r="C93" i="34"/>
  <c r="R31" i="32"/>
  <c r="R28" i="32"/>
  <c r="C113" i="34"/>
  <c r="E24" i="23"/>
  <c r="G24" i="23"/>
  <c r="R11" i="32"/>
  <c r="R27" i="32"/>
  <c r="R12" i="32"/>
  <c r="BT11" i="14"/>
  <c r="BT50" i="14" s="1"/>
  <c r="L13" i="32"/>
  <c r="M13" i="32" s="1"/>
  <c r="O13" i="32" s="1"/>
  <c r="BO50" i="13"/>
  <c r="BT10" i="13"/>
  <c r="BT50" i="13" s="1"/>
  <c r="AE49" i="25"/>
  <c r="AH9" i="25"/>
  <c r="AH49" i="25" s="1"/>
  <c r="D4" i="34"/>
  <c r="D25" i="23"/>
  <c r="E25" i="23" s="1"/>
  <c r="BV10" i="14"/>
  <c r="BV50" i="14" s="1"/>
  <c r="AF50" i="14"/>
  <c r="BH50" i="14"/>
  <c r="BU50" i="14"/>
  <c r="R8" i="32"/>
  <c r="M9" i="32" l="1"/>
  <c r="O9" i="32" s="1"/>
  <c r="D23" i="23"/>
  <c r="E23" i="23" s="1"/>
  <c r="C43" i="23"/>
  <c r="F43" i="23" s="1"/>
  <c r="F46" i="23" s="1"/>
  <c r="H33" i="32"/>
  <c r="C53" i="34"/>
  <c r="F53" i="34" s="1"/>
  <c r="K72" i="36"/>
  <c r="R10" i="32"/>
  <c r="D31" i="34"/>
  <c r="F39" i="36" s="1"/>
  <c r="R13" i="32"/>
  <c r="K75" i="36"/>
  <c r="C63" i="34"/>
  <c r="F63" i="34" s="1"/>
  <c r="AL69" i="1"/>
  <c r="H123" i="34"/>
  <c r="L123" i="34"/>
  <c r="F73" i="34"/>
  <c r="L124" i="34"/>
  <c r="H124" i="34"/>
  <c r="H73" i="34"/>
  <c r="L102" i="34"/>
  <c r="F102" i="34"/>
  <c r="H112" i="34"/>
  <c r="L112" i="34"/>
  <c r="L122" i="34"/>
  <c r="R17" i="32"/>
  <c r="Q17" i="32" a="1"/>
  <c r="Q17" i="32" s="1"/>
  <c r="H122" i="34"/>
  <c r="C74" i="34"/>
  <c r="F74" i="34" s="1"/>
  <c r="D32" i="34"/>
  <c r="F40" i="36" s="1"/>
  <c r="K79" i="36"/>
  <c r="F125" i="34"/>
  <c r="N123" i="34" s="1"/>
  <c r="F94" i="34"/>
  <c r="L94" i="34"/>
  <c r="H94" i="34"/>
  <c r="F103" i="34"/>
  <c r="L103" i="34"/>
  <c r="H103" i="34"/>
  <c r="F64" i="34"/>
  <c r="H64" i="34"/>
  <c r="L64" i="34"/>
  <c r="F104" i="34"/>
  <c r="H104" i="34"/>
  <c r="L104" i="34"/>
  <c r="F84" i="34"/>
  <c r="L84" i="34"/>
  <c r="H84" i="34"/>
  <c r="F114" i="34"/>
  <c r="L114" i="34"/>
  <c r="H114" i="34"/>
  <c r="F82" i="34"/>
  <c r="L82" i="34"/>
  <c r="H82" i="34"/>
  <c r="F113" i="34"/>
  <c r="H113" i="34"/>
  <c r="L113" i="34"/>
  <c r="F93" i="34"/>
  <c r="L93" i="34"/>
  <c r="H93" i="34"/>
  <c r="N93" i="23"/>
  <c r="N92" i="23"/>
  <c r="N91" i="23"/>
  <c r="N96" i="23"/>
  <c r="N94" i="23"/>
  <c r="N90" i="23"/>
  <c r="N95" i="23"/>
  <c r="N113" i="23"/>
  <c r="N112" i="23"/>
  <c r="N114" i="23"/>
  <c r="N115" i="23"/>
  <c r="N110" i="23"/>
  <c r="N116" i="23"/>
  <c r="N111" i="23"/>
  <c r="F92" i="34"/>
  <c r="H92" i="34"/>
  <c r="L92" i="34"/>
  <c r="F106" i="23"/>
  <c r="F83" i="34"/>
  <c r="H83" i="34"/>
  <c r="L83" i="34"/>
  <c r="F54" i="34"/>
  <c r="H54" i="34"/>
  <c r="L54" i="34"/>
  <c r="N72" i="23"/>
  <c r="N76" i="23"/>
  <c r="N74" i="23"/>
  <c r="N75" i="23"/>
  <c r="N70" i="23"/>
  <c r="N73" i="23"/>
  <c r="N71" i="23"/>
  <c r="G25" i="23"/>
  <c r="BO50" i="14"/>
  <c r="F22" i="23"/>
  <c r="M22" i="23" s="1"/>
  <c r="D3" i="23" l="1"/>
  <c r="C76" i="23" s="1"/>
  <c r="G23" i="23"/>
  <c r="F75" i="34"/>
  <c r="F65" i="34"/>
  <c r="N119" i="34"/>
  <c r="N124" i="34"/>
  <c r="N122" i="34"/>
  <c r="N121" i="34"/>
  <c r="N125" i="34"/>
  <c r="F115" i="34"/>
  <c r="N115" i="34" s="1"/>
  <c r="F105" i="34"/>
  <c r="N103" i="34" s="1"/>
  <c r="N120" i="34"/>
  <c r="G32" i="34"/>
  <c r="G31" i="34"/>
  <c r="P22" i="23"/>
  <c r="R22" i="23" s="1"/>
  <c r="N101" i="23"/>
  <c r="N106" i="23"/>
  <c r="N102" i="23"/>
  <c r="N103" i="23"/>
  <c r="N105" i="23"/>
  <c r="N100" i="23"/>
  <c r="N104" i="23"/>
  <c r="F95" i="34"/>
  <c r="N95" i="34" s="1"/>
  <c r="F85" i="34"/>
  <c r="K71" i="36"/>
  <c r="C52" i="34"/>
  <c r="F52" i="34" s="1"/>
  <c r="F55" i="34" s="1"/>
  <c r="D30" i="34"/>
  <c r="F118" i="23"/>
  <c r="R9" i="32"/>
  <c r="R33" i="32" s="1"/>
  <c r="O33" i="32"/>
  <c r="D3" i="34" s="1"/>
  <c r="D5" i="34" l="1"/>
  <c r="H26" i="23"/>
  <c r="G30" i="34"/>
  <c r="D6" i="23"/>
  <c r="G6" i="23"/>
  <c r="U51" i="34" s="1"/>
  <c r="B17" i="34"/>
  <c r="B21" i="34" s="1"/>
  <c r="D26" i="23"/>
  <c r="C106" i="23"/>
  <c r="C46" i="23"/>
  <c r="D5" i="23"/>
  <c r="C116" i="23"/>
  <c r="C66" i="23"/>
  <c r="G5" i="34"/>
  <c r="E3" i="34"/>
  <c r="C86" i="23"/>
  <c r="C96" i="23"/>
  <c r="C56" i="23"/>
  <c r="N100" i="34"/>
  <c r="N102" i="34"/>
  <c r="N101" i="34"/>
  <c r="N105" i="34"/>
  <c r="N99" i="34"/>
  <c r="N104" i="34"/>
  <c r="N81" i="34"/>
  <c r="N79" i="34"/>
  <c r="N85" i="34"/>
  <c r="N84" i="34"/>
  <c r="N82" i="34"/>
  <c r="N83" i="34"/>
  <c r="N80" i="34"/>
  <c r="F127" i="34"/>
  <c r="F38" i="36"/>
  <c r="F41" i="36" s="1"/>
  <c r="F20" i="23"/>
  <c r="F21" i="23"/>
  <c r="M21" i="23" s="1"/>
  <c r="F24" i="23"/>
  <c r="F25" i="23"/>
  <c r="Q22" i="23" l="1"/>
  <c r="S22" i="23" s="1"/>
  <c r="E27" i="34"/>
  <c r="E29" i="34"/>
  <c r="AE32" i="23"/>
  <c r="AB32" i="23"/>
  <c r="E26" i="23"/>
  <c r="D7" i="23" s="1"/>
  <c r="Z32" i="23"/>
  <c r="AE51" i="34"/>
  <c r="AA51" i="34"/>
  <c r="Y32" i="23"/>
  <c r="AD32" i="23"/>
  <c r="X32" i="23"/>
  <c r="C118" i="23"/>
  <c r="D46" i="23" s="1"/>
  <c r="G41" i="23" s="1"/>
  <c r="N61" i="23"/>
  <c r="N62" i="23"/>
  <c r="N64" i="23"/>
  <c r="P21" i="23"/>
  <c r="R21" i="23" s="1"/>
  <c r="Q21" i="23"/>
  <c r="S21" i="23" s="1"/>
  <c r="C85" i="34"/>
  <c r="C105" i="34"/>
  <c r="C95" i="34"/>
  <c r="C115" i="34"/>
  <c r="C125" i="34"/>
  <c r="H42" i="23"/>
  <c r="H45" i="23"/>
  <c r="E4" i="34"/>
  <c r="E6" i="34"/>
  <c r="I26" i="23" l="1"/>
  <c r="AA32" i="23"/>
  <c r="AC32" i="23"/>
  <c r="G7" i="23"/>
  <c r="J22" i="23"/>
  <c r="K22" i="23" s="1"/>
  <c r="D66" i="23"/>
  <c r="G66" i="23" s="1"/>
  <c r="I60" i="23" s="1"/>
  <c r="J21" i="23"/>
  <c r="K21" i="23" s="1"/>
  <c r="F23" i="23"/>
  <c r="D116" i="23"/>
  <c r="G110" i="23" s="1"/>
  <c r="J110" i="23" s="1"/>
  <c r="K110" i="23" s="1"/>
  <c r="M110" i="23" s="1"/>
  <c r="AI51" i="34"/>
  <c r="D96" i="23"/>
  <c r="G96" i="23" s="1"/>
  <c r="G8" i="23"/>
  <c r="J23" i="23" s="1"/>
  <c r="J25" i="23"/>
  <c r="K25" i="23" s="1"/>
  <c r="J24" i="23"/>
  <c r="K24" i="23" s="1"/>
  <c r="D106" i="23"/>
  <c r="G104" i="23" s="1"/>
  <c r="J104" i="23" s="1"/>
  <c r="K104" i="23" s="1"/>
  <c r="M104" i="23" s="1"/>
  <c r="K20" i="23"/>
  <c r="D76" i="23"/>
  <c r="G76" i="23" s="1"/>
  <c r="D86" i="23"/>
  <c r="G82" i="23" s="1"/>
  <c r="J82" i="23" s="1"/>
  <c r="K82" i="23" s="1"/>
  <c r="M82" i="23" s="1"/>
  <c r="AC51" i="34"/>
  <c r="D56" i="23"/>
  <c r="G53" i="23" s="1"/>
  <c r="H53" i="23" s="1"/>
  <c r="Y51" i="34"/>
  <c r="D71" i="23"/>
  <c r="D94" i="23"/>
  <c r="AG51" i="34"/>
  <c r="W51" i="34"/>
  <c r="X33" i="23"/>
  <c r="AE35" i="23" s="1"/>
  <c r="AI53" i="34" s="1"/>
  <c r="D100" i="23"/>
  <c r="G45" i="23"/>
  <c r="J45" i="23" s="1"/>
  <c r="K45" i="23" s="1"/>
  <c r="M45" i="23" s="1"/>
  <c r="D84" i="23"/>
  <c r="D85" i="23"/>
  <c r="D55" i="23"/>
  <c r="D91" i="23"/>
  <c r="D40" i="23"/>
  <c r="N42" i="23"/>
  <c r="D70" i="23"/>
  <c r="D65" i="23"/>
  <c r="D45" i="23"/>
  <c r="D63" i="23"/>
  <c r="D64" i="23"/>
  <c r="D115" i="23"/>
  <c r="D62" i="23"/>
  <c r="D103" i="23"/>
  <c r="D61" i="23"/>
  <c r="D53" i="23"/>
  <c r="D80" i="23"/>
  <c r="D102" i="23"/>
  <c r="N50" i="23"/>
  <c r="D112" i="23"/>
  <c r="D82" i="23"/>
  <c r="D73" i="23"/>
  <c r="N55" i="23"/>
  <c r="D52" i="23"/>
  <c r="D104" i="23"/>
  <c r="D51" i="23"/>
  <c r="D60" i="23"/>
  <c r="D54" i="23"/>
  <c r="G44" i="23"/>
  <c r="H44" i="23" s="1"/>
  <c r="D81" i="23"/>
  <c r="D50" i="23"/>
  <c r="D113" i="23"/>
  <c r="D105" i="23"/>
  <c r="D43" i="23"/>
  <c r="D75" i="23"/>
  <c r="D74" i="23"/>
  <c r="D72" i="23"/>
  <c r="N40" i="23"/>
  <c r="G40" i="23"/>
  <c r="J40" i="23" s="1"/>
  <c r="K40" i="23" s="1"/>
  <c r="M40" i="23" s="1"/>
  <c r="N51" i="23"/>
  <c r="D111" i="23"/>
  <c r="D114" i="23"/>
  <c r="D101" i="23"/>
  <c r="G42" i="23"/>
  <c r="J42" i="23" s="1"/>
  <c r="K42" i="23" s="1"/>
  <c r="M42" i="23" s="1"/>
  <c r="D41" i="23"/>
  <c r="D90" i="23"/>
  <c r="D42" i="23"/>
  <c r="D93" i="23"/>
  <c r="N52" i="23"/>
  <c r="D44" i="23"/>
  <c r="N45" i="23"/>
  <c r="G43" i="23"/>
  <c r="H43" i="23" s="1"/>
  <c r="G46" i="23"/>
  <c r="I40" i="23" s="1"/>
  <c r="D92" i="23"/>
  <c r="D110" i="23"/>
  <c r="D95" i="23"/>
  <c r="N41" i="23"/>
  <c r="D83" i="23"/>
  <c r="J41" i="23"/>
  <c r="K41" i="23" s="1"/>
  <c r="M41" i="23" s="1"/>
  <c r="H54" i="23"/>
  <c r="H66" i="23"/>
  <c r="H65" i="23"/>
  <c r="H60" i="23"/>
  <c r="F29" i="34"/>
  <c r="E28" i="34"/>
  <c r="F28" i="34" s="1"/>
  <c r="V51" i="34"/>
  <c r="AJ51" i="34"/>
  <c r="AB51" i="34"/>
  <c r="AH51" i="34"/>
  <c r="Z51" i="34"/>
  <c r="M9" i="34"/>
  <c r="G27" i="36" s="1"/>
  <c r="AF51" i="34"/>
  <c r="E5" i="34"/>
  <c r="I70" i="23" l="1"/>
  <c r="L76" i="23" s="1"/>
  <c r="H76" i="23"/>
  <c r="I90" i="23"/>
  <c r="L96" i="23" s="1"/>
  <c r="H96" i="23"/>
  <c r="J33" i="34"/>
  <c r="K23" i="23"/>
  <c r="AD51" i="34"/>
  <c r="P9" i="34"/>
  <c r="G31" i="36" s="1"/>
  <c r="G62" i="23"/>
  <c r="J62" i="23" s="1"/>
  <c r="K62" i="23" s="1"/>
  <c r="M62" i="23" s="1"/>
  <c r="G116" i="23"/>
  <c r="G94" i="23"/>
  <c r="J94" i="23" s="1"/>
  <c r="K94" i="23" s="1"/>
  <c r="M94" i="23" s="1"/>
  <c r="G111" i="23"/>
  <c r="J111" i="23" s="1"/>
  <c r="K111" i="23" s="1"/>
  <c r="M111" i="23" s="1"/>
  <c r="G114" i="23"/>
  <c r="J114" i="23" s="1"/>
  <c r="K114" i="23" s="1"/>
  <c r="M114" i="23" s="1"/>
  <c r="G92" i="23"/>
  <c r="J92" i="23" s="1"/>
  <c r="K92" i="23" s="1"/>
  <c r="M92" i="23" s="1"/>
  <c r="G115" i="23"/>
  <c r="J115" i="23" s="1"/>
  <c r="K115" i="23" s="1"/>
  <c r="M115" i="23" s="1"/>
  <c r="G93" i="23"/>
  <c r="J93" i="23" s="1"/>
  <c r="K93" i="23" s="1"/>
  <c r="M93" i="23" s="1"/>
  <c r="G113" i="23"/>
  <c r="J113" i="23" s="1"/>
  <c r="K113" i="23" s="1"/>
  <c r="M113" i="23" s="1"/>
  <c r="G112" i="23"/>
  <c r="J112" i="23" s="1"/>
  <c r="K112" i="23" s="1"/>
  <c r="M112" i="23" s="1"/>
  <c r="G95" i="23"/>
  <c r="J95" i="23" s="1"/>
  <c r="K95" i="23" s="1"/>
  <c r="M95" i="23" s="1"/>
  <c r="G91" i="23"/>
  <c r="J91" i="23" s="1"/>
  <c r="K91" i="23" s="1"/>
  <c r="M91" i="23" s="1"/>
  <c r="J96" i="23"/>
  <c r="K96" i="23" s="1"/>
  <c r="M96" i="23" s="1"/>
  <c r="G64" i="23"/>
  <c r="J64" i="23" s="1"/>
  <c r="K64" i="23" s="1"/>
  <c r="M64" i="23" s="1"/>
  <c r="G90" i="23"/>
  <c r="J90" i="23" s="1"/>
  <c r="K90" i="23" s="1"/>
  <c r="M90" i="23" s="1"/>
  <c r="G63" i="23"/>
  <c r="H63" i="23" s="1"/>
  <c r="G86" i="23"/>
  <c r="G61" i="23"/>
  <c r="J61" i="23" s="1"/>
  <c r="K61" i="23" s="1"/>
  <c r="M61" i="23" s="1"/>
  <c r="G106" i="23"/>
  <c r="G60" i="23"/>
  <c r="J60" i="23" s="1"/>
  <c r="K60" i="23" s="1"/>
  <c r="G105" i="23"/>
  <c r="J105" i="23" s="1"/>
  <c r="K105" i="23" s="1"/>
  <c r="M105" i="23" s="1"/>
  <c r="G65" i="23"/>
  <c r="J65" i="23" s="1"/>
  <c r="K65" i="23" s="1"/>
  <c r="G85" i="23"/>
  <c r="J85" i="23" s="1"/>
  <c r="K85" i="23" s="1"/>
  <c r="M85" i="23" s="1"/>
  <c r="G71" i="23"/>
  <c r="J71" i="23" s="1"/>
  <c r="K71" i="23" s="1"/>
  <c r="M71" i="23" s="1"/>
  <c r="G75" i="23"/>
  <c r="J75" i="23" s="1"/>
  <c r="K75" i="23" s="1"/>
  <c r="M75" i="23" s="1"/>
  <c r="G73" i="23"/>
  <c r="J73" i="23" s="1"/>
  <c r="K73" i="23" s="1"/>
  <c r="M73" i="23" s="1"/>
  <c r="G70" i="23"/>
  <c r="J70" i="23" s="1"/>
  <c r="K70" i="23" s="1"/>
  <c r="M70" i="23" s="1"/>
  <c r="G54" i="23"/>
  <c r="J54" i="23" s="1"/>
  <c r="K54" i="23" s="1"/>
  <c r="G56" i="23"/>
  <c r="H56" i="23" s="1"/>
  <c r="G51" i="23"/>
  <c r="J51" i="23" s="1"/>
  <c r="K51" i="23" s="1"/>
  <c r="M51" i="23" s="1"/>
  <c r="G72" i="23"/>
  <c r="J72" i="23" s="1"/>
  <c r="K72" i="23" s="1"/>
  <c r="M72" i="23" s="1"/>
  <c r="G103" i="23"/>
  <c r="J103" i="23" s="1"/>
  <c r="K103" i="23" s="1"/>
  <c r="M103" i="23" s="1"/>
  <c r="G102" i="23"/>
  <c r="J102" i="23" s="1"/>
  <c r="K102" i="23" s="1"/>
  <c r="M102" i="23" s="1"/>
  <c r="G55" i="23"/>
  <c r="J55" i="23" s="1"/>
  <c r="K55" i="23" s="1"/>
  <c r="M55" i="23" s="1"/>
  <c r="G74" i="23"/>
  <c r="J74" i="23" s="1"/>
  <c r="K74" i="23" s="1"/>
  <c r="M74" i="23" s="1"/>
  <c r="J76" i="23"/>
  <c r="K76" i="23" s="1"/>
  <c r="M76" i="23" s="1"/>
  <c r="G83" i="23"/>
  <c r="J83" i="23" s="1"/>
  <c r="K83" i="23" s="1"/>
  <c r="M83" i="23" s="1"/>
  <c r="G80" i="23"/>
  <c r="J80" i="23" s="1"/>
  <c r="K80" i="23" s="1"/>
  <c r="M80" i="23" s="1"/>
  <c r="AD35" i="23"/>
  <c r="AG53" i="34" s="1"/>
  <c r="Y40" i="23"/>
  <c r="W58" i="34" s="1"/>
  <c r="G52" i="23"/>
  <c r="J52" i="23" s="1"/>
  <c r="K52" i="23" s="1"/>
  <c r="M52" i="23" s="1"/>
  <c r="G50" i="23"/>
  <c r="J50" i="23" s="1"/>
  <c r="K50" i="23" s="1"/>
  <c r="M50" i="23" s="1"/>
  <c r="AA40" i="23"/>
  <c r="AA58" i="34" s="1"/>
  <c r="AB40" i="23"/>
  <c r="AC58" i="34" s="1"/>
  <c r="AE39" i="23"/>
  <c r="AI57" i="34" s="1"/>
  <c r="Y35" i="23"/>
  <c r="W53" i="34" s="1"/>
  <c r="AC37" i="23"/>
  <c r="AE55" i="34" s="1"/>
  <c r="AC38" i="23"/>
  <c r="AE56" i="34" s="1"/>
  <c r="AD37" i="23"/>
  <c r="AG55" i="34" s="1"/>
  <c r="AD36" i="23"/>
  <c r="AG54" i="34" s="1"/>
  <c r="Z35" i="23"/>
  <c r="Y53" i="34" s="1"/>
  <c r="AD41" i="23"/>
  <c r="AG59" i="34" s="1"/>
  <c r="G84" i="23"/>
  <c r="J84" i="23" s="1"/>
  <c r="K84" i="23" s="1"/>
  <c r="M84" i="23" s="1"/>
  <c r="G81" i="23"/>
  <c r="J81" i="23" s="1"/>
  <c r="K81" i="23" s="1"/>
  <c r="M81" i="23" s="1"/>
  <c r="AA34" i="23"/>
  <c r="AA52" i="34" s="1"/>
  <c r="Y34" i="23"/>
  <c r="W52" i="34" s="1"/>
  <c r="Y37" i="23"/>
  <c r="W55" i="34" s="1"/>
  <c r="AB39" i="23"/>
  <c r="AC57" i="34" s="1"/>
  <c r="Y38" i="23"/>
  <c r="W56" i="34" s="1"/>
  <c r="G100" i="23"/>
  <c r="J100" i="23" s="1"/>
  <c r="K100" i="23" s="1"/>
  <c r="M100" i="23" s="1"/>
  <c r="Z38" i="23"/>
  <c r="Y56" i="34" s="1"/>
  <c r="AD39" i="23"/>
  <c r="AG57" i="34" s="1"/>
  <c r="AD34" i="23"/>
  <c r="AG52" i="34" s="1"/>
  <c r="Z34" i="23"/>
  <c r="Y52" i="34" s="1"/>
  <c r="Z40" i="23"/>
  <c r="Y58" i="34" s="1"/>
  <c r="X36" i="23"/>
  <c r="U54" i="34" s="1"/>
  <c r="AC36" i="23"/>
  <c r="AE54" i="34" s="1"/>
  <c r="X37" i="23"/>
  <c r="U55" i="34" s="1"/>
  <c r="AC35" i="23"/>
  <c r="AE53" i="34" s="1"/>
  <c r="J26" i="23"/>
  <c r="D8" i="23" s="1"/>
  <c r="AC39" i="23"/>
  <c r="AE57" i="34" s="1"/>
  <c r="AE34" i="23"/>
  <c r="AI52" i="34" s="1"/>
  <c r="AE38" i="23"/>
  <c r="AI56" i="34" s="1"/>
  <c r="AB41" i="23"/>
  <c r="AC59" i="34" s="1"/>
  <c r="AB35" i="23"/>
  <c r="AC53" i="34" s="1"/>
  <c r="AA39" i="23"/>
  <c r="AA57" i="34" s="1"/>
  <c r="Y36" i="23"/>
  <c r="W54" i="34" s="1"/>
  <c r="G101" i="23"/>
  <c r="J101" i="23" s="1"/>
  <c r="K101" i="23" s="1"/>
  <c r="M101" i="23" s="1"/>
  <c r="Z39" i="23"/>
  <c r="Y57" i="34" s="1"/>
  <c r="AA35" i="23"/>
  <c r="AA53" i="34" s="1"/>
  <c r="AE40" i="23"/>
  <c r="AI58" i="34" s="1"/>
  <c r="AE37" i="23"/>
  <c r="AI55" i="34" s="1"/>
  <c r="X35" i="23"/>
  <c r="U53" i="34" s="1"/>
  <c r="AA41" i="23"/>
  <c r="AA59" i="34" s="1"/>
  <c r="Z37" i="23"/>
  <c r="Y55" i="34" s="1"/>
  <c r="AB38" i="23"/>
  <c r="AC56" i="34" s="1"/>
  <c r="AB36" i="23"/>
  <c r="AC54" i="34" s="1"/>
  <c r="AE41" i="23"/>
  <c r="AI59" i="34" s="1"/>
  <c r="AA38" i="23"/>
  <c r="AA56" i="34" s="1"/>
  <c r="AA36" i="23"/>
  <c r="AA54" i="34" s="1"/>
  <c r="AD38" i="23"/>
  <c r="AG56" i="34" s="1"/>
  <c r="AC41" i="23"/>
  <c r="AE59" i="34" s="1"/>
  <c r="Y41" i="23"/>
  <c r="W59" i="34" s="1"/>
  <c r="X39" i="23"/>
  <c r="U57" i="34" s="1"/>
  <c r="Y39" i="23"/>
  <c r="W57" i="34" s="1"/>
  <c r="AC40" i="23"/>
  <c r="AE58" i="34" s="1"/>
  <c r="X38" i="23"/>
  <c r="U56" i="34" s="1"/>
  <c r="AE36" i="23"/>
  <c r="AI54" i="34" s="1"/>
  <c r="AB34" i="23"/>
  <c r="AC52" i="34" s="1"/>
  <c r="X41" i="23"/>
  <c r="U59" i="34" s="1"/>
  <c r="Z36" i="23"/>
  <c r="Y54" i="34" s="1"/>
  <c r="X34" i="23"/>
  <c r="U52" i="34" s="1"/>
  <c r="Z41" i="23"/>
  <c r="Y59" i="34" s="1"/>
  <c r="AC34" i="23"/>
  <c r="AE52" i="34" s="1"/>
  <c r="AB37" i="23"/>
  <c r="AC55" i="34" s="1"/>
  <c r="AD40" i="23"/>
  <c r="AG58" i="34" s="1"/>
  <c r="AA37" i="23"/>
  <c r="AA55" i="34" s="1"/>
  <c r="X40" i="23"/>
  <c r="U58" i="34" s="1"/>
  <c r="P104" i="23"/>
  <c r="P82" i="23"/>
  <c r="P110" i="23"/>
  <c r="F27" i="36"/>
  <c r="X51" i="34"/>
  <c r="P42" i="23"/>
  <c r="P45" i="23"/>
  <c r="P41" i="23"/>
  <c r="P40" i="23"/>
  <c r="J66" i="23"/>
  <c r="K66" i="23" s="1"/>
  <c r="S9" i="34"/>
  <c r="G33" i="36" s="1"/>
  <c r="F33" i="36"/>
  <c r="Q9" i="34"/>
  <c r="G32" i="36" s="1"/>
  <c r="F32" i="36"/>
  <c r="F31" i="36"/>
  <c r="L9" i="34"/>
  <c r="G26" i="36" s="1"/>
  <c r="F26" i="36"/>
  <c r="N9" i="34"/>
  <c r="G29" i="36" s="1"/>
  <c r="F29" i="36"/>
  <c r="R9" i="34"/>
  <c r="G28" i="36" s="1"/>
  <c r="F28" i="36"/>
  <c r="O9" i="34"/>
  <c r="G30" i="36" s="1"/>
  <c r="F30" i="36"/>
  <c r="J46" i="23"/>
  <c r="K46" i="23" s="1"/>
  <c r="H46" i="23"/>
  <c r="G39" i="36"/>
  <c r="H27" i="34"/>
  <c r="G38" i="36"/>
  <c r="G40" i="36"/>
  <c r="D33" i="34"/>
  <c r="M25" i="23"/>
  <c r="P25" i="23" s="1"/>
  <c r="P62" i="23" l="1"/>
  <c r="I110" i="23"/>
  <c r="L116" i="23" s="1"/>
  <c r="H116" i="23"/>
  <c r="J86" i="23"/>
  <c r="K86" i="23" s="1"/>
  <c r="M86" i="23" s="1"/>
  <c r="H86" i="23"/>
  <c r="P94" i="23"/>
  <c r="J106" i="23"/>
  <c r="K106" i="23" s="1"/>
  <c r="M106" i="23" s="1"/>
  <c r="H106" i="23"/>
  <c r="P111" i="23"/>
  <c r="J116" i="23"/>
  <c r="K116" i="23" s="1"/>
  <c r="M116" i="23" s="1"/>
  <c r="P51" i="23"/>
  <c r="P64" i="23"/>
  <c r="P92" i="23"/>
  <c r="P114" i="23"/>
  <c r="P95" i="23"/>
  <c r="P115" i="23"/>
  <c r="P91" i="23"/>
  <c r="P70" i="23"/>
  <c r="P112" i="23"/>
  <c r="P113" i="23"/>
  <c r="P93" i="23"/>
  <c r="J63" i="23"/>
  <c r="K63" i="23" s="1"/>
  <c r="P55" i="23"/>
  <c r="P90" i="23"/>
  <c r="P61" i="23"/>
  <c r="I80" i="23"/>
  <c r="L86" i="23" s="1"/>
  <c r="I100" i="23"/>
  <c r="L106" i="23" s="1"/>
  <c r="P105" i="23"/>
  <c r="P85" i="23"/>
  <c r="G118" i="23"/>
  <c r="I50" i="23"/>
  <c r="J53" i="23" s="1"/>
  <c r="K53" i="23" s="1"/>
  <c r="L53" i="23" s="1"/>
  <c r="N53" i="23" s="1"/>
  <c r="P72" i="23"/>
  <c r="P71" i="23"/>
  <c r="P73" i="23"/>
  <c r="P75" i="23"/>
  <c r="P103" i="23"/>
  <c r="P74" i="23"/>
  <c r="P80" i="23"/>
  <c r="P102" i="23"/>
  <c r="P83" i="23"/>
  <c r="P52" i="23"/>
  <c r="P50" i="23"/>
  <c r="P100" i="23"/>
  <c r="P81" i="23"/>
  <c r="P101" i="23"/>
  <c r="P84" i="23"/>
  <c r="L20" i="23"/>
  <c r="Q20" i="23" s="1"/>
  <c r="M20" i="23"/>
  <c r="P20" i="23" s="1"/>
  <c r="M24" i="23"/>
  <c r="P24" i="23" s="1"/>
  <c r="F34" i="36"/>
  <c r="L66" i="23"/>
  <c r="N66" i="23" s="1"/>
  <c r="L54" i="23"/>
  <c r="N54" i="23" s="1"/>
  <c r="P54" i="23" s="1"/>
  <c r="L65" i="23"/>
  <c r="N65" i="23" s="1"/>
  <c r="P65" i="23" s="1"/>
  <c r="L60" i="23"/>
  <c r="N60" i="23" s="1"/>
  <c r="P60" i="23" s="1"/>
  <c r="J44" i="23"/>
  <c r="K44" i="23" s="1"/>
  <c r="J43" i="23"/>
  <c r="K43" i="23" s="1"/>
  <c r="H30" i="34"/>
  <c r="H28" i="34"/>
  <c r="H29" i="34"/>
  <c r="H31" i="34"/>
  <c r="H32" i="34"/>
  <c r="P96" i="23" l="1"/>
  <c r="P116" i="23"/>
  <c r="J56" i="23"/>
  <c r="K56" i="23" s="1"/>
  <c r="K118" i="23" s="1"/>
  <c r="P53" i="23"/>
  <c r="P56" i="23" s="1"/>
  <c r="M53" i="23"/>
  <c r="P76" i="23"/>
  <c r="P86" i="23"/>
  <c r="P106" i="23"/>
  <c r="M23" i="23"/>
  <c r="P23" i="23" s="1"/>
  <c r="Q23" i="23" s="1"/>
  <c r="S23" i="23" s="1"/>
  <c r="U23" i="23" s="1"/>
  <c r="M26" i="23"/>
  <c r="L56" i="23"/>
  <c r="N56" i="23" s="1"/>
  <c r="J118" i="23"/>
  <c r="L63" i="23"/>
  <c r="N63" i="23" s="1"/>
  <c r="P63" i="23" s="1"/>
  <c r="P66" i="23" s="1"/>
  <c r="M66" i="23"/>
  <c r="M60" i="23"/>
  <c r="M54" i="23"/>
  <c r="M65" i="23"/>
  <c r="Q24" i="23"/>
  <c r="S24" i="23" s="1"/>
  <c r="S20" i="23"/>
  <c r="U20" i="23" s="1"/>
  <c r="L46" i="23"/>
  <c r="N46" i="23" s="1"/>
  <c r="L44" i="23"/>
  <c r="M44" i="23" s="1"/>
  <c r="Q25" i="23"/>
  <c r="E33" i="34"/>
  <c r="G34" i="36"/>
  <c r="Q10" i="23" l="1"/>
  <c r="P26" i="23"/>
  <c r="O20" i="23" s="1"/>
  <c r="D9" i="23"/>
  <c r="M56" i="23"/>
  <c r="D7" i="34"/>
  <c r="E7" i="34" s="1"/>
  <c r="M63" i="23"/>
  <c r="M46" i="23"/>
  <c r="S25" i="23"/>
  <c r="U25" i="23" s="1"/>
  <c r="R25" i="23"/>
  <c r="R20" i="23"/>
  <c r="R23" i="23"/>
  <c r="R24" i="23"/>
  <c r="F27" i="34"/>
  <c r="F32" i="34"/>
  <c r="F31" i="34"/>
  <c r="F30" i="34"/>
  <c r="L118" i="23"/>
  <c r="N44" i="23"/>
  <c r="P44" i="23" s="1"/>
  <c r="L43" i="23"/>
  <c r="L10" i="34"/>
  <c r="H33" i="34"/>
  <c r="F33" i="34"/>
  <c r="G41" i="36"/>
  <c r="G6" i="34" l="1"/>
  <c r="I30" i="34"/>
  <c r="AJ56" i="34"/>
  <c r="AH57" i="34"/>
  <c r="AF57" i="34"/>
  <c r="AD57" i="34"/>
  <c r="AB57" i="34"/>
  <c r="Z57" i="34"/>
  <c r="X57" i="34"/>
  <c r="V57" i="34"/>
  <c r="AH59" i="34"/>
  <c r="Z59" i="34"/>
  <c r="V59" i="34"/>
  <c r="AJ57" i="34"/>
  <c r="AH58" i="34"/>
  <c r="AF58" i="34"/>
  <c r="AD58" i="34"/>
  <c r="AB58" i="34"/>
  <c r="Z58" i="34"/>
  <c r="X58" i="34"/>
  <c r="V58" i="34"/>
  <c r="AJ58" i="34"/>
  <c r="AF59" i="34"/>
  <c r="AD59" i="34"/>
  <c r="AB59" i="34"/>
  <c r="X59" i="34"/>
  <c r="AJ54" i="34"/>
  <c r="AH55" i="34"/>
  <c r="AF55" i="34"/>
  <c r="AD55" i="34"/>
  <c r="AB55" i="34"/>
  <c r="Z55" i="34"/>
  <c r="X55" i="34"/>
  <c r="V55" i="34"/>
  <c r="AJ59" i="34"/>
  <c r="AF53" i="34"/>
  <c r="AB53" i="34"/>
  <c r="X53" i="34"/>
  <c r="AJ53" i="34"/>
  <c r="AF54" i="34"/>
  <c r="AB54" i="34"/>
  <c r="X54" i="34"/>
  <c r="AJ55" i="34"/>
  <c r="AF56" i="34"/>
  <c r="AB56" i="34"/>
  <c r="X56" i="34"/>
  <c r="AJ52" i="34"/>
  <c r="AF52" i="34"/>
  <c r="AB52" i="34"/>
  <c r="X52" i="34"/>
  <c r="AD53" i="34"/>
  <c r="AH54" i="34"/>
  <c r="AD54" i="34"/>
  <c r="Z54" i="34"/>
  <c r="V54" i="34"/>
  <c r="AH56" i="34"/>
  <c r="AD56" i="34"/>
  <c r="Z56" i="34"/>
  <c r="V56" i="34"/>
  <c r="AH52" i="34"/>
  <c r="AD52" i="34"/>
  <c r="Z52" i="34"/>
  <c r="V52" i="34"/>
  <c r="AH53" i="34"/>
  <c r="V53" i="34"/>
  <c r="Z53" i="34"/>
  <c r="N43" i="23"/>
  <c r="P43" i="23" s="1"/>
  <c r="M43" i="23"/>
  <c r="N118" i="23"/>
  <c r="P46" i="23"/>
  <c r="P118" i="23" s="1"/>
  <c r="I27" i="34"/>
  <c r="I33" i="34"/>
  <c r="I28" i="34"/>
  <c r="O28" i="34" s="1"/>
  <c r="I29" i="34"/>
  <c r="O29" i="34" s="1"/>
  <c r="I31" i="34"/>
  <c r="I32" i="34"/>
  <c r="G7" i="34" l="1"/>
  <c r="O32" i="34" l="1"/>
  <c r="O31" i="34"/>
  <c r="O27" i="34"/>
  <c r="I127" i="34" l="1"/>
  <c r="N70" i="34" l="1"/>
  <c r="N71" i="34"/>
  <c r="N73" i="34"/>
  <c r="H72" i="34" l="1"/>
  <c r="H63" i="34"/>
  <c r="H53" i="34"/>
  <c r="H69" i="34"/>
  <c r="H74" i="34"/>
  <c r="L63" i="34" l="1"/>
  <c r="L69" i="34"/>
  <c r="N69" i="34" s="1"/>
  <c r="L53" i="34"/>
  <c r="L74" i="34"/>
  <c r="N74" i="34" s="1"/>
  <c r="F26" i="23"/>
  <c r="L72" i="34" l="1"/>
  <c r="N72" i="34" s="1"/>
  <c r="N20" i="23"/>
  <c r="Q26" i="23" l="1"/>
  <c r="S26" i="23" l="1"/>
  <c r="R26" i="23"/>
  <c r="Q11" i="23" s="1"/>
  <c r="U21" i="23"/>
  <c r="V21" i="23" s="1"/>
  <c r="U22" i="23"/>
  <c r="V22" i="23" s="1"/>
  <c r="V23" i="23"/>
  <c r="U24" i="23"/>
  <c r="V24" i="23" s="1"/>
  <c r="D10" i="23"/>
  <c r="U26" i="23" l="1"/>
  <c r="S13" i="23" s="1"/>
  <c r="D11" i="23"/>
  <c r="V20" i="23"/>
  <c r="S8" i="23" l="1"/>
  <c r="V26" i="23"/>
  <c r="M118" i="23"/>
  <c r="V25" i="23" l="1"/>
  <c r="N75" i="34"/>
  <c r="S27" i="34"/>
  <c r="U27" i="34" s="1"/>
  <c r="K31" i="34"/>
  <c r="R31" i="34" s="1"/>
  <c r="K30" i="34"/>
  <c r="L30" i="34" s="1"/>
  <c r="K32" i="34"/>
  <c r="R32" i="34" s="1"/>
  <c r="K33" i="34"/>
  <c r="K24" i="36" s="1"/>
  <c r="K29" i="34"/>
  <c r="R29" i="34" s="1"/>
  <c r="K27" i="34"/>
  <c r="R27" i="34" s="1"/>
  <c r="K28" i="34"/>
  <c r="R28" i="34" s="1"/>
  <c r="M27" i="34"/>
  <c r="L29" i="34" l="1"/>
  <c r="L27" i="34"/>
  <c r="V27" i="34"/>
  <c r="W27" i="34" s="1"/>
  <c r="T27" i="34"/>
  <c r="L28" i="34"/>
  <c r="L33" i="34"/>
  <c r="K23" i="36" s="1"/>
  <c r="D8" i="34"/>
  <c r="E8" i="34" s="1"/>
  <c r="L32" i="34"/>
  <c r="T29" i="34"/>
  <c r="T31" i="34"/>
  <c r="T28" i="34"/>
  <c r="T32" i="34"/>
  <c r="N27" i="34"/>
  <c r="L31" i="34"/>
  <c r="S28" i="34" l="1"/>
  <c r="U28" i="34" s="1"/>
  <c r="V28" i="34" s="1"/>
  <c r="W28" i="34" s="1"/>
  <c r="O33" i="34"/>
  <c r="K25" i="36" s="1"/>
  <c r="S32" i="34"/>
  <c r="U32" i="34" s="1"/>
  <c r="V32" i="34" s="1"/>
  <c r="W32" i="34" s="1"/>
  <c r="O30" i="34"/>
  <c r="R30" i="34" s="1"/>
  <c r="S30" i="34" s="1"/>
  <c r="U30" i="34" s="1"/>
  <c r="S29" i="34"/>
  <c r="U29" i="34" s="1"/>
  <c r="V29" i="34" s="1"/>
  <c r="W29" i="34" s="1"/>
  <c r="S31" i="34"/>
  <c r="U31" i="34" s="1"/>
  <c r="V31" i="34" s="1"/>
  <c r="W31" i="34" s="1"/>
  <c r="T30" i="34" l="1"/>
  <c r="V30" i="34"/>
  <c r="W30" i="34" s="1"/>
  <c r="D9" i="34"/>
  <c r="E9" i="34" s="1"/>
  <c r="P27" i="34"/>
  <c r="R33" i="34"/>
  <c r="S33" i="34" s="1"/>
  <c r="K27" i="36" s="1"/>
  <c r="V33" i="34" l="1"/>
  <c r="U33" i="34"/>
  <c r="K28" i="36" s="1"/>
  <c r="T33" i="34"/>
  <c r="K26" i="36" s="1"/>
  <c r="D10" i="34"/>
  <c r="Q27" i="34"/>
  <c r="K29" i="36" l="1"/>
  <c r="K30" i="36" s="1"/>
  <c r="W33" i="34"/>
  <c r="D11" i="34"/>
  <c r="E11" i="34" s="1"/>
  <c r="E10" i="34"/>
  <c r="C55" i="34"/>
  <c r="C65" i="34"/>
  <c r="C75" i="34"/>
  <c r="C127" i="34" l="1"/>
  <c r="D55" i="34" s="1"/>
  <c r="N51" i="34" l="1"/>
  <c r="N54" i="34"/>
  <c r="N53" i="34"/>
  <c r="N50" i="34"/>
  <c r="N49" i="34"/>
  <c r="N59" i="34"/>
  <c r="N64" i="34"/>
  <c r="N60" i="34"/>
  <c r="N63" i="34"/>
  <c r="N61" i="34"/>
  <c r="G53" i="34"/>
  <c r="G52" i="34"/>
  <c r="G55" i="34"/>
  <c r="I49" i="34" s="1"/>
  <c r="G49" i="34"/>
  <c r="G50" i="34"/>
  <c r="G51" i="34"/>
  <c r="G54" i="34"/>
  <c r="D120" i="34"/>
  <c r="D109" i="34"/>
  <c r="D104" i="34"/>
  <c r="D101" i="34"/>
  <c r="D63" i="34"/>
  <c r="D123" i="34"/>
  <c r="D52" i="34"/>
  <c r="D114" i="34"/>
  <c r="D91" i="34"/>
  <c r="D94" i="34"/>
  <c r="D121" i="34"/>
  <c r="D111" i="34"/>
  <c r="D62" i="34"/>
  <c r="D69" i="34"/>
  <c r="D53" i="34"/>
  <c r="D112" i="34"/>
  <c r="D83" i="34"/>
  <c r="D110" i="34"/>
  <c r="D89" i="34"/>
  <c r="D95" i="34"/>
  <c r="D71" i="34"/>
  <c r="D74" i="34"/>
  <c r="D103" i="34"/>
  <c r="D72" i="34"/>
  <c r="D102" i="34"/>
  <c r="D64" i="34"/>
  <c r="D73" i="34"/>
  <c r="D49" i="34"/>
  <c r="D125" i="34"/>
  <c r="D113" i="34"/>
  <c r="D51" i="34"/>
  <c r="D61" i="34"/>
  <c r="D85" i="34"/>
  <c r="D80" i="34"/>
  <c r="D84" i="34"/>
  <c r="D54" i="34"/>
  <c r="D99" i="34"/>
  <c r="D79" i="34"/>
  <c r="D124" i="34"/>
  <c r="D59" i="34"/>
  <c r="D122" i="34"/>
  <c r="D105" i="34"/>
  <c r="D90" i="34"/>
  <c r="D70" i="34"/>
  <c r="D115" i="34"/>
  <c r="D92" i="34"/>
  <c r="D119" i="34"/>
  <c r="D50" i="34"/>
  <c r="D60" i="34"/>
  <c r="D93" i="34"/>
  <c r="D81" i="34"/>
  <c r="D100" i="34"/>
  <c r="D82" i="34"/>
  <c r="D65" i="34"/>
  <c r="D75" i="34"/>
  <c r="G65" i="34" l="1"/>
  <c r="G64" i="34"/>
  <c r="G62" i="34"/>
  <c r="G59" i="34"/>
  <c r="G61" i="34"/>
  <c r="G63" i="34"/>
  <c r="G60" i="34"/>
  <c r="K50" i="34"/>
  <c r="M50" i="34" s="1"/>
  <c r="J50" i="34"/>
  <c r="J55" i="34"/>
  <c r="K55" i="34" s="1"/>
  <c r="L55" i="34" s="1"/>
  <c r="N55" i="34" s="1"/>
  <c r="H55" i="34"/>
  <c r="G92" i="34"/>
  <c r="G91" i="34"/>
  <c r="G89" i="34"/>
  <c r="G94" i="34"/>
  <c r="G90" i="34"/>
  <c r="G95" i="34"/>
  <c r="H95" i="34" s="1"/>
  <c r="G93" i="34"/>
  <c r="H52" i="34"/>
  <c r="J52" i="34"/>
  <c r="K52" i="34" s="1"/>
  <c r="G80" i="34"/>
  <c r="G82" i="34"/>
  <c r="G83" i="34"/>
  <c r="G79" i="34"/>
  <c r="G85" i="34"/>
  <c r="H85" i="34" s="1"/>
  <c r="G84" i="34"/>
  <c r="G81" i="34"/>
  <c r="G113" i="34"/>
  <c r="G109" i="34"/>
  <c r="G114" i="34"/>
  <c r="G111" i="34"/>
  <c r="G115" i="34"/>
  <c r="H115" i="34" s="1"/>
  <c r="G110" i="34"/>
  <c r="G112" i="34"/>
  <c r="G120" i="34"/>
  <c r="G119" i="34"/>
  <c r="G124" i="34"/>
  <c r="G122" i="34"/>
  <c r="G123" i="34"/>
  <c r="G125" i="34"/>
  <c r="H125" i="34" s="1"/>
  <c r="G121" i="34"/>
  <c r="K54" i="34"/>
  <c r="M54" i="34" s="1"/>
  <c r="J54" i="34"/>
  <c r="G105" i="34"/>
  <c r="H105" i="34" s="1"/>
  <c r="G101" i="34"/>
  <c r="G104" i="34"/>
  <c r="G102" i="34"/>
  <c r="G103" i="34"/>
  <c r="G99" i="34"/>
  <c r="G100" i="34"/>
  <c r="J51" i="34"/>
  <c r="K51" i="34"/>
  <c r="M51" i="34" s="1"/>
  <c r="G75" i="34"/>
  <c r="H75" i="34" s="1"/>
  <c r="G71" i="34"/>
  <c r="G69" i="34"/>
  <c r="G74" i="34"/>
  <c r="G70" i="34"/>
  <c r="G73" i="34"/>
  <c r="G72" i="34"/>
  <c r="K49" i="34"/>
  <c r="M49" i="34" s="1"/>
  <c r="J49" i="34"/>
  <c r="J53" i="34"/>
  <c r="K53" i="34"/>
  <c r="M53" i="34" s="1"/>
  <c r="P49" i="34" l="1"/>
  <c r="P50" i="34"/>
  <c r="P54" i="34"/>
  <c r="L52" i="34"/>
  <c r="N52" i="34" s="1"/>
  <c r="P52" i="34" s="1"/>
  <c r="G127" i="34"/>
  <c r="K89" i="34"/>
  <c r="M89" i="34" s="1"/>
  <c r="J89" i="34"/>
  <c r="K70" i="34"/>
  <c r="M70" i="34" s="1"/>
  <c r="J70" i="34"/>
  <c r="J74" i="34"/>
  <c r="K74" i="34"/>
  <c r="M74" i="34" s="1"/>
  <c r="J123" i="34"/>
  <c r="K123" i="34"/>
  <c r="M123" i="34" s="1"/>
  <c r="M55" i="34"/>
  <c r="K80" i="34"/>
  <c r="M80" i="34" s="1"/>
  <c r="J80" i="34"/>
  <c r="K112" i="34"/>
  <c r="M112" i="34" s="1"/>
  <c r="J112" i="34"/>
  <c r="J63" i="34"/>
  <c r="K63" i="34"/>
  <c r="M63" i="34" s="1"/>
  <c r="J93" i="34"/>
  <c r="K93" i="34"/>
  <c r="M93" i="34" s="1"/>
  <c r="K72" i="34"/>
  <c r="M72" i="34" s="1"/>
  <c r="J72" i="34"/>
  <c r="K84" i="34"/>
  <c r="M84" i="34" s="1"/>
  <c r="J84" i="34"/>
  <c r="J121" i="34"/>
  <c r="K121" i="34"/>
  <c r="M121" i="34" s="1"/>
  <c r="K125" i="34"/>
  <c r="M125" i="34" s="1"/>
  <c r="J125" i="34"/>
  <c r="I119" i="34"/>
  <c r="L125" i="34" s="1"/>
  <c r="K122" i="34"/>
  <c r="M122" i="34" s="1"/>
  <c r="J122" i="34"/>
  <c r="J75" i="34"/>
  <c r="K75" i="34"/>
  <c r="M75" i="34" s="1"/>
  <c r="I69" i="34"/>
  <c r="L75" i="34" s="1"/>
  <c r="P55" i="34"/>
  <c r="K119" i="34"/>
  <c r="M119" i="34" s="1"/>
  <c r="J119" i="34"/>
  <c r="P51" i="34"/>
  <c r="J60" i="34"/>
  <c r="K60" i="34"/>
  <c r="M60" i="34" s="1"/>
  <c r="J59" i="34"/>
  <c r="K59" i="34"/>
  <c r="M59" i="34" s="1"/>
  <c r="P53" i="34"/>
  <c r="K114" i="34"/>
  <c r="M114" i="34" s="1"/>
  <c r="J114" i="34"/>
  <c r="H62" i="34"/>
  <c r="K73" i="34"/>
  <c r="M73" i="34" s="1"/>
  <c r="J73" i="34"/>
  <c r="K85" i="34"/>
  <c r="M85" i="34" s="1"/>
  <c r="J85" i="34"/>
  <c r="I79" i="34"/>
  <c r="L85" i="34" s="1"/>
  <c r="K79" i="34"/>
  <c r="M79" i="34" s="1"/>
  <c r="J79" i="34"/>
  <c r="J69" i="34"/>
  <c r="K69" i="34"/>
  <c r="M69" i="34" s="1"/>
  <c r="J82" i="34"/>
  <c r="K82" i="34"/>
  <c r="M82" i="34" s="1"/>
  <c r="J124" i="34"/>
  <c r="K124" i="34"/>
  <c r="M124" i="34" s="1"/>
  <c r="J90" i="34"/>
  <c r="K90" i="34"/>
  <c r="M90" i="34" s="1"/>
  <c r="K64" i="34"/>
  <c r="M64" i="34" s="1"/>
  <c r="J64" i="34"/>
  <c r="J81" i="34"/>
  <c r="K81" i="34"/>
  <c r="M81" i="34" s="1"/>
  <c r="J91" i="34"/>
  <c r="K91" i="34"/>
  <c r="M91" i="34" s="1"/>
  <c r="K92" i="34"/>
  <c r="M92" i="34" s="1"/>
  <c r="J92" i="34"/>
  <c r="J83" i="34"/>
  <c r="K83" i="34"/>
  <c r="M83" i="34" s="1"/>
  <c r="K71" i="34"/>
  <c r="M71" i="34" s="1"/>
  <c r="J71" i="34"/>
  <c r="K120" i="34"/>
  <c r="M120" i="34" s="1"/>
  <c r="J120" i="34"/>
  <c r="P120" i="34" s="1"/>
  <c r="J100" i="34"/>
  <c r="K100" i="34"/>
  <c r="M100" i="34" s="1"/>
  <c r="J99" i="34"/>
  <c r="K99" i="34"/>
  <c r="M99" i="34" s="1"/>
  <c r="K110" i="34"/>
  <c r="M110" i="34" s="1"/>
  <c r="J110" i="34"/>
  <c r="K103" i="34"/>
  <c r="M103" i="34" s="1"/>
  <c r="J103" i="34"/>
  <c r="K115" i="34"/>
  <c r="M115" i="34" s="1"/>
  <c r="J115" i="34"/>
  <c r="I109" i="34"/>
  <c r="L115" i="34" s="1"/>
  <c r="J61" i="34"/>
  <c r="K61" i="34"/>
  <c r="M61" i="34" s="1"/>
  <c r="J102" i="34"/>
  <c r="K102" i="34"/>
  <c r="M102" i="34" s="1"/>
  <c r="K111" i="34"/>
  <c r="M111" i="34" s="1"/>
  <c r="J111" i="34"/>
  <c r="K104" i="34"/>
  <c r="M104" i="34" s="1"/>
  <c r="J104" i="34"/>
  <c r="K95" i="34"/>
  <c r="M95" i="34" s="1"/>
  <c r="J95" i="34"/>
  <c r="I89" i="34"/>
  <c r="L95" i="34" s="1"/>
  <c r="J101" i="34"/>
  <c r="K101" i="34"/>
  <c r="M101" i="34" s="1"/>
  <c r="J109" i="34"/>
  <c r="K109" i="34"/>
  <c r="M109" i="34" s="1"/>
  <c r="K105" i="34"/>
  <c r="M105" i="34" s="1"/>
  <c r="J105" i="34"/>
  <c r="I99" i="34"/>
  <c r="L105" i="34" s="1"/>
  <c r="J113" i="34"/>
  <c r="K113" i="34"/>
  <c r="M113" i="34" s="1"/>
  <c r="K94" i="34"/>
  <c r="M94" i="34" s="1"/>
  <c r="J94" i="34"/>
  <c r="H65" i="34"/>
  <c r="I59" i="34"/>
  <c r="J62" i="34" s="1"/>
  <c r="K62" i="34" s="1"/>
  <c r="P114" i="34" l="1"/>
  <c r="P111" i="34"/>
  <c r="P125" i="34"/>
  <c r="P105" i="34"/>
  <c r="P73" i="34"/>
  <c r="P112" i="34"/>
  <c r="P70" i="34"/>
  <c r="P71" i="34"/>
  <c r="P92" i="34"/>
  <c r="P79" i="34"/>
  <c r="P119" i="34"/>
  <c r="P72" i="34"/>
  <c r="P95" i="34"/>
  <c r="M52" i="34"/>
  <c r="P80" i="34"/>
  <c r="P84" i="34"/>
  <c r="P89" i="34"/>
  <c r="P122" i="34"/>
  <c r="P115" i="34"/>
  <c r="P103" i="34"/>
  <c r="P94" i="34"/>
  <c r="J65" i="34"/>
  <c r="J127" i="34" s="1"/>
  <c r="P110" i="34"/>
  <c r="P85" i="34"/>
  <c r="P63" i="34"/>
  <c r="P75" i="34"/>
  <c r="P102" i="34"/>
  <c r="P59" i="34"/>
  <c r="P69" i="34"/>
  <c r="P91" i="34"/>
  <c r="P113" i="34"/>
  <c r="P124" i="34"/>
  <c r="P123" i="34"/>
  <c r="P60" i="34"/>
  <c r="P101" i="34"/>
  <c r="P74" i="34"/>
  <c r="L62" i="34"/>
  <c r="P100" i="34"/>
  <c r="P90" i="34"/>
  <c r="P61" i="34"/>
  <c r="P82" i="34"/>
  <c r="P83" i="34"/>
  <c r="P121" i="34"/>
  <c r="P109" i="34"/>
  <c r="P81" i="34"/>
  <c r="P104" i="34"/>
  <c r="P99" i="34"/>
  <c r="P64" i="34"/>
  <c r="P93" i="34"/>
  <c r="K65" i="34" l="1"/>
  <c r="L65" i="34" s="1"/>
  <c r="N65" i="34" s="1"/>
  <c r="M62" i="34"/>
  <c r="N62" i="34"/>
  <c r="P62" i="34" s="1"/>
  <c r="K127" i="34" l="1"/>
  <c r="M65" i="34"/>
  <c r="M127" i="34" s="1"/>
  <c r="L127" i="34"/>
  <c r="N127" i="34"/>
  <c r="P65"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Lesprit</author>
  </authors>
  <commentList>
    <comment ref="S8" authorId="0" shapeId="0" xr:uid="{F2D25CD9-70D5-CD4D-9726-CD84FA219317}">
      <text>
        <r>
          <rPr>
            <b/>
            <sz val="14"/>
            <color rgb="FF000000"/>
            <rFont val="Tahoma"/>
            <family val="2"/>
          </rPr>
          <t>Attention : Le total des ressources prévisionnelles doit être égal ou inférieur au coût total du projet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O16" authorId="0" shapeId="0" xr:uid="{7C9EDF3A-E285-40B0-A41F-747415F76D09}">
      <text>
        <r>
          <rPr>
            <b/>
            <sz val="16"/>
            <color rgb="FF000000"/>
            <rFont val="Tahoma"/>
            <family val="2"/>
          </rPr>
          <t>Vous pouvez rajouter des lignes plus bas si le nombre de partenaires dépasse les 10.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<sst xmlns="http://schemas.openxmlformats.org/spreadsheetml/2006/main" count="2086" uniqueCount="619">
  <si>
    <t>STRATEGIE REGIONALE GUADELOUPE FEADER 2023-2027</t>
  </si>
  <si>
    <t xml:space="preserve">NOM DE L'OPÉRATION </t>
  </si>
  <si>
    <t>Mesure 77.01 : Partenariat Européen d'Innovation</t>
  </si>
  <si>
    <t xml:space="preserve">Plan de financement prévisionnel </t>
  </si>
  <si>
    <t>version 7 - Février 2025</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</si>
  <si>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</si>
  <si>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Consignes d'utilisation</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</si>
  <si>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Partenaire qui porte la dépense ; Type d'action ; Investissement productif ou non; Taux d'affectation ; Montants présentés.</t>
    </r>
  </si>
  <si>
    <r>
      <t xml:space="preserve">Accueil
</t>
    </r>
    <r>
      <rPr>
        <sz val="12"/>
        <color rgb="FFFF0000"/>
        <rFont val="Calibri"/>
        <family val="2"/>
        <scheme val="minor"/>
      </rPr>
      <t>Saisir l'intitulé de l'opération en ligne n°9.
Compléter le tableau ci-dessous afin de présenter le chef de fil et les partenaires. Dans les onglets suivants, Veiller à identifier chaque partenaire avec le numéro auquel il se rapporte dans le tableau ci-dessous.
Dans le cas où il n'y a pas suffisamment de blocs aux vues du nombre de partenaires pour le projet, contacter le service instructeur.</t>
    </r>
    <r>
      <rPr>
        <b/>
        <sz val="12"/>
        <color rgb="FFFF0000"/>
        <rFont val="Calibri"/>
        <family val="2"/>
        <scheme val="minor"/>
      </rPr>
      <t xml:space="preserve">
</t>
    </r>
    <r>
      <rPr>
        <sz val="12"/>
        <color theme="1"/>
        <rFont val="Calibri"/>
        <family val="2"/>
        <scheme val="minor"/>
      </rPr>
      <t>Remplir les onglets suivants de gauche à droite (de l'onglet "A-Ressources prévisionnelles" à l'onglet "Syn dep beneficiaire").</t>
    </r>
  </si>
  <si>
    <t>Raison sociale / nom du chef de file et des partenaires</t>
  </si>
  <si>
    <t>Chef de file</t>
  </si>
  <si>
    <t>Partenaire 1</t>
  </si>
  <si>
    <t>Partenaire 2</t>
  </si>
  <si>
    <t>Partenaire 3</t>
  </si>
  <si>
    <t>Partenaire 4</t>
  </si>
  <si>
    <t>Partenaire 5</t>
  </si>
  <si>
    <t>Partenaire 6</t>
  </si>
  <si>
    <t>Partenaire 7</t>
  </si>
  <si>
    <t>Raison sociale / nom</t>
  </si>
  <si>
    <r>
      <t xml:space="preserve">Recettes prévisionnelles - onglet A :
</t>
    </r>
    <r>
      <rPr>
        <sz val="12"/>
        <color theme="1"/>
        <rFont val="Calibri"/>
        <family val="2"/>
        <scheme val="minor"/>
      </rPr>
      <t>Compléter cet onglet afin de présenter les recettes prévisionnelles générées par le projet.</t>
    </r>
  </si>
  <si>
    <r>
      <t xml:space="preserve">Présentation des postes de dépense et des types d'actions - onglet 0 :
</t>
    </r>
    <r>
      <rPr>
        <sz val="12"/>
        <color theme="1"/>
        <rFont val="Calibri"/>
        <family val="2"/>
        <scheme val="minor"/>
      </rPr>
      <t xml:space="preserve">L'onglet "0-Présentation poste-typeaction" vise à faciliter la compréhension du projet, et permet de regrouper différentes dépenses par poste de dépense et par type d'action. Cet onglet est à remplir en précisant, pour chaque poste de dépense qui sera par la suite saisi dans les onglets 1.1 à 1.7, le type d'action auquel il se rattache et ses modalités de prise en compte (soit au réel, soit par application d'une option de coûts simplifiés). Le poste de dépense correspond à l'intitulé des onglets 1.1 à 1.7. Le type d'action correspond aux actions éligibles à la notice. 
</t>
    </r>
    <r>
      <rPr>
        <sz val="12"/>
        <color rgb="FFFF0000"/>
        <rFont val="Calibri"/>
        <family val="2"/>
        <scheme val="minor"/>
      </rPr>
      <t xml:space="preserve">Si un type d'action est concerné par plusieurs postes de dépenses, saisir autant de lignes que de postes de dépenses pour ce type daction.
</t>
    </r>
    <r>
      <rPr>
        <u/>
        <sz val="12"/>
        <color rgb="FFFF0000"/>
        <rFont val="Calibri"/>
        <family val="2"/>
        <scheme val="minor"/>
      </rPr>
      <t>Exemple</t>
    </r>
    <r>
      <rPr>
        <sz val="12"/>
        <color rgb="FFFF0000"/>
        <rFont val="Calibri"/>
        <family val="2"/>
        <scheme val="minor"/>
      </rPr>
      <t xml:space="preserve">:
Type d'action / Modalités de prise en compte / Poste de dépense (Onglets 1.1 à 1.7)
1) Projets groupes opérationnels / Au réel / 1.1 Frais personnel
2) Projets groupes opérationnels  / Au réel / 1.2 Achat &amp; prestation
</t>
    </r>
    <r>
      <rPr>
        <sz val="12"/>
        <color theme="1"/>
        <rFont val="Calibri"/>
        <family val="2"/>
        <scheme val="minor"/>
      </rPr>
      <t xml:space="preserve">
Les lignes grises vous montrent :
- Les différents types d'actions éligibles ;
- Les différentes modalités possibles de présenter chaque poste de dépense (réel/OCS) ;
- Les différents postes de dépenses éligibles (cf. menu déroulant).
</t>
    </r>
    <r>
      <rPr>
        <b/>
        <sz val="12"/>
        <color theme="1"/>
        <rFont val="Calibri"/>
        <family val="2"/>
        <scheme val="minor"/>
      </rPr>
      <t xml:space="preserve">Elles ne doivent pas être saisies, elles servent d'exemple.
</t>
    </r>
    <r>
      <rPr>
        <sz val="12"/>
        <color theme="1"/>
        <rFont val="Calibri"/>
        <family val="2"/>
        <scheme val="minor"/>
      </rPr>
      <t xml:space="preserve">
Les lignes blanches </t>
    </r>
    <r>
      <rPr>
        <b/>
        <sz val="12"/>
        <color theme="1"/>
        <rFont val="Calibri"/>
        <family val="2"/>
        <scheme val="minor"/>
      </rPr>
      <t>doivent être saisies</t>
    </r>
    <r>
      <rPr>
        <sz val="12"/>
        <color theme="1"/>
        <rFont val="Calibri"/>
        <family val="2"/>
        <scheme val="minor"/>
      </rPr>
      <t xml:space="preserve"> et montrent en synthèse à l'administration quels sont :
- Les types d'actions présentés ;
- La modalité utilisée pour présenter chaque poste de dépense (réel/OCS) ;
- Les différents postes de dépenses présentés.</t>
    </r>
    <r>
      <rPr>
        <b/>
        <sz val="12"/>
        <color theme="1"/>
        <rFont val="Calibri"/>
        <family val="2"/>
        <scheme val="minor"/>
      </rPr>
      <t xml:space="preserve">
</t>
    </r>
    <r>
      <rPr>
        <sz val="12"/>
        <color rgb="FFFF0000"/>
        <rFont val="Calibri"/>
        <family val="2"/>
        <scheme val="minor"/>
      </rPr>
      <t>Se référer à la notice pour identifier les modalités (réel/OCS) possibles par postes de dépenses.</t>
    </r>
  </si>
  <si>
    <r>
      <rPr>
        <b/>
        <sz val="12"/>
        <color theme="1"/>
        <rFont val="Calibri"/>
        <family val="2"/>
        <scheme val="minor"/>
      </rPr>
      <t>Dépenses prévisionnelles - onglets 1.1 à 1.7 :</t>
    </r>
    <r>
      <rPr>
        <sz val="12"/>
        <color theme="1"/>
        <rFont val="Calibri"/>
        <family val="2"/>
        <scheme val="minor"/>
      </rPr>
      <t xml:space="preserve">
</t>
    </r>
    <r>
      <rPr>
        <sz val="12"/>
        <color rgb="FFFF0000"/>
        <rFont val="Calibri"/>
        <family val="2"/>
        <scheme val="minor"/>
      </rPr>
      <t xml:space="preserve">Ces onglets sont à compléter uniquement si vous êtes concernés par le poste de dépense en question.
Le chef de file ainsi que l'ensemble des partenaires doivent compléter le même tableau les uns à la suite des autres en identitifant dans la colonne "Raison sociale / nom du partenaire" le chef de file ou le partenaire présentant la ligne de dépense.
</t>
    </r>
    <r>
      <rPr>
        <sz val="12"/>
        <color theme="1"/>
        <rFont val="Calibri"/>
        <family val="2"/>
        <scheme val="minor"/>
      </rPr>
      <t xml:space="preserve">
Pour chaque poste de dépense prévisionnel (onglets 1.1 à 1.7), se positionner sur l'onglet correspondant et renseigner une ligne complète par dépense dans le tableau :
- chaque ligne correspond à </t>
    </r>
    <r>
      <rPr>
        <u/>
        <sz val="12"/>
        <color theme="1"/>
        <rFont val="Calibri"/>
        <family val="2"/>
        <scheme val="minor"/>
      </rPr>
      <t>une</t>
    </r>
    <r>
      <rPr>
        <sz val="12"/>
        <color theme="1"/>
        <rFont val="Calibri"/>
        <family val="2"/>
        <scheme val="minor"/>
      </rPr>
      <t xml:space="preserv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t>
    </r>
    <r>
      <rPr>
        <b/>
        <sz val="12"/>
        <color rgb="FFFF0000"/>
        <rFont val="Calibri"/>
        <family val="2"/>
        <scheme val="minor"/>
      </rPr>
      <t xml:space="preserve">
</t>
    </r>
    <r>
      <rPr>
        <sz val="12"/>
        <rFont val="Calibri"/>
        <family val="2"/>
        <scheme val="minor"/>
      </rPr>
      <t>- sur chaque onglet, une ligne grisée vous servira d'exemple. Elle est pré-renseignée afin de vous guider dans la saisie des lignes de dépenses.</t>
    </r>
  </si>
  <si>
    <r>
      <rPr>
        <b/>
        <sz val="12"/>
        <color theme="1"/>
        <rFont val="Calibri"/>
        <family val="2"/>
        <scheme val="minor"/>
      </rPr>
      <t>Synthèse des dépenses du bénéficiaire - onglet "Syn pf bénéficiaire"</t>
    </r>
    <r>
      <rPr>
        <sz val="12"/>
        <color theme="1"/>
        <rFont val="Calibri"/>
        <family val="2"/>
        <scheme val="minor"/>
      </rPr>
      <t xml:space="preserve">
Une fois toutes les dépenses prévisionnelles renseignées, se rendre dans l'onglet de synthèse.
l'onglet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</si>
  <si>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r>
      <rPr>
        <b/>
        <sz val="12"/>
        <color theme="1"/>
        <rFont val="Calibri"/>
        <family val="2"/>
        <scheme val="minor"/>
      </rPr>
      <t>Synthèse des dépenses instruites - onglet "Syn pf instructeur"</t>
    </r>
    <r>
      <rPr>
        <sz val="12"/>
        <color theme="1"/>
        <rFont val="Calibri"/>
        <family val="2"/>
        <scheme val="minor"/>
      </rPr>
      <t xml:space="preserve">
Cet onglet est entièrement réservé à l'administration.</t>
    </r>
  </si>
  <si>
    <t>Rappels généraux et points de vigilance</t>
  </si>
  <si>
    <t xml:space="preserve">. Pour chaque dépense, les justificatifs appropriés seront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le devis le mieux disant sera privilégié. Si le devis retenu par le bénéficiaire n'est pas le devis le moins cher, une note justificative du choix d'un devis plus cher devra être produite et sera soumise à arbitrage du service instructeur. Le service instructeur considérera l'effectivité des arguments avancés et plafonnera, le cas échéant, la dépense au coût raisonnable calculé. En cas d'absence de la note évoquée, la dépense sera plafonnée au coût du devis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
</t>
  </si>
  <si>
    <t>Rappels réglementaires</t>
  </si>
  <si>
    <t>Les forfaits, barèmes et coûts unitaires qu'il vous sera demandé de sélectionner sont ceux applicables (réglementairement en vigueur) à la date de réalisation de la dépense, ou à celle de dépôt du dossier si ignorée. Ces montants seront revus au regard des éléments portés à connaissance du service instructeur lors du dépôt d'une demande de paiement.</t>
  </si>
  <si>
    <t>Recettes nettes générées par l'opération par partenaires</t>
  </si>
  <si>
    <t>Numéro de la recette</t>
  </si>
  <si>
    <t>Nature de la recette générée par l'opération</t>
  </si>
  <si>
    <t>Identifiant du justificatif</t>
  </si>
  <si>
    <t>Montant présenté HT</t>
  </si>
  <si>
    <t>Montant présenté TTC</t>
  </si>
  <si>
    <t>Commentaires</t>
  </si>
  <si>
    <t>(Ex : droits d'entrée de l'objet, du type de dépense…)</t>
  </si>
  <si>
    <t>(justificatif détaillant la recette attendue.
Ex : tableau prévisionnel, bilan de l'année n-,...)</t>
  </si>
  <si>
    <t>(montant de la recette prévisionnelle générée par l'opération si le porteur récupère la TVA)</t>
  </si>
  <si>
    <t>(montant de la recette prévisionnelle générée par l'opération si le porteur ne récupère pas la TVA)</t>
  </si>
  <si>
    <t>(le cas échéant, pour préciser un point saillant au Service Instructeur)</t>
  </si>
  <si>
    <t>Total présenté Chef de file</t>
  </si>
  <si>
    <t>Total présenté Partenaire 1</t>
  </si>
  <si>
    <t>Total présenté Partenaire 2</t>
  </si>
  <si>
    <t>Total présenté Partenaire 3</t>
  </si>
  <si>
    <t>Total présenté Partenaire 4</t>
  </si>
  <si>
    <t>Total présenté Partenaire 5</t>
  </si>
  <si>
    <t>Total présenté Partenaire 6</t>
  </si>
  <si>
    <t>Total présenté Partenaire 7</t>
  </si>
  <si>
    <t>TOTAL RECETTES NETTES GENEREES A L'ECHELLE DE L'OPERATION</t>
  </si>
  <si>
    <t>Partie réservée à l'administration - Instruction des recettes nettes générées par l'opération par partenaire</t>
  </si>
  <si>
    <t>Montant retenu HT</t>
  </si>
  <si>
    <t>Montant retenu TTC</t>
  </si>
  <si>
    <t>Contrôle bloquant, vérification et traçage sur les montants</t>
  </si>
  <si>
    <t>Montant écarté</t>
  </si>
  <si>
    <t>(saisie automatique à corriger selon les modalités d'instruction)</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</si>
  <si>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</si>
  <si>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(vérification automatique de cohérence entre les montants présentés et ceux retenus.
En cas d'anomalie, corriger le montant incohérent ou justifier le choix d'instruction.)</t>
  </si>
  <si>
    <t>(saisie automatique)</t>
  </si>
  <si>
    <t>Total retenu Chef de file</t>
  </si>
  <si>
    <t>Total écarté Chef de file</t>
  </si>
  <si>
    <t>Total retenu Partenaire 1</t>
  </si>
  <si>
    <t>Total écarté Partenaire 1</t>
  </si>
  <si>
    <t>Total retenu Partenaire 2</t>
  </si>
  <si>
    <t>Total écarté Partenaire 2</t>
  </si>
  <si>
    <t>Total retenu Partenaire 3</t>
  </si>
  <si>
    <t>Total écarté Partenaire 3</t>
  </si>
  <si>
    <t>Total retenu Partenaire 4</t>
  </si>
  <si>
    <t>Total écarté Partenaire 4</t>
  </si>
  <si>
    <t>Total retenu Partenaire 5</t>
  </si>
  <si>
    <t>Total écarté Partenaire 5</t>
  </si>
  <si>
    <t>Total retenu Partenaire 6</t>
  </si>
  <si>
    <t>Total écarté Partenaire 6</t>
  </si>
  <si>
    <t>Total retenu Partenaire 7</t>
  </si>
  <si>
    <t>Total écarté Partenaire 7</t>
  </si>
  <si>
    <t>TOTAL RECETTES NETTES INSTRUITES</t>
  </si>
  <si>
    <t>MONTANT ECARTE</t>
  </si>
  <si>
    <t>Présentation des types d'actions et des postes de dépenses pour le dispositif 77.01</t>
  </si>
  <si>
    <t>Type d'action</t>
  </si>
  <si>
    <t>Modalités de prise en compte
(saisie automatique)</t>
  </si>
  <si>
    <t>Poste de dépenses (Onglets 1.1 à 1.6)</t>
  </si>
  <si>
    <t>Liste des types d'actions éligibles pour le dispositif 77.01</t>
  </si>
  <si>
    <r>
      <t xml:space="preserve">L’émergence de groupes opérationnels, afin de donner l’opportunité à des porteurs de développer ou affiner leurs idées, leurs partenariats, leurs projets
</t>
    </r>
    <r>
      <rPr>
        <b/>
        <sz val="11"/>
        <color rgb="FF0070C0"/>
        <rFont val="Calibri"/>
        <family val="2"/>
        <scheme val="minor"/>
      </rPr>
      <t>(Création groupes opérationnels)</t>
    </r>
  </si>
  <si>
    <r>
      <t xml:space="preserve">La mise en œuvre de projets innovants et collaboratifs
</t>
    </r>
    <r>
      <rPr>
        <b/>
        <sz val="11"/>
        <color rgb="FF0070C0"/>
        <rFont val="Calibri"/>
        <family val="2"/>
        <scheme val="minor"/>
      </rPr>
      <t>(Projets groupes opérationnels)</t>
    </r>
  </si>
  <si>
    <r>
      <t xml:space="preserve">La diffusion des résultats des projets innovants et collaboratifs
</t>
    </r>
    <r>
      <rPr>
        <b/>
        <sz val="11"/>
        <color rgb="FF0070C0"/>
        <rFont val="Calibri"/>
        <family val="2"/>
        <scheme val="minor"/>
      </rPr>
      <t>(Diffusion résultats)</t>
    </r>
  </si>
  <si>
    <t>Exemple</t>
  </si>
  <si>
    <t>Création groupes opérationnels</t>
  </si>
  <si>
    <t>1- Frais personnel</t>
  </si>
  <si>
    <t>3 - Déplacement &amp; hébergement</t>
  </si>
  <si>
    <t>Projets groupes opérationnels</t>
  </si>
  <si>
    <t>2 - Achat &amp; prestation</t>
  </si>
  <si>
    <t>7 - OCS</t>
  </si>
  <si>
    <t>Diffusion résultats</t>
  </si>
  <si>
    <t>Saisir vos choix dans les cases blanches à l'aide des menus déroulants.
Dans la colonne C, reprendre les intitulés des partenaires tels que rempli dans l'onglet A-Ressources prévisionnelles en suivant l'exemple.
Pour chaque type d'action sélectionné en colonne D, rappeler en colonne E la description détaillée correspondante.
La colonne F se complète automatiquement en fonction du poste de dépense sélectionné par rapport aux modalités de prise en compte possibles.
Saisir l'ensemble des choix pour le chef de file ainsi que pour chaque partenaire les uns à la suite des autres en suivant l'exemple.</t>
  </si>
  <si>
    <t>1.1 Frais de personnel de l'ensemble des partenaires</t>
  </si>
  <si>
    <r>
      <rPr>
        <b/>
        <u/>
        <sz val="11"/>
        <color rgb="FFC00000"/>
        <rFont val="Calibri (Corps)"/>
      </rPr>
      <t xml:space="preserve">Important : </t>
    </r>
    <r>
      <rPr>
        <b/>
        <sz val="11"/>
        <color rgb="FFC00000"/>
        <rFont val="Calibri"/>
        <family val="2"/>
        <scheme val="minor"/>
      </rPr>
      <t>Seuls les frais de personnel des partenaires sont éligibles.
Merci de saisir une ligne par personne
Les frais de personnel des agents titulaires de la fonction publique d'Etat ne sont pas éligibles. Pour ce type d'organisation, seul le personnel contractuel est éligible.  
Les frais de personnel dont la quotité d’affectation à l’opération est inférieure à 15% ne sont pas éligibles. La période de référence du taux d'affectation doit être de 1 an. Par exemple, un agent peut être à 50% sur l'opération la première année puis à 60% la deuxième année (dans ce cas saisir 2 lignes de dépense). Les affectations de moins d'un an, même si le taux est supérieur à 15%, ne sont pas éligibles. Le taux d'affectation peut-être inférieur à 15% par type d'action sous réserve que le taux d'affectation global à l'opération soit supérieur ou égal à 15%.
Les frais de personnel dont l'affectation à l'opération est justifiée par des feuilles de temps ne sont pas acceptés. La justification doit être réalisée via lettre de mission, contrat, fiche de poste formalisant l'affectation. 
Les frais de personnels dédiés à l'opération sont plafonnés selon le type de fonction occupée (cf. cellule F7).</t>
    </r>
  </si>
  <si>
    <t>Partie à remplir par le bénéficiaire - Présentation des dépenses de frais de personnel</t>
  </si>
  <si>
    <t>Partie réservée à l'administration - Instruction des dépenses de frais de personnel</t>
  </si>
  <si>
    <t>Numéro de la dépense</t>
  </si>
  <si>
    <t>Partenaire qui porte la dépense</t>
  </si>
  <si>
    <t>NOM / Prénom de l'agent</t>
  </si>
  <si>
    <t>Fonction de l'agent</t>
  </si>
  <si>
    <t xml:space="preserve">L'agent est-il directeur chercheur, ingénieur ou technicien ? </t>
  </si>
  <si>
    <t>Description de la mission</t>
  </si>
  <si>
    <t>Contrat de travail ou équivalent</t>
  </si>
  <si>
    <t>Justificatif des frais salariaux présenté</t>
  </si>
  <si>
    <t>Frais salariaux moyens par an en euros</t>
  </si>
  <si>
    <t xml:space="preserve">Année concernée </t>
  </si>
  <si>
    <t>Taux d'affectation au projet sur la durée présentée</t>
  </si>
  <si>
    <t>Justificatif du taux d'affectation présenté</t>
  </si>
  <si>
    <t>Montant des frais salariaux liés à l'opération présenté</t>
  </si>
  <si>
    <t>Type de fonction de l'agent</t>
  </si>
  <si>
    <t>Frais salariaux en euros sur la période de référence</t>
  </si>
  <si>
    <t>Nombre de mois sur la période de réalisation du projet</t>
  </si>
  <si>
    <t>Montant des frais salariaux liés à l'opération éligible</t>
  </si>
  <si>
    <t>Justificatif(s) approprié(s) joint(s) ?</t>
  </si>
  <si>
    <t>Montant éligible</t>
  </si>
  <si>
    <t>Commentaires du Service Instructeur</t>
  </si>
  <si>
    <t>(reprendre les numérotations des partenaires tels que renseignées dans l'onglet Accueil)</t>
  </si>
  <si>
    <t>(reprendre les types d'actions choisis tel que rempli dans l'onglet 0-Presentation poste-typeaction)</t>
  </si>
  <si>
    <t xml:space="preserve">(directeur, chargé de mission, assistant, animateur,…)
</t>
  </si>
  <si>
    <t>Attention : Montant des plafonds par type de fonction de l'argent : 
- Directeur chercheur : 92 000 €/ an (montant brut + charges patronnales)
- Ingénieur : 61 000 € / an (montant brut + charges patronnales)
- Technicien : 49 000 € /an (montant brut + charges patronnales)</t>
  </si>
  <si>
    <t>nature du travail ou de la mission à réaliser sur l'opération.
Ex : animation, gestion, études…</t>
  </si>
  <si>
    <t xml:space="preserve">(préciser la présence ou non du contrat de travail lié au personnel présenté)
Voir la note de bifage pour l'anonymisation des données personnelles </t>
  </si>
  <si>
    <t xml:space="preserve">(fiche de paie, journal de paie, déclaration sociale nominative (DSN), ou document probant équivalent)
Voir la note de bifage pour l'anonymisation des données personnelles </t>
  </si>
  <si>
    <t>salaire brut annuel moyen sur la période de réalisation du projet</t>
  </si>
  <si>
    <t>charges patronales annuelles moyennes sur la période de réalisation du projet</t>
  </si>
  <si>
    <t xml:space="preserve">total mensuel moyen </t>
  </si>
  <si>
    <t>Nombre d'années pour la réalisation du projet</t>
  </si>
  <si>
    <t>% d'affectation du personnel au projet éligible au FEADER</t>
  </si>
  <si>
    <t xml:space="preserve">(fiche de poste, lettre de mission, contrat de travail. Les feuilles de temps ne sont pas acceptées)
</t>
  </si>
  <si>
    <r>
      <t xml:space="preserve">total des frais salariaux  x taux d'affectation au projet
</t>
    </r>
    <r>
      <rPr>
        <i/>
        <sz val="10"/>
        <rFont val="Calibri"/>
        <family val="2"/>
        <scheme val="minor"/>
      </rPr>
      <t>(saisie automatique)</t>
    </r>
  </si>
  <si>
    <t>(le cas échéant, pour préciser un point saillant au Service Instructeur, notamment la période de référence des frais salariaux présentés)</t>
  </si>
  <si>
    <t>salaire brut
(saisie automatique à corriger selon les modalités d'instruction)</t>
  </si>
  <si>
    <t>charges patronales
(saisie automatique à corriger selon les modalités d'instruction)</t>
  </si>
  <si>
    <r>
      <t xml:space="preserve">total
(saisie automatique à corriger selon les modalités d'instruction)
</t>
    </r>
    <r>
      <rPr>
        <i/>
        <sz val="10"/>
        <color rgb="FFFF0000"/>
        <rFont val="Calibri"/>
        <family val="2"/>
        <scheme val="minor"/>
      </rPr>
      <t>Montant des plafonds par type de fonction de l'argent : 
Directeur chercheur : 92 000 €/ an (montant brut + charges patronnales)
Ingénieur : 61 000 € / an (montant brut + charges patronnales)
Technicien : 49 000 € /an (montant brut + charges patronnales)</t>
    </r>
  </si>
  <si>
    <t>Nombre de mois pour la réalisation du projet 
(report automatique de la demande. Corriger les informations des cellules selon les modalités d'instruction)</t>
  </si>
  <si>
    <t>Oui / Non / Sans objet</t>
  </si>
  <si>
    <t>DURAND Céline</t>
  </si>
  <si>
    <t>Chargée de mission</t>
  </si>
  <si>
    <t>Non</t>
  </si>
  <si>
    <t>Gestion</t>
  </si>
  <si>
    <t>Oui</t>
  </si>
  <si>
    <t>Fiche de paie</t>
  </si>
  <si>
    <t>Lettre de mission</t>
  </si>
  <si>
    <t>Agent recruté pour la mission</t>
  </si>
  <si>
    <t>fiche de paie</t>
  </si>
  <si>
    <t>Total présenté</t>
  </si>
  <si>
    <t>Total retenu</t>
  </si>
  <si>
    <t>Total écarté</t>
  </si>
  <si>
    <t>Certifié exact et sincère, le (date) :</t>
  </si>
  <si>
    <t>Nom, prénom et qualité du représentant du chef de file :</t>
  </si>
  <si>
    <t>Cachet et signature :</t>
  </si>
  <si>
    <t>1.2 Investissements matériels et immatériels</t>
  </si>
  <si>
    <r>
      <t xml:space="preserve">* Liste des investissements productifs concernée par cette catégorie de dépense : 
</t>
    </r>
    <r>
      <rPr>
        <sz val="14"/>
        <rFont val="Calibri"/>
        <family val="2"/>
        <scheme val="minor"/>
      </rPr>
      <t>- De construction, d’acquisition et de modernisation des bâtiments y compris le  renforcement de leur performance énergétique, les projets améliorant l’autonomie alimentaire des élevages, les projets liés au bien-être animal (par exemple pour renforcer les progrès en matière d’accès à l’extérieur en filières volailles et porcs ou au pâturage des ruminants, les conditions de ventilation des bâtiments, le gain d’espace en stabulations ou leur élimination, tout élément favorisant l’expression de comportements naturels des animaux comme l’enrichissement du milieu d'élevage avec des matériaux manipulables en filière porcine ou l'accès à des perchoirs en filière volailles.…) et à la biosécurité, à la gestion des effluents, les projets de modernisation de serres, les aires de lavage… ;
- De diversification des productions ;
- D’équipements en matériels individuels ou collectifs, de développement des pratiques  agroécologiques, de biosécurité, des bonnes pratiques de bien-être animal dans différentes filières, de protection contre les risques, d’amélioration de la qualité des produits, notamment sanitaire, de protection contre les aléas climatiques et sanitaires, de réduction des intrants phytopharmaceutiques… ;
- De numérisation de l’agriculture ;
- D’amélioration de l’ergonomie et de la qualité au travail ;
- D'irrigation (investissements de production à la parcelle, type pilotage, goutte à goutte, aspersion ; retenues individuelles, forages, pompes, réseaux de transport et distribution...) ;
- De plantations pérennes (cannes, bananes, prairies, vignes, vergers…) ;
- D’investissements d’économie d’énergie et/ou de production d’énergie, tel que la méthanisation ou le photovoltaïque ou l’éolien ;
- D’aménagements ou équipements pour le développement de l’activité pastorale, liés à la haie et l’agroforesterie lorsqu’ils sont à finalité productive et/ou intégrés dans une approche globale ;
- De transformation des produits agricoles et stockage conditionnement/commercialisation des produits agricoles et transformés ;
- De diversification des activités de l’exploitation tels que l’agritourisme, l’accueil à la ferme, etc. ;
- De valorisation des matières résiduaires organiques ;
- D’investissements immatériels, y compris non directement liés à des investissements matériels (plan et étude, ingénierie/conseil, diagnostic parcellaire et de territoire, animation associée à l’émergence et la création de projets, frais de personnel, logiciels, prestation de mise en service, frais généraux…).</t>
    </r>
  </si>
  <si>
    <t xml:space="preserve">
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
Pour les équipements, instruments et matériels pour lesquels la durée d'amortissement est supérieure à la durée de l'opération, la dépense correspondante est à présenter dans l'onglet 2.2 Amortissement.
Les dépenses suivantes ne sont pas éligibles :
- coûts salariaux ;
- dépenses liées aux consommables et fournitures ;
- locations longues durées de véhicules.
Une pièce estimative comparative est nécessaire à partir d'un coût de 3 000 €HT et 2 pièces comparatives à partir de 90 000 €HT.
Les frais de location sont pris en compte dans la limite du coût d’amortissement des investissements neufs.
Sont éligibles : 
- Les achats de matériels directement liés à l’opération ; 
- Les prestations externes/investissements immatériels directement liés à l'opération ; 
Les frais de location dans la limite du coût d’amortissement des investissements neufs ; </t>
  </si>
  <si>
    <t>Partie à remplir par le bénéficiaire - Présentation des dépenses d'investissements matériels et immatériels</t>
  </si>
  <si>
    <t>Partie réservée à l'administration - Instruction des dépenses d'investissements matériels et immatériels</t>
  </si>
  <si>
    <t xml:space="preserve">Description de la dépense </t>
  </si>
  <si>
    <t>S'agit-il d'un investissement productif ? (Oui/Non)</t>
  </si>
  <si>
    <t xml:space="preserve">S'agit-il d'une dépense liée à une prestation externe ? </t>
  </si>
  <si>
    <t>Auto-construction</t>
  </si>
  <si>
    <t>Présence d'un marché public</t>
  </si>
  <si>
    <t>Seuil du marché public</t>
  </si>
  <si>
    <t>Le marché est-il lancé en date du dépôt de la demande d'aide ?</t>
  </si>
  <si>
    <t>Nombre de pièces estimative des dépenses jointes</t>
  </si>
  <si>
    <t>Taux d'affectation à l'opération
(%)</t>
  </si>
  <si>
    <t>Quantité / Poids / Surface / Autre</t>
  </si>
  <si>
    <t>Unité dans laquelle s'exprime Quantité / Poids / Surface / Autre</t>
  </si>
  <si>
    <t>Référence du justificatif du devis 1</t>
  </si>
  <si>
    <t xml:space="preserve">Dénomination du fournisseur du devis 1 </t>
  </si>
  <si>
    <t>Montant HT du Devis 1</t>
  </si>
  <si>
    <t>Montant TVA du Devis 1</t>
  </si>
  <si>
    <t>Montant TTC du Devis 1</t>
  </si>
  <si>
    <t>Référence du justificatif du devis 2</t>
  </si>
  <si>
    <t>Dénomination du fournisseur du devis 2</t>
  </si>
  <si>
    <t>Montant HT du devis contradictoire
Devis 2</t>
  </si>
  <si>
    <t>Montant TVA du devis contradictoire
Devis 2</t>
  </si>
  <si>
    <t>Montant TTC du devis ccontradictoire
Devis 2</t>
  </si>
  <si>
    <t>Référence du justificatif du devis 3</t>
  </si>
  <si>
    <t>Dénomination du fournisseur du devis 3</t>
  </si>
  <si>
    <t>Montant HT
du devis contradictoire
Devis 3</t>
  </si>
  <si>
    <t>Montant TVA
du devis contradictoire
Devis 3</t>
  </si>
  <si>
    <t>Montant TTC
du devis contradictoire
Devis 3</t>
  </si>
  <si>
    <t>Devis sélectionné</t>
  </si>
  <si>
    <t>Montant présenté TVA</t>
  </si>
  <si>
    <t>Description de la dépense</t>
  </si>
  <si>
    <t>Dénomination du fournisseur du devis 1</t>
  </si>
  <si>
    <t>Montant HT du devis  2</t>
  </si>
  <si>
    <t>Montant TVA du devis  2</t>
  </si>
  <si>
    <t>Montant TTC du devis contradictoire
Devis 2</t>
  </si>
  <si>
    <t>Montant HT
du Devis 3</t>
  </si>
  <si>
    <t>Montant TVA
du Devis 3</t>
  </si>
  <si>
    <t>Montant TTC
du Devis 3</t>
  </si>
  <si>
    <t>Devis retenu</t>
  </si>
  <si>
    <t xml:space="preserve">Montant raisonnable maximal HT </t>
  </si>
  <si>
    <t xml:space="preserve">Montant raisonnable maximal TVA </t>
  </si>
  <si>
    <t xml:space="preserve">Montant raisonnable maximal TTC </t>
  </si>
  <si>
    <t>Montant éligible HT</t>
  </si>
  <si>
    <t xml:space="preserve">Montant éligible TVA </t>
  </si>
  <si>
    <t>Montant éligible TTC</t>
  </si>
  <si>
    <t>Contrôle bloquant coût raisonnable</t>
  </si>
  <si>
    <t>Montant HT écarté</t>
  </si>
  <si>
    <t>Montant TVA écarté</t>
  </si>
  <si>
    <t>Montant écarté TTC</t>
  </si>
  <si>
    <t>type de dépense (acquisition de matériel...)</t>
  </si>
  <si>
    <r>
      <rPr>
        <b/>
        <i/>
        <sz val="10"/>
        <color rgb="FFC00000"/>
        <rFont val="Calibri"/>
        <family val="2"/>
        <scheme val="minor"/>
      </rPr>
      <t>Réponse obligatoire pour les calculs</t>
    </r>
    <r>
      <rPr>
        <i/>
        <sz val="10"/>
        <rFont val="Calibri"/>
        <family val="2"/>
        <scheme val="minor"/>
      </rPr>
      <t xml:space="preserve">
(on entend par investissements productifs le soutien à la production primaire agricole ainsi qu’aux projets portés par les agriculteurs ou leurs groupements et les investissements qui conduisent à une augmentation significative de la valeur ou de la rentabilité de 
l'exploitation agricole ou forestière.
La liste des investissements concernés se trouvent à la page 10 du PSR Guadeloupe ainsi que dans l'encart jaune ci-dessous*)</t>
    </r>
  </si>
  <si>
    <r>
      <t xml:space="preserve">(choisir "Oui" s'il s'agit d'une dépense liée à une prestation externe ;
choisir "Non" s'il ne s'agit pas d'une dépense liée à une prestation externe ; 
</t>
    </r>
    <r>
      <rPr>
        <i/>
        <sz val="11"/>
        <color rgb="FFFF0000"/>
        <rFont val="Calibri"/>
        <family val="2"/>
        <scheme val="minor"/>
      </rPr>
      <t xml:space="preserve">Le taux forfaitaire de 25 % ne peut pas prendre en compte les dépenses liées à des prestations externes. </t>
    </r>
  </si>
  <si>
    <t>(s'agit-il d'une dépense/d'un devis retenu pour l'auto-construction?
Réponse à sélectionner dans le menu déroulant)</t>
  </si>
  <si>
    <r>
      <t xml:space="preserve">(absence ou type de marché public à sélectionner dans le menu déroulant)
</t>
    </r>
    <r>
      <rPr>
        <b/>
        <i/>
        <sz val="11"/>
        <color rgb="FFFF0000"/>
        <rFont val="Calibri"/>
        <family val="2"/>
        <scheme val="minor"/>
      </rPr>
      <t>Si oui, renseigner l'onglet "Liste MP"</t>
    </r>
  </si>
  <si>
    <t>Pour les marchés publics de travaux ou de fournitures et de services, la valeur est-elle supérieure aux seuils rappelés en encart ci-dessus ?</t>
  </si>
  <si>
    <t>(saisir Oui ; Non ou Non concerné dans le menu déroulant)
Si oui, allez remplir l'annexe MP</t>
  </si>
  <si>
    <t>(se référer au nombre de pièces exigées en fonction du montant de la dépense prévisionnelle)</t>
  </si>
  <si>
    <t>(si la dépense est affectée partiellement à l'opération, préciser le taux de proratisation retenu ex: 50% ; si la dépense est intégralement liée à l'opération préciser 100%)</t>
  </si>
  <si>
    <t>nombre prévu correspondant à la dépense</t>
  </si>
  <si>
    <t>unité dans laquelle s'exprime la quantité, le poids, la surface etc. correspondant(e) à la dépense</t>
  </si>
  <si>
    <r>
      <t xml:space="preserve">(information présente sur le justificatif </t>
    </r>
    <r>
      <rPr>
        <i/>
        <u/>
        <sz val="10"/>
        <rFont val="Calibri"/>
        <family val="2"/>
        <scheme val="minor"/>
      </rPr>
      <t>retenu</t>
    </r>
    <r>
      <rPr>
        <i/>
        <sz val="10"/>
        <rFont val="Calibri"/>
        <family val="2"/>
        <scheme val="minor"/>
      </rPr>
      <t>.
Ex: numéro de devis, date de la capture d'écran, numéro de lot si marché public...)</t>
    </r>
  </si>
  <si>
    <r>
      <t xml:space="preserve">nom de l'entreprise / de la structure émettrice du devis ou du justificatif de la dépense </t>
    </r>
    <r>
      <rPr>
        <u/>
        <sz val="10"/>
        <rFont val="Calibri"/>
        <family val="2"/>
        <scheme val="minor"/>
      </rPr>
      <t>retenue</t>
    </r>
  </si>
  <si>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</si>
  <si>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</si>
  <si>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</si>
  <si>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(à choisir dans le menu déroulant)</t>
  </si>
  <si>
    <t>(le cas échéant, pour préciser un point saillant au Service Instructeur ex: Si le devis présenté n'est pas le moins cher expliquer obligatoirement le choix)</t>
  </si>
  <si>
    <r>
      <t xml:space="preserve">(choisir "Oui" s'il s'agit d'une dépense liée à une prestation externe ;
choisir "Non" s'il ne s'agit pas d'une dépense liée à une prestation externe ; 
</t>
    </r>
    <r>
      <rPr>
        <i/>
        <sz val="11"/>
        <color rgb="FFFF0000"/>
        <rFont val="Calibri"/>
        <family val="2"/>
        <scheme val="minor"/>
      </rPr>
      <t xml:space="preserve">Le taux forfaitaire de 20 % ne peut pas prendre en compte les dépenses liées à des prestations externes. </t>
    </r>
  </si>
  <si>
    <t>(report automatique de la demande. Corriger les informations des cellules selon les modalités d'instruction)</t>
  </si>
  <si>
    <r>
      <t xml:space="preserve">(report automatique de la demande. Corriger les informations des cellules selon les modalités d'instruction)
</t>
    </r>
    <r>
      <rPr>
        <b/>
        <i/>
        <sz val="11"/>
        <color rgb="FFFF0000"/>
        <rFont val="Calibri"/>
        <family val="2"/>
        <scheme val="minor"/>
      </rPr>
      <t>Si oui, contrôler l'onglet "Liste MP"</t>
    </r>
  </si>
  <si>
    <t>(saisir Oui ; Non ou Non concerné dans le menu déroulant)</t>
  </si>
  <si>
    <t>(le cas échéant:
demande de dérogation pour absence de devis opposable, ou note justificative du choix du devis le plus cher jointe)</t>
  </si>
  <si>
    <r>
      <t xml:space="preserve">(saisie automatique à corriger selon les modalités d'instruction)
</t>
    </r>
    <r>
      <rPr>
        <b/>
        <i/>
        <sz val="11"/>
        <color rgb="FFFF0000"/>
        <rFont val="Calibri"/>
        <family val="2"/>
        <scheme val="minor"/>
      </rPr>
      <t>En cas d'irrégularité liée à un marché public, déduire l'irrégularité du montant éligible</t>
    </r>
  </si>
  <si>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si le montant retenu est supérieur au montant raisonnable expliquer obligatoirement le choix…)</t>
  </si>
  <si>
    <t>(vérification automatique de cohérence entre le montant éligible retenu et le coût raisonnable calculé.
En cas d'anomalie, corriger le montant incohérent ou justifier le choix d'instruction.)</t>
  </si>
  <si>
    <t>(vérification automatique de cohérence entre les montants présenté, les montants raisonnables et les montants retenus.
En cas d'anomalie, corriger le montant incohérent ou justifier le choix d'instruction.)</t>
  </si>
  <si>
    <t>Pompe hydraulique</t>
  </si>
  <si>
    <t xml:space="preserve">Pas de marché public </t>
  </si>
  <si>
    <t>Non concerné</t>
  </si>
  <si>
    <t>Poids</t>
  </si>
  <si>
    <t>D250115102</t>
  </si>
  <si>
    <t>Blando</t>
  </si>
  <si>
    <t>F3402</t>
  </si>
  <si>
    <t>Fourniss-agri</t>
  </si>
  <si>
    <t>D 186</t>
  </si>
  <si>
    <t>Brico</t>
  </si>
  <si>
    <t>Devis 1</t>
  </si>
  <si>
    <t>Non Concerné</t>
  </si>
  <si>
    <t>1.6 Amortissement</t>
  </si>
  <si>
    <t>L’amortissement de matériels existants avant le démarrage de l’opération n'est pas éligible.</t>
  </si>
  <si>
    <t>Partie à remplir par le bénéficiaire - Présentation des dépenses d'amortissement</t>
  </si>
  <si>
    <t>Partie réservée à l'administration - Instruction des dépenses d'amortissement</t>
  </si>
  <si>
    <t>Description du bien amortissable</t>
  </si>
  <si>
    <t>Type de bien</t>
  </si>
  <si>
    <t>Lien avec l’opération</t>
  </si>
  <si>
    <t>Taux d'affectation à l'opération sur la durée présentée</t>
  </si>
  <si>
    <t>Justificatif de la valeur du bien amorti</t>
  </si>
  <si>
    <t>Durée de l'opération</t>
  </si>
  <si>
    <t>Date de début d’amortissement</t>
  </si>
  <si>
    <t>Durée totale de l’amortissement</t>
  </si>
  <si>
    <t>Durée d’amortissement présentée sur la période de réalisation du projet  EN JOURS</t>
  </si>
  <si>
    <t>Durée d’amortissement présentée EN ANNÉES</t>
  </si>
  <si>
    <t>Coût total de l'amortissement</t>
  </si>
  <si>
    <t>Montant de la charge d'amortissement présentée</t>
  </si>
  <si>
    <t>Justificatif de la modalité d'amortissement</t>
  </si>
  <si>
    <t>Taux d'affectation à l'opération</t>
  </si>
  <si>
    <t>Durée de l'opération en années</t>
  </si>
  <si>
    <t>Durée d’amortissement présentée EN JOURS</t>
  </si>
  <si>
    <t>Durée d’amortissement sur la période de réalisation du projet EN ANNÉES</t>
  </si>
  <si>
    <t>Coût total de l'amortissement présenté</t>
  </si>
  <si>
    <t>Montant de la charge d'amortissement éligible</t>
  </si>
  <si>
    <t>(nature du bien)</t>
  </si>
  <si>
    <t>(neuf / occasion)</t>
  </si>
  <si>
    <t>(préciser le lien entre la dépense amortie et l'opération, et son caractère nécessaire)</t>
  </si>
  <si>
    <t>(évaluation de la valeur du bien par un expert indépendat)</t>
  </si>
  <si>
    <t>en année</t>
  </si>
  <si>
    <t>(jj/mm/aaaa)</t>
  </si>
  <si>
    <t>(cette durée ne doit pas être supérieure à la durée de l'opération)</t>
  </si>
  <si>
    <t xml:space="preserve">
(saisie automatique)
</t>
  </si>
  <si>
    <r>
      <t xml:space="preserve">(montant de la charge d'amortissement pour la durée totale d'amortissement du matériel)
</t>
    </r>
    <r>
      <rPr>
        <i/>
        <sz val="10"/>
        <rFont val="Calibri"/>
        <family val="2"/>
        <scheme val="minor"/>
      </rPr>
      <t>Annuités x durée d'amortissement totale</t>
    </r>
  </si>
  <si>
    <t>[(coût total de l'amortissement / durée totale de l'amortissement) x durée d'amortissement présentée ] x taux d'affectation à l'opération</t>
  </si>
  <si>
    <t>(plan d'amortissement prévisionnel, attestation sur l’honneur du bénéficiaire qui atteste que le bien amorti n’a pas fait l’objet de subventions publiques, etc.)</t>
  </si>
  <si>
    <t>Microscope électronique</t>
  </si>
  <si>
    <t>Neuf</t>
  </si>
  <si>
    <t>Utilisation pour le WP2 - "Analyse microscopique"</t>
  </si>
  <si>
    <t>C4579</t>
  </si>
  <si>
    <t>3</t>
  </si>
  <si>
    <t>01/09/2025</t>
  </si>
  <si>
    <t>10</t>
  </si>
  <si>
    <t>Plan d'amortissement, attestation sur l'honneur</t>
  </si>
  <si>
    <t xml:space="preserve">Total écarté </t>
  </si>
  <si>
    <r>
      <rPr>
        <b/>
        <sz val="20"/>
        <rFont val="Calibri (Corps)"/>
      </rPr>
      <t>1.3 Frais généraux</t>
    </r>
    <r>
      <rPr>
        <b/>
        <sz val="14"/>
        <rFont val="Calibri"/>
        <family val="2"/>
        <scheme val="minor"/>
      </rPr>
      <t xml:space="preserve">
</t>
    </r>
    <r>
      <rPr>
        <sz val="14"/>
        <rFont val="Calibri"/>
        <family val="2"/>
        <scheme val="minor"/>
      </rPr>
      <t xml:space="preserve">
</t>
    </r>
    <r>
      <rPr>
        <sz val="14"/>
        <color rgb="FFC00000"/>
        <rFont val="Calibri (Corps)"/>
      </rPr>
      <t>Ce poste de dépense concerne : Prestation externe / Sous-traitance (y compris les locations) de l'ensemble des partenaires.
Une pièce estimative comparative est nécessaire à partir d'un coût de 3 000 €HT et 2 pièces comparatives à partir de 90 000 €HT.
Les frais de location sont pris en compte dans la limite du coût d’amortissement des investissements neufs.</t>
    </r>
  </si>
  <si>
    <t>Partie à remplir par le bénéficiaire - Présentation des dépenses de frais généraux</t>
  </si>
  <si>
    <t>Partie réservée à l'administration - Instruction des dépenses de frais généraux</t>
  </si>
  <si>
    <t>Description de la dépense Prestation externe / Sous-traitance (voir Tableau 1 ci-dessus pour achat de matériel)</t>
  </si>
  <si>
    <t>Dénomination du prestataire retenu</t>
  </si>
  <si>
    <t>Référence du justificatif retenu</t>
  </si>
  <si>
    <t xml:space="preserve">Dénomination du prestataire </t>
  </si>
  <si>
    <t xml:space="preserve">Référence du justificatif </t>
  </si>
  <si>
    <t>Montant TVA du devis ccontradictoire
Devis 2</t>
  </si>
  <si>
    <t>Montant HT du Devis présenté</t>
  </si>
  <si>
    <t>Montant TVA du Devis présenté</t>
  </si>
  <si>
    <t>Montant TTC du Devis présenté</t>
  </si>
  <si>
    <t>Montant HT du Devis comparatif 1</t>
  </si>
  <si>
    <t>Montant TVA du Devis comparatif 1</t>
  </si>
  <si>
    <t>Montant TTC du Devis comparatif 1</t>
  </si>
  <si>
    <t>Montant HT du Devis comparatif 2</t>
  </si>
  <si>
    <t>Montant TVA du Devis comparatif 2</t>
  </si>
  <si>
    <t>Montant TTC du Devis comparatif 2</t>
  </si>
  <si>
    <t>Montant éligible TVA</t>
  </si>
  <si>
    <t>type de dépense (prestation, location,...)</t>
  </si>
  <si>
    <t xml:space="preserve">Pour les marchés publics de travaux ou de fournitures et de services, la valeur est-elle supérieure aux seuils rappelés en encart ci-dessus ?
</t>
  </si>
  <si>
    <t>Etude X</t>
  </si>
  <si>
    <t>jours</t>
  </si>
  <si>
    <t>Cabinet Plus</t>
  </si>
  <si>
    <t>CP23769</t>
  </si>
  <si>
    <t>1.3 Déplacement et hébergement</t>
  </si>
  <si>
    <t xml:space="preserve"> Taux des indemnités de mission prévues à l'article 3 du décret n° 2006-781 du 3 juillet 2006 fixant les conditions et les modalités de règlement des frais occasionnés par les déplacements temporaires des personnels civils de l'Etat.</t>
  </si>
  <si>
    <t>SONT ÉLIGIGBLES UNIQUEMENT LES FRAIS DE DÉPLACEMENT ET D'HÉBERGEMENT DES PARTENAIRES DIRECTEMENT LIÉS À L'OPÉRATION  (hors déplacement routier, les frais kilométriques et les frais de péage ne sont pas éligibles). A NOTER QU'UN CONTRÔLE DE PIÈCE SERA EFFECTUÉ À CETTE FIN.
Le caractère obligatoire du déplacement doit être justifié (ne pouvant pas donner lieu à des échanges en visioconférence ou dans le cadre de démonstrations).  
Frais de déplacement - modalité de prise en compte des dépenses AU RÉEL
Dépenses éligibles : Les transports aériens sur la base du coup d’un billet en classe économique ;  Les transports maritimes ;  Les frais de taxis, trains, transports publics ;  
Une pièce estimative comparative est nécessaire à partir d'un coût de 3 000€ HT et 2 pièces estimatives à partir de 90 000€ HT.
A noter que les réservations de billet d'avion et de train doivent être réalisés en classe économique.
Frais d'hébergement - modalité de prise en compte des dépenses COÛT UNITAIRE
Dépenses éligibles :  Les nuitées, les repas (en unité) et les frais kilométriques des déplacements routiers.
Les nuitées doivent être en corrélation avec le nombre de jours nécessaires à la mission. Les montants sont acceptés dans la limite de ceux précisés dans l’arrêté du 3 juillet 2006 fixant les taux des indemnités de mission prévues à l'article 3 du décret n° 2006-781 du 3 juillet 2006 fixant les conditions et les modalités de règlement des frais occasionnés par les déplacements temporaires des personnels civils de l'Etat.
Consignes d'utilisation : 
Dépenses au réel : Ne pas raisonner à l'unité mais au besoin réel. (Exemple : Présenter une ligne de dépense du prix  billets d'avion aller/retour pour 5 personnes)
Dépenses en coût unitaire : A partir du tableau à droite, rentrer manuellement le barème adapté et le nombre d'unités dans les cellules associées.</t>
  </si>
  <si>
    <r>
      <rPr>
        <b/>
        <sz val="12"/>
        <color rgb="FFFF0000"/>
        <rFont val="Calibri"/>
        <family val="2"/>
        <scheme val="minor"/>
      </rPr>
      <t xml:space="preserve">Martinique, Guadeloupe, Guyane, La Réunion, Mayotte, Saint-Barthélemy, Saint-Pierre-et-Miquelon, Saint-Martin 
</t>
    </r>
    <r>
      <rPr>
        <sz val="12"/>
        <color rgb="FFFF0000"/>
        <rFont val="Calibri"/>
        <family val="2"/>
        <scheme val="minor"/>
      </rPr>
      <t xml:space="preserve">Hébergement (70€ par nuit), Déjeuner/dîner (15,75 € par repas)
</t>
    </r>
    <r>
      <rPr>
        <b/>
        <sz val="12"/>
        <color rgb="FFFF0000"/>
        <rFont val="Calibri"/>
        <family val="2"/>
        <scheme val="minor"/>
      </rPr>
      <t xml:space="preserve">
Nouvelle-Calédonie, îles Wallis et Futuna, Polynésie française
</t>
    </r>
    <r>
      <rPr>
        <sz val="12"/>
        <color rgb="FFFF0000"/>
        <rFont val="Calibri"/>
        <family val="2"/>
        <scheme val="minor"/>
      </rPr>
      <t xml:space="preserve">Hébergement (90€ par nuit),  Déjeuner/dîner (21€ par repas)
</t>
    </r>
    <r>
      <rPr>
        <b/>
        <sz val="12"/>
        <color rgb="FFFF0000"/>
        <rFont val="Calibri"/>
        <family val="2"/>
        <scheme val="minor"/>
      </rPr>
      <t xml:space="preserve">
France métropolitaine hors métropole du Grand Paris et Paris
</t>
    </r>
    <r>
      <rPr>
        <sz val="12"/>
        <color rgb="FFFF0000"/>
        <rFont val="Calibri"/>
        <family val="2"/>
        <scheme val="minor"/>
      </rPr>
      <t xml:space="preserve">Hébergement (70€ par nuit), Déjeuner/dîner (15,25€ par repas)
</t>
    </r>
    <r>
      <rPr>
        <b/>
        <sz val="12"/>
        <color rgb="FFFF0000"/>
        <rFont val="Calibri"/>
        <family val="2"/>
        <scheme val="minor"/>
      </rPr>
      <t xml:space="preserve">
Métropole du Grand Paris
</t>
    </r>
    <r>
      <rPr>
        <sz val="12"/>
        <color rgb="FFFF0000"/>
        <rFont val="Calibri"/>
        <family val="2"/>
        <scheme val="minor"/>
      </rPr>
      <t xml:space="preserve">Hébergement (90€ par nuit), Déjeuner/dîner (15,25€ par repas)
</t>
    </r>
    <r>
      <rPr>
        <b/>
        <sz val="12"/>
        <color rgb="FFFF0000"/>
        <rFont val="Calibri"/>
        <family val="2"/>
        <scheme val="minor"/>
      </rPr>
      <t xml:space="preserve">
Paris 
</t>
    </r>
    <r>
      <rPr>
        <sz val="12"/>
        <color rgb="FFFF0000"/>
        <rFont val="Calibri"/>
        <family val="2"/>
        <scheme val="minor"/>
      </rPr>
      <t xml:space="preserve">Hébergement (110€ par nuit), Déjeuner/dîner (15,25€ par repas)
</t>
    </r>
  </si>
  <si>
    <t>Destination</t>
  </si>
  <si>
    <t>Partie à remplir par le bénéficiaire - Présentation des dépenses de déplacement et d'hébergement</t>
  </si>
  <si>
    <t>Partie réservée à l'administration - Instruction des dépenses de déplacement et d'hébergement</t>
  </si>
  <si>
    <t xml:space="preserve">Martinique, Guadeloupe, Guyane, La Réunion, Mayotte, Saint-Barthélemy, Saint-Pierre-et-Miquelon, Saint-Martin </t>
  </si>
  <si>
    <t>Identification de la dépense</t>
  </si>
  <si>
    <t>Frais de déplacement - au réel</t>
  </si>
  <si>
    <t>Frais d'hébergement - coût unitaire</t>
  </si>
  <si>
    <t>Montant présenté total des frais de déplacement &amp; hébergement</t>
  </si>
  <si>
    <t>Montant éligible total des frais de déplacement &amp; hébergement</t>
  </si>
  <si>
    <t>Nouvelle-Calédonie, îles Wallis et Futuna, Polynésie française</t>
  </si>
  <si>
    <t>Les personnes concernées par ces frais font-elles partie du personnel d'un partenaire ?</t>
  </si>
  <si>
    <t>Le marché est-il lancé en date du  pré-dépôt ou dépôt de la demande d'aide ?</t>
  </si>
  <si>
    <t>Dénomination du fournisseur retenu / prestataire retenu</t>
  </si>
  <si>
    <t>Référence du devis retenu / justificatif retenu</t>
  </si>
  <si>
    <t>Date du devis retenu / justificatif retenu</t>
  </si>
  <si>
    <t>Destination du déplacement</t>
  </si>
  <si>
    <t>NUITÉES
Montant unitaire</t>
  </si>
  <si>
    <t>NUITÉES
Nombre d'unités</t>
  </si>
  <si>
    <t>REPAS
Montant unitaire</t>
  </si>
  <si>
    <t>REPAS
Nombre d'unités</t>
  </si>
  <si>
    <t>Montant des frais COÛT UNIAIRE total présenté</t>
  </si>
  <si>
    <t>Saisie automatique</t>
  </si>
  <si>
    <t>Montant éligible retenu HT</t>
  </si>
  <si>
    <t>Montant éligible retenu TVA</t>
  </si>
  <si>
    <t>Montant éligible retenu TTC</t>
  </si>
  <si>
    <t>Contrôle bloquant, vérification et traçage sur les montants AU RÉEL</t>
  </si>
  <si>
    <t>Contrôle bloquant, vérification et traçage sur les montants COÛT UNITAIRE</t>
  </si>
  <si>
    <t>France métropolitaine hors métropole du Grand Paris et Paris</t>
  </si>
  <si>
    <t>Sélectionner OUI ou NON dans le menu déroulant.
Cette condition sera contrôlée. Exemple : contrat de travail.</t>
  </si>
  <si>
    <r>
      <t xml:space="preserve">Pas de marché public / Marché à procédure adaptée (MAPA) / Marché innovant / Marché à procédure formalisée
</t>
    </r>
    <r>
      <rPr>
        <i/>
        <sz val="10"/>
        <rFont val="Calibri"/>
        <family val="2"/>
        <scheme val="minor"/>
      </rPr>
      <t>(menu déroulant)</t>
    </r>
  </si>
  <si>
    <r>
      <rPr>
        <sz val="10"/>
        <rFont val="Calibri"/>
        <family val="2"/>
        <scheme val="minor"/>
      </rPr>
      <t>Oui / Non / Non concerné</t>
    </r>
    <r>
      <rPr>
        <i/>
        <sz val="10"/>
        <rFont val="Calibri"/>
        <family val="2"/>
        <scheme val="minor"/>
      </rPr>
      <t xml:space="preserve">
(menu déroulant)</t>
    </r>
  </si>
  <si>
    <t>(renseigner la TVA applicable en euros, uniquement si non déduite ou non compensée. Une attestation d’absence de récupération de la TVA est alors à fournir en appui de la demande d’aide.)</t>
  </si>
  <si>
    <t>Indiquer la destination du déplacement</t>
  </si>
  <si>
    <t>Barème correspondant à rentrer manuellement à partir du tableau ci-dessus.</t>
  </si>
  <si>
    <t>Nombre de nuits à indiquer par le bénéficiaire</t>
  </si>
  <si>
    <t>Nombre de déjeuners/dîners à indiquer par le bénéficiaire</t>
  </si>
  <si>
    <t>(saisie automatique, par application des coûts unitaires)</t>
  </si>
  <si>
    <t>(absence ou type de marché public à sélectionner dans le menu déroulant)</t>
  </si>
  <si>
    <t>(saisie automatique à corriger selon les modalités d'instruction en particulier en plafonnant les montants si nécessaire)</t>
  </si>
  <si>
    <t>(saisie automatique, par application des coûts unitaires à corriger selon les modalités d'instruction)</t>
  </si>
  <si>
    <t>Métropole du Grand Paris</t>
  </si>
  <si>
    <t>Billet avion aller-retour de Pointe-à-Pitre vers Ville X (Pays X)</t>
  </si>
  <si>
    <t>Sky Plus</t>
  </si>
  <si>
    <t>SP4346787</t>
  </si>
  <si>
    <t>22/02/2025</t>
  </si>
  <si>
    <t xml:space="preserve">Paris </t>
  </si>
  <si>
    <t xml:space="preserve">Total présenté </t>
  </si>
  <si>
    <t>Partie à remplir par le bénéficiaire - Présentation des dépenses de contribution en nature</t>
  </si>
  <si>
    <t>Partie réservée à l'administration - Instruction des dépenses de contribution en nature</t>
  </si>
  <si>
    <t>Type d'action concerné</t>
  </si>
  <si>
    <t>Description de la contribution en nature</t>
  </si>
  <si>
    <t>Taux d'affectation à l'opération (%) hors auto-construction</t>
  </si>
  <si>
    <t>Justificatif d'affectation à l'opération présenté - hors auto-construction</t>
  </si>
  <si>
    <t>Est-ce une dépense en auto-construction ?</t>
  </si>
  <si>
    <t xml:space="preserve">Nombre d'heures passées en auto-construction </t>
  </si>
  <si>
    <t>Valeur de l'auto-construction</t>
  </si>
  <si>
    <t>Valeur de la contribution, en euros, hors auto-construction</t>
  </si>
  <si>
    <t>Justificatif de valeur présenté</t>
  </si>
  <si>
    <t>Montant présenté</t>
  </si>
  <si>
    <t>(nature de la contribution apportée à l'opération.
Ex: terrain, bien immeuble, équipement…)</t>
  </si>
  <si>
    <t xml:space="preserve">(Si la dépense est hors auto-construction et est affectée partiellement à l'opération, préciser le taux de proratisation retenu ex: 50%. 
Si la dépense est hors auto-construction et intégralement liée à l'opération, préciser 100%) </t>
  </si>
  <si>
    <t>(ex: attestation d’affectation du bien à l’opération…)</t>
  </si>
  <si>
    <t>(Cette dépense correspond-elle à des heures consacrées par le porteur de projet pour auto-construire une partie de son projet ?)
Pour information, cette dépense est plafonnée à 50% du coût HT des matériaux et autres dépenses en auto-construction présentés dans l'onglet investissement)
Réponse à sélectionner dans le menu déroulant)</t>
  </si>
  <si>
    <t>A renseigner  uniquement pour les dépenses en auto-construction</t>
  </si>
  <si>
    <t>(saisie automatique  sur la base du SMIC horaire brut du 01/01/1016 (=12,02€). Ne concerne que  les dépenses en auto-construction)</t>
  </si>
  <si>
    <t>(montant unitaire de la contribution  applicable en euros, hors auto-construction )</t>
  </si>
  <si>
    <t>(pour les terrains et biens immeubles: certificat d’un expert indépendant qualifié,
pour les services, biens d’équipement ou de matières premières: prix catalogue, devis,…</t>
  </si>
  <si>
    <t>taux d'affectation à l'opération x Valeur de la contribution</t>
  </si>
  <si>
    <t>Salle de réunion</t>
  </si>
  <si>
    <t>Compte-rendu de réunion, feuille de présence signée</t>
  </si>
  <si>
    <t>estimation de la valeur locative du bien par un expert indépendant habilité</t>
  </si>
  <si>
    <t>devis</t>
  </si>
  <si>
    <t>1.5 Coûts de participation des agriculteurs</t>
  </si>
  <si>
    <t>Le temps passé aux expérimentations est limité à 35h par semaine est doit être justifié par des protocoles d'expérimentation ou autres justificatifs.</t>
  </si>
  <si>
    <t>[A] SMIC horaire brut  au 01/01/2025 = 11,88€ et au 01/01/2026 = 12,02 €. Le SMIC est normalement revalorisé au 1er janvier de chaque année.
[B] Le forfait applicable pour le trajet domicile &lt;-&gt; lieu de la réunion est de 20€ par jour par aller/retour.
[C] Forfait de 17,70 € par repas.</t>
  </si>
  <si>
    <t>Partie à remplir par le bénéficiaire - Présentation des coûts de participation des agriculteurs</t>
  </si>
  <si>
    <t>Partie réservée à l'administration - Instruction des coûts de participation des agriculteurs</t>
  </si>
  <si>
    <t>Type de participation</t>
  </si>
  <si>
    <t>Nombre d'agriculteurs</t>
  </si>
  <si>
    <t>Coût horaire</t>
  </si>
  <si>
    <t>Nombre d'heures de la participation</t>
  </si>
  <si>
    <t>Sous-total frais du temps passé</t>
  </si>
  <si>
    <t>Nombre d'allers-retours domicile &lt;-&gt; lieu de la participation</t>
  </si>
  <si>
    <t xml:space="preserve">Sous-total frais de déplacement </t>
  </si>
  <si>
    <t>Nombre de repas pour la participation</t>
  </si>
  <si>
    <t>Sous-total frais de restauration</t>
  </si>
  <si>
    <t>Montant total présenté</t>
  </si>
  <si>
    <t>Justificatifs de la participation des agriculteurs</t>
  </si>
  <si>
    <t>Montant total éligible</t>
  </si>
  <si>
    <t>(choisir une des propositions de la liste déroulante)</t>
  </si>
  <si>
    <t>(SMIC horaire en vigueur, voir encart ci-dessous [A])</t>
  </si>
  <si>
    <t>(saisir le nombre total d'heures de participation tous agriculteurs participants confondus)</t>
  </si>
  <si>
    <t>coût horaire x nombre d'heures de la participation</t>
  </si>
  <si>
    <t>(saisir le nombre total d'allers-retours tous agriculteurs participants confondus)</t>
  </si>
  <si>
    <t>nombre d'aller-retour domicile &lt;-&gt; lieu de la réunion x 20 €
(voir encart ci-dessous [B])</t>
  </si>
  <si>
    <t>(saisir le nombre total de repas tous agriculteurs participants confondus)</t>
  </si>
  <si>
    <t>nombre de repas x 17,70 €
(voir encart ci-dessous [C])</t>
  </si>
  <si>
    <t>Sous-total frais du temps passé + Sous-total frais de déplacement + Sous-total frais de restauration</t>
  </si>
  <si>
    <t>(exemple: invitation au séminaire, programme de la journée technique, protocole expérimental, etc.)</t>
  </si>
  <si>
    <t>Séminaire</t>
  </si>
  <si>
    <t>Total</t>
  </si>
  <si>
    <t>1.7 OCS</t>
  </si>
  <si>
    <t>Taux de 25% sur les dépenses directes de l’opération.
L’assiette de coûts directs servant de base de calcul ne doit pas intégrer des prestations externes ou du soutien financier à des tiers</t>
  </si>
  <si>
    <t>Partie à remplir par le bénéficiaire - Présentation des options de coûs simplifiés</t>
  </si>
  <si>
    <t>Partie réservée à l'administration - Instruction des options de coûs simplifiés</t>
  </si>
  <si>
    <t>Montant des dépenses présentées servant de base de calcul</t>
  </si>
  <si>
    <t>À titre informatif, montant de l'OCS calculé sur la base des dépenses présentées et par application du taux de 25%</t>
  </si>
  <si>
    <t>Souhaitez-vous bénéficier du taux forfaitaire de 25% ?</t>
  </si>
  <si>
    <t xml:space="preserve">Montant de l'OCS sollicitée par le porteur </t>
  </si>
  <si>
    <t>Montant des dépenses retenues servant de base de calcul</t>
  </si>
  <si>
    <t>À titre informatif, montant de l'OCS calculé sur la base des dépenses retenues et par application du taux de 25%</t>
  </si>
  <si>
    <t>Sélection de l'OCS</t>
  </si>
  <si>
    <t>Montant de l'OCS éligible</t>
  </si>
  <si>
    <t>(saisie automatique sur la base des informations déclarées dans les onglets précédents)</t>
  </si>
  <si>
    <t>(Montant des dépenses servant de base de calcul x 25%)</t>
  </si>
  <si>
    <t>sélectionner Oui ou Non dans la liste déroulante</t>
  </si>
  <si>
    <t>(saisie automatique en fonction de si l'OCS a été sélectionnée)</t>
  </si>
  <si>
    <t>(saisie automatique à modifier selon les modalités d'instruction)</t>
  </si>
  <si>
    <t>Tableau récapitulatif des dépenses prévisionnelles de l'opération
(données à titre informatif ne valant ni promesse d'attribution de l'aide, ni contractualisation des montants indiqués)</t>
  </si>
  <si>
    <t>Montants Présentés</t>
  </si>
  <si>
    <t>Contrôles bloquants à résoudre avant présentation du plan de financement au service instructeur</t>
  </si>
  <si>
    <t xml:space="preserve">Ventilation des dépenses présentées par poste </t>
  </si>
  <si>
    <t xml:space="preserve">Poste de dépenses </t>
  </si>
  <si>
    <t>Frais de personnel</t>
  </si>
  <si>
    <t>Investissements</t>
  </si>
  <si>
    <t>Frais généraux</t>
  </si>
  <si>
    <t>Déplacement &amp; hébergement</t>
  </si>
  <si>
    <t>Contribution en nature</t>
  </si>
  <si>
    <t>Coût participation agri</t>
  </si>
  <si>
    <t>Amortissement</t>
  </si>
  <si>
    <t>OCS mobilisée(s)</t>
  </si>
  <si>
    <t>Montant total HT</t>
  </si>
  <si>
    <t>Taux forfaitaire 25% des dépenses directes</t>
  </si>
  <si>
    <t>Montant total TVA</t>
  </si>
  <si>
    <t>Total  TTC</t>
  </si>
  <si>
    <t>Total instruit</t>
  </si>
  <si>
    <r>
      <t xml:space="preserve">Recettes prévisionnelles générées
</t>
    </r>
    <r>
      <rPr>
        <b/>
        <sz val="11"/>
        <color rgb="FFFF0000"/>
        <rFont val="Calibri"/>
        <family val="2"/>
        <scheme val="minor"/>
      </rPr>
      <t>(Dans le cas où les recettes sont à déduire du Montant total HT se rapprocher du service instructeur)</t>
    </r>
  </si>
  <si>
    <t>Le total des dépenses prévisionnelles de la demande d’aide ne peut pas dépasser 1 000 000 € HT
ATTENTION : Le respect de cette règle est une condition d'éligibilité du projet dans sa totalité</t>
  </si>
  <si>
    <r>
      <t xml:space="preserve">Assiette PSN présentée
</t>
    </r>
    <r>
      <rPr>
        <b/>
        <sz val="11"/>
        <color theme="1"/>
        <rFont val="Calibri"/>
        <family val="2"/>
        <scheme val="minor"/>
      </rPr>
      <t>(donnée à titre informatif ne valant ni promesse d'attribution de l'aide, ni contractualisation des montants indiqués)</t>
    </r>
  </si>
  <si>
    <t xml:space="preserve">La règle de non-profit est-elle respectée ? 
Cette règle signifie que la somme des financements pour l'opération présentée ne dépasse pas le coût total de cette dernière. </t>
  </si>
  <si>
    <r>
      <t xml:space="preserve">COMPLÉTER LES INFORMATIONS LIEES A D'AUTRES EVENTUELS FINANCEURS 
</t>
    </r>
    <r>
      <rPr>
        <sz val="14"/>
        <color rgb="FF000000"/>
        <rFont val="Calibri"/>
        <family val="2"/>
      </rPr>
      <t xml:space="preserve">Compléter les cellules blanches ci-dessous. Le cas échéant, ajouter autant de lignes que de financeurs publics ou privés existants. 
</t>
    </r>
    <r>
      <rPr>
        <i/>
        <sz val="14"/>
        <color rgb="FF000000"/>
        <rFont val="Calibri"/>
        <family val="2"/>
      </rPr>
      <t>(Attention, si le périmètre du projet financé est différent de celui du FEADER un échange avec le service instructeur est nécessaire avant validation de la demande d'aide)</t>
    </r>
  </si>
  <si>
    <r>
      <t xml:space="preserve">SAISIR SUR EUROPAC
</t>
    </r>
    <r>
      <rPr>
        <sz val="20"/>
        <color theme="0"/>
        <rFont val="Calibri"/>
        <family val="2"/>
        <scheme val="minor"/>
      </rPr>
      <t>Reportez les informations financières ci-dessous dans l'onglet « Dépenses prévisionnelles » de Europac</t>
    </r>
  </si>
  <si>
    <t>Montant d'aide publique calculé après application des RIF</t>
  </si>
  <si>
    <t>Plafond de la règle de non-profit</t>
  </si>
  <si>
    <r>
      <t xml:space="preserve">Montant du financeur </t>
    </r>
    <r>
      <rPr>
        <b/>
        <u/>
        <sz val="14"/>
        <color rgb="FFFF0000"/>
        <rFont val="Calibri"/>
        <family val="2"/>
      </rPr>
      <t xml:space="preserve">public </t>
    </r>
    <r>
      <rPr>
        <b/>
        <sz val="14"/>
        <rFont val="Calibri"/>
        <family val="2"/>
      </rPr>
      <t>autre que FEADER/Région, le cas échéant</t>
    </r>
  </si>
  <si>
    <t>Identité du/des financeur(s) public(s) autre(s) que FEADER/Région, justificatif présenté</t>
  </si>
  <si>
    <t>Le financement public autre que FEADER/Région est-il obtenu en date du dépôt de la demande d'aide ?</t>
  </si>
  <si>
    <r>
      <t xml:space="preserve">Montant du financeur </t>
    </r>
    <r>
      <rPr>
        <b/>
        <u/>
        <sz val="14"/>
        <color rgb="FFFF0000"/>
        <rFont val="Calibri"/>
        <family val="2"/>
      </rPr>
      <t>privé</t>
    </r>
    <r>
      <rPr>
        <b/>
        <u/>
        <sz val="14"/>
        <rFont val="Calibri"/>
        <family val="2"/>
      </rPr>
      <t>,</t>
    </r>
    <r>
      <rPr>
        <b/>
        <sz val="14"/>
        <rFont val="Calibri"/>
        <family val="2"/>
      </rPr>
      <t xml:space="preserve"> le cas échéant</t>
    </r>
  </si>
  <si>
    <t>Identité du/des financeur(s) privé(s)</t>
  </si>
  <si>
    <t>Le financement privé est-il obtenu en date du dépôt de la demande d'aide ?</t>
  </si>
  <si>
    <t>Total général = coût global du projet</t>
  </si>
  <si>
    <t>Total des ressources prévisionnelles</t>
  </si>
  <si>
    <t>Dont montant FEADER sollicité</t>
  </si>
  <si>
    <t>Pour les opérations bénéficiant d'une autre aide publique que les aides FEADER et Région comme par exemple des financements de l'Etat ou des EPCI, saisir ce montant.</t>
  </si>
  <si>
    <t>Pour les opérations bénéficiant d'une aide venant d'un organisme privé, par exemple des donations ou du mécénat, saisir ce montant</t>
  </si>
  <si>
    <t>Montant d'aide publique nationale : Financement public hors PSR (FEADER)</t>
  </si>
  <si>
    <t>Montant des financeurs privés</t>
  </si>
  <si>
    <t>Dont montant d'aide nationale sollicitée</t>
  </si>
  <si>
    <t>Département Guadeloupe</t>
  </si>
  <si>
    <t>Montant FEADER</t>
  </si>
  <si>
    <t>Cofinanceur privé externe 1</t>
  </si>
  <si>
    <t>Montant de l'apport et du financement externe d'origine privée nécessaire</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</si>
  <si>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</si>
  <si>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</si>
  <si>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</si>
  <si>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</si>
  <si>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</si>
  <si>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</si>
  <si>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</si>
  <si>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Présence ou non d'investissements productifs</t>
  </si>
  <si>
    <t>Dépenses présentées</t>
  </si>
  <si>
    <t xml:space="preserve">Dépenses présentées calculées après application des RIF (ci-dessus), 
</t>
  </si>
  <si>
    <t>Part du type d'action productif et non-productif sur le total des dépenses présentées (en %)</t>
  </si>
  <si>
    <t>Taux d'Aide Publique (TAP) réglementaire du dispositif, équivalent au Taux Maximum d'Aide Publique (TMAP) le cas échéant avant contrôle de la règle de non-profit</t>
  </si>
  <si>
    <r>
      <t xml:space="preserve">Montant d'aide calculé d'après le TMAP et </t>
    </r>
    <r>
      <rPr>
        <b/>
        <sz val="14"/>
        <color rgb="FFFF0000"/>
        <rFont val="Calibri"/>
        <family val="2"/>
        <scheme val="minor"/>
      </rPr>
      <t>avant</t>
    </r>
    <r>
      <rPr>
        <b/>
        <sz val="14"/>
        <rFont val="Calibri"/>
        <family val="2"/>
        <scheme val="minor"/>
      </rPr>
      <t xml:space="preserve"> vérification du montant de la règle de non-profit</t>
    </r>
  </si>
  <si>
    <t>Part de l'aide publique avant vérification de la règle de non profit par type d'action (en %)</t>
  </si>
  <si>
    <r>
      <t xml:space="preserve">Montant d'aide publique </t>
    </r>
    <r>
      <rPr>
        <b/>
        <sz val="14"/>
        <color rgb="FFFF0000"/>
        <rFont val="Calibri"/>
        <family val="2"/>
        <scheme val="minor"/>
      </rPr>
      <t>après</t>
    </r>
    <r>
      <rPr>
        <b/>
        <sz val="14"/>
        <rFont val="Calibri"/>
        <family val="2"/>
        <scheme val="minor"/>
      </rPr>
      <t xml:space="preserve"> contrôle de la règle de non-profit</t>
    </r>
  </si>
  <si>
    <r>
      <t xml:space="preserve">Taux d'Aide Publique (TAP), </t>
    </r>
    <r>
      <rPr>
        <b/>
        <sz val="14"/>
        <color rgb="FFFF0000"/>
        <rFont val="Calibri"/>
        <family val="2"/>
        <scheme val="minor"/>
      </rPr>
      <t>après</t>
    </r>
    <r>
      <rPr>
        <b/>
        <sz val="14"/>
        <rFont val="Calibri"/>
        <family val="2"/>
        <scheme val="minor"/>
      </rPr>
      <t xml:space="preserve"> contrôle de la règle de non-profit</t>
    </r>
  </si>
  <si>
    <t>Le montant du financeur public autre que FEADER/Région prend-il en charge toute la part nationale?</t>
  </si>
  <si>
    <t>Montant d'aide FEADER à solliciter</t>
  </si>
  <si>
    <t>Taux de co-financement FEADER</t>
  </si>
  <si>
    <t>Taux de co-financement de la part nationale</t>
  </si>
  <si>
    <t>Montant de la part nationale</t>
  </si>
  <si>
    <t>Montant du financeur public autre que FEADER/Région dans la part nationale</t>
  </si>
  <si>
    <t>Montant du financement Région</t>
  </si>
  <si>
    <t>Montant du top-up le cas échéant</t>
  </si>
  <si>
    <t>Montant de la contribution en nature</t>
  </si>
  <si>
    <t>Montant de l'apport (hors contribution en nature et du financement externe d'origine privée)</t>
  </si>
  <si>
    <t>% de l'apport et du financement externe d'origine privée</t>
  </si>
  <si>
    <t>Sur cette intervention, une règle s'applique sur le montant maximal des dépenses prévisionnel. Il s'agit d'une condition d'éligibilité du projet.</t>
  </si>
  <si>
    <t xml:space="preserve">Calcul automatique de la part des tableaux par partenaire </t>
  </si>
  <si>
    <t>TMAP réglementaire du dispositif x Dépenses présentées
(étape nécessaire aux calculs)</t>
  </si>
  <si>
    <t xml:space="preserve">Montant d'aide publique après vérification de la règle de non profit - excès des ressources privées </t>
  </si>
  <si>
    <t>Cette étape permet de recalculer le TAP dans le cas où la règle de non-profit ne serait pas respectée</t>
  </si>
  <si>
    <r>
      <t xml:space="preserve">Saisie automatique en fonction des montants </t>
    </r>
    <r>
      <rPr>
        <b/>
        <sz val="14"/>
        <color rgb="FFFF0000"/>
        <rFont val="Calibri"/>
        <family val="2"/>
        <scheme val="minor"/>
      </rPr>
      <t>(à corriger à l'aide du menu déroulant si consigne différente et se rapprocher du service instructeur le cas échéant)</t>
    </r>
  </si>
  <si>
    <t>Montant d'aide calculé après application des RIF - Montant du financeur public autre que FEADER/Région</t>
  </si>
  <si>
    <t xml:space="preserve">
Taux établi par la stratégie régionale dans le cadre de cette intervention</t>
  </si>
  <si>
    <r>
      <t xml:space="preserve">Saisie automatique à corriger dans le cas où le montant du financeur public autre que FEADER/Région est supérieur à la part nationale, mais que la Région participe également à la part nationale </t>
    </r>
    <r>
      <rPr>
        <b/>
        <sz val="14"/>
        <color rgb="FFFF0000"/>
        <rFont val="Calibri"/>
        <family val="2"/>
        <scheme val="minor"/>
      </rPr>
      <t>(se rapprocher du service instructeur)</t>
    </r>
  </si>
  <si>
    <t>Montant de la part nationale - le montant du financeur public autre que FEADER/Région</t>
  </si>
  <si>
    <t>Emprunt + Auto-financement</t>
  </si>
  <si>
    <t>Productifs</t>
  </si>
  <si>
    <t>N/A</t>
  </si>
  <si>
    <t>Non-productifs</t>
  </si>
  <si>
    <t>TOTAL</t>
  </si>
  <si>
    <r>
      <t xml:space="preserve">VENTILATION DES MONTANTS FINANCEURS PAR PARTENAIRE ET POSTES DE DEPENSE POUR L'EMERGENCE DE NOUVEAUX GROUPEMENTS
Attention, les montants ci-dessous sont présentés </t>
    </r>
    <r>
      <rPr>
        <b/>
        <u/>
        <sz val="11"/>
        <color theme="0"/>
        <rFont val="Calibri"/>
        <family val="2"/>
        <scheme val="minor"/>
      </rPr>
      <t>à titre indicatif et</t>
    </r>
    <r>
      <rPr>
        <b/>
        <sz val="11"/>
        <color theme="0"/>
        <rFont val="Calibri"/>
        <family val="2"/>
        <scheme val="minor"/>
      </rPr>
      <t xml:space="preserve"> peuvent évoluer à l'instruction</t>
    </r>
  </si>
  <si>
    <t>Présence ou non d'investissement productif</t>
  </si>
  <si>
    <t>Part des dépenses présentées du partenaire à l'échelle du partenariat</t>
  </si>
  <si>
    <t>Taux d'aide publique à saisir (conformément notamment à la règlementation des aides d'Etat)</t>
  </si>
  <si>
    <r>
      <t xml:space="preserve">Montant d'aide publique calculé après application du TAP et des RIF
</t>
    </r>
    <r>
      <rPr>
        <b/>
        <sz val="11"/>
        <color rgb="FFFF0000"/>
        <rFont val="Calibri (Corps)"/>
      </rPr>
      <t>(se rapprocher du service instructeur dans le cas où les règles d'aides d'Etat diffèrent en fonction des types d'action et partenaires)</t>
    </r>
  </si>
  <si>
    <r>
      <t xml:space="preserve">Montant d'aide publique </t>
    </r>
    <r>
      <rPr>
        <b/>
        <sz val="11"/>
        <color rgb="FFFF0000"/>
        <rFont val="Calibri (Corps)"/>
      </rPr>
      <t>après</t>
    </r>
    <r>
      <rPr>
        <b/>
        <sz val="11"/>
        <rFont val="Calibri (Corps)"/>
      </rPr>
      <t xml:space="preserve"> contrôle de la règle de non-profit</t>
    </r>
  </si>
  <si>
    <r>
      <t xml:space="preserve">Taux d'Aide Publique (TAP), </t>
    </r>
    <r>
      <rPr>
        <b/>
        <sz val="11"/>
        <color rgb="FFFF0000"/>
        <rFont val="Calibri (Corps)"/>
      </rPr>
      <t>après</t>
    </r>
    <r>
      <rPr>
        <b/>
        <sz val="11"/>
        <rFont val="Calibri (Corps)"/>
      </rPr>
      <t xml:space="preserve"> contrôle de la règle de non-profit</t>
    </r>
  </si>
  <si>
    <t>Montant de la part nationale à solliciter</t>
  </si>
  <si>
    <t>Apport du chef de file (autofinancement et emprunt)</t>
  </si>
  <si>
    <t>Investissement productif</t>
  </si>
  <si>
    <t>Investissement non productif</t>
  </si>
  <si>
    <t xml:space="preserve">TOTAL dépenses  éligibles prévisionnelles du chef de file </t>
  </si>
  <si>
    <t>Partie réservée à l'administration - Récapitulatif des dépenses de l'opération retenues à l'instruction
(saisies automatiques à corriger selon les modalités d'instruction)</t>
  </si>
  <si>
    <t>Montants Instruits</t>
  </si>
  <si>
    <t>Montants écartés</t>
  </si>
  <si>
    <t>Contrôles automatiques</t>
  </si>
  <si>
    <t>Intitulé de l'opération:</t>
  </si>
  <si>
    <r>
      <t xml:space="preserve">Le total des dépenses prévisionnelles de la demande d’aide ne peut pas dépasser 1 000 000 € HT
</t>
    </r>
    <r>
      <rPr>
        <b/>
        <sz val="18"/>
        <color rgb="FFFF0000"/>
        <rFont val="Calibri"/>
        <family val="2"/>
        <scheme val="minor"/>
      </rPr>
      <t>ATTENTION : Le respect de cette règle est une condition d'éligibilité du projet dans sa totalité</t>
    </r>
  </si>
  <si>
    <r>
      <t xml:space="preserve">Recettes prévisionnelles générées
</t>
    </r>
    <r>
      <rPr>
        <b/>
        <sz val="18"/>
        <color rgb="FFFF0000"/>
        <rFont val="Calibri"/>
        <family val="2"/>
        <scheme val="minor"/>
      </rPr>
      <t>(Dans le cas où les recettes sont à déduire du Montant total HT corriger les montants de la synthèse en conséquence)</t>
    </r>
  </si>
  <si>
    <r>
      <t xml:space="preserve">Plafond pour respecter le non-profit
</t>
    </r>
    <r>
      <rPr>
        <b/>
        <sz val="18"/>
        <color rgb="FFFF0000"/>
        <rFont val="Calibri"/>
        <family val="2"/>
        <scheme val="minor"/>
      </rPr>
      <t>Montant des contributions en nature + cofinancement privé &lt; ou = (Montant des dépenses éligibles retenues - Montant d'aide calculé avec TMAP)</t>
    </r>
  </si>
  <si>
    <t>Clé de répartition des dépenses par poste (avant application des règles d'intervention financières)</t>
  </si>
  <si>
    <t>Assiette PSN retenue
(donnée à titre informatif ne valant ni promesse d'attribution de l'aide, ni contractualisation des montants indiqués)</t>
  </si>
  <si>
    <r>
      <t xml:space="preserve">Conséquence des contributions en nature et cofinancement privé sur le montant d'aide publique
</t>
    </r>
    <r>
      <rPr>
        <b/>
        <sz val="18"/>
        <color rgb="FFFF0000"/>
        <rFont val="Calibri"/>
        <family val="2"/>
        <scheme val="minor"/>
      </rPr>
      <t>Au-delà du plafond ci-contre de contributions en nature et de cofinancement privé, le montant de l'aide publique est diminué</t>
    </r>
  </si>
  <si>
    <t>OCS (25% des dépenses directes)</t>
  </si>
  <si>
    <r>
      <t xml:space="preserve">Plafond de l'auto-construction en contribution en nature 
</t>
    </r>
    <r>
      <rPr>
        <b/>
        <sz val="18"/>
        <color rgb="FFFF0000"/>
        <rFont val="Calibri"/>
        <family val="2"/>
        <scheme val="minor"/>
      </rPr>
      <t>Les heures passées par le porteur de projet en autoconstruction ne doivent pas dépasser 50% des coûts hors taxes des matériaux et autres dépenses facturées en lien avec les travaux</t>
    </r>
  </si>
  <si>
    <t>Dépenses instruites</t>
  </si>
  <si>
    <t>Le plafond de l'auto-construction en contribution en nature est-il respecté ?</t>
  </si>
  <si>
    <t>Dépenses éligibles retenues (après RIF)</t>
  </si>
  <si>
    <t>INSTRUCTION DES COFINANCEURS AUTRES QUE FEADER ET REGION</t>
  </si>
  <si>
    <r>
      <t>Montant du cofinanceur</t>
    </r>
    <r>
      <rPr>
        <b/>
        <u/>
        <sz val="11"/>
        <color rgb="FFFF0000"/>
        <rFont val="Calibri (Corps)"/>
      </rPr>
      <t xml:space="preserve"> public</t>
    </r>
    <r>
      <rPr>
        <b/>
        <sz val="11"/>
        <rFont val="Calibri (Corps)"/>
      </rPr>
      <t xml:space="preserve"> autre que FEADER/Région, le cas échéant</t>
    </r>
  </si>
  <si>
    <t>Identité du/des cofinanceur(s)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</si>
  <si>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</si>
  <si>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1"/>
        <color rgb="FFFF0000"/>
        <rFont val="Calibri (Corps)"/>
      </rPr>
      <t>privé</t>
    </r>
    <r>
      <rPr>
        <b/>
        <u/>
        <sz val="11"/>
        <rFont val="Calibri (Corps)"/>
      </rPr>
      <t>,</t>
    </r>
    <r>
      <rPr>
        <b/>
        <sz val="11"/>
        <rFont val="Calibri (Corps)"/>
      </rPr>
      <t xml:space="preserve"> le cas échéant</t>
    </r>
  </si>
  <si>
    <t>Identité du/des cofinanceur(s) privé(s)</t>
  </si>
  <si>
    <t>Les décisions d'attribution des financements privés sont-elles obtenues en date du dépôt de la demande d'aide ?</t>
  </si>
  <si>
    <t>Attention, si le montant versé par le cofinanceur porte sur un périmètre différent du projet éligible au FEADER, il ne faut renseigner ici que le montant correspondant au périmètre du projet éligible au FEADER</t>
  </si>
  <si>
    <t xml:space="preserve"> </t>
  </si>
  <si>
    <t xml:space="preserve">CALCUL AUTOMATIQUE DE LA VENTILATION DES DEPENSES. L'INSTRUCTEUR PEUT CORRIGER DIRECTEMENT TOUT POINT DE CONTRÔLE LE CAS ECHEANT </t>
  </si>
  <si>
    <t>Part du type d'action productif et non-productif sur le total des dépenses instruites (en %)</t>
  </si>
  <si>
    <t>Taux d'Aide Publique (TAP) réglementaire du dispositif, équivalent au Taux Maximum d'Aide Publique (TMAP) le cas échéant</t>
  </si>
  <si>
    <r>
      <t xml:space="preserve">Montant d'aide calculé d'après le TMAP et </t>
    </r>
    <r>
      <rPr>
        <b/>
        <sz val="11"/>
        <color rgb="FFFF0000"/>
        <rFont val="Calibri"/>
        <family val="2"/>
      </rPr>
      <t>avant</t>
    </r>
    <r>
      <rPr>
        <b/>
        <sz val="11"/>
        <rFont val="Calibri"/>
        <family val="2"/>
      </rPr>
      <t xml:space="preserve"> vérification du montant des contributions en nature</t>
    </r>
  </si>
  <si>
    <r>
      <t xml:space="preserve">Part du type d'action sur le total du montant d'aide publique </t>
    </r>
    <r>
      <rPr>
        <b/>
        <sz val="11"/>
        <color rgb="FFFF0000"/>
        <rFont val="Calibri"/>
        <family val="2"/>
      </rPr>
      <t>avant</t>
    </r>
    <r>
      <rPr>
        <b/>
        <sz val="11"/>
        <rFont val="Calibri"/>
        <family val="2"/>
      </rPr>
      <t xml:space="preserve"> contrôle de la règle de non-profit (en %)</t>
    </r>
  </si>
  <si>
    <t>Contributions en nature éligibles retenues</t>
  </si>
  <si>
    <r>
      <t xml:space="preserve">Montant d'aide publique </t>
    </r>
    <r>
      <rPr>
        <b/>
        <sz val="11"/>
        <color rgb="FFFF0000"/>
        <rFont val="Calibri"/>
        <family val="2"/>
        <scheme val="minor"/>
      </rPr>
      <t>après</t>
    </r>
    <r>
      <rPr>
        <b/>
        <sz val="11"/>
        <rFont val="Calibri"/>
        <family val="2"/>
        <scheme val="minor"/>
      </rPr>
      <t xml:space="preserve"> contrôle de la règle de non-profit</t>
    </r>
  </si>
  <si>
    <r>
      <t xml:space="preserve">Taux d'Aide Publique (TAP) réglementaire du dispositif, </t>
    </r>
    <r>
      <rPr>
        <b/>
        <sz val="11"/>
        <color rgb="FFFF0000"/>
        <rFont val="Calibri"/>
        <family val="2"/>
        <scheme val="minor"/>
      </rPr>
      <t>après</t>
    </r>
    <r>
      <rPr>
        <b/>
        <sz val="11"/>
        <rFont val="Calibri"/>
        <family val="2"/>
        <scheme val="minor"/>
      </rPr>
      <t xml:space="preserve"> contrôle de la règle de non-profit</t>
    </r>
  </si>
  <si>
    <r>
      <t>Montant du financeur public autre que FEADER/Région, le cas échéant (</t>
    </r>
    <r>
      <rPr>
        <b/>
        <sz val="11"/>
        <color rgb="FFFF0000"/>
        <rFont val="Calibri"/>
        <family val="2"/>
      </rPr>
      <t>Attention, si l'assiette est différente de celle du FEADER il convient de tracer l'instruction dans un document séparé</t>
    </r>
    <r>
      <rPr>
        <b/>
        <sz val="11"/>
        <rFont val="Calibri"/>
        <family val="2"/>
      </rPr>
      <t>)</t>
    </r>
  </si>
  <si>
    <t>% de l'apport et du financement externe d'origine privée (hors contribution en nature et du financement externe d'origine privée)</t>
  </si>
  <si>
    <t>Calcul automatique</t>
  </si>
  <si>
    <t>TAP réglementaire du dispositif x Dépenses présentées
(étape nécessaire aux calculs)</t>
  </si>
  <si>
    <r>
      <t xml:space="preserve">Saisie automatique en fonction des montants </t>
    </r>
    <r>
      <rPr>
        <b/>
        <sz val="11"/>
        <color rgb="FFFF0000"/>
        <rFont val="Calibri"/>
        <family val="2"/>
      </rPr>
      <t>(à corriger à l'aide du menu déroulant et en fonction des modalités d'instruction)</t>
    </r>
  </si>
  <si>
    <t xml:space="preserve">
Taux établit par la stratégie régionale dans le cadre de cette intervention</t>
  </si>
  <si>
    <r>
      <t xml:space="preserve">Saisie automatique </t>
    </r>
    <r>
      <rPr>
        <b/>
        <i/>
        <sz val="11"/>
        <color rgb="FFFF0000"/>
        <rFont val="Calibri"/>
        <family val="2"/>
      </rPr>
      <t>(à corriger dans le cas où le montant du financeur public autre que FEADER/Région est supérieur à la part nationale, mais que la Région participe également à la part nationale)</t>
    </r>
    <r>
      <rPr>
        <b/>
        <i/>
        <sz val="11"/>
        <rFont val="Calibri"/>
        <family val="2"/>
      </rPr>
      <t>.</t>
    </r>
  </si>
  <si>
    <t xml:space="preserve">Emprunt + auto-financement  </t>
  </si>
  <si>
    <t>En cohérence avec le guide des procédures et la note de procédure pour l'instruction du plan de financement, préciser ici l'analyse effectuée et justifier les éventuels écarts avec les montants présentés. Il s'agira en particulier:
- d'identifier si les assiettes éligibles des différents financeurs nationaux recouvrent, en tout ou en partie, l’assiette PSR.
- pour les aides publiques nationales, vérifier le montant exact des contributions apportées spécifiquement sur l’assiette PSR.</t>
  </si>
  <si>
    <t>Investissements productifs</t>
  </si>
  <si>
    <t>Investissements non-productifs</t>
  </si>
  <si>
    <t>Postes de dépense</t>
  </si>
  <si>
    <t>Montant instruit</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</si>
  <si>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</si>
  <si>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</si>
  <si>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</si>
  <si>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</si>
  <si>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</si>
  <si>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PARTENAIRES</t>
  </si>
  <si>
    <t>Partenaire 8</t>
  </si>
  <si>
    <t>Partenaire 9</t>
  </si>
  <si>
    <t>Partenaire 10</t>
  </si>
  <si>
    <t>Annexe financière à la Décision Juridique</t>
  </si>
  <si>
    <t>version 1 - Octobre 2025</t>
  </si>
  <si>
    <t xml:space="preserve">1. Synthèse des dépenses </t>
  </si>
  <si>
    <t>2. Synthèse des ressources instruites</t>
  </si>
  <si>
    <t>Taux d'aide publique indicatif</t>
  </si>
  <si>
    <t>Par poste de dépense</t>
  </si>
  <si>
    <t>Montant d'aide publique</t>
  </si>
  <si>
    <t>A-Recettes</t>
  </si>
  <si>
    <t>dont FEADER</t>
  </si>
  <si>
    <t>1-Frais de personnel</t>
  </si>
  <si>
    <t>dont Contrepartie nationale (Région)</t>
  </si>
  <si>
    <t>2.1-Investissements</t>
  </si>
  <si>
    <t xml:space="preserve">dont Montant du financeur public autre que FEADER/Région, le cas échéant </t>
  </si>
  <si>
    <t>2.2-Amortissements</t>
  </si>
  <si>
    <t>dont montant du top-up le cas échéant</t>
  </si>
  <si>
    <t>3-Frais généraux</t>
  </si>
  <si>
    <t xml:space="preserve">Montant total apport bénéficiaire </t>
  </si>
  <si>
    <t>4- Déplacement et hébergement</t>
  </si>
  <si>
    <t>5-Contribution en nature</t>
  </si>
  <si>
    <t>6-Coûts participations agri</t>
  </si>
  <si>
    <t>7-OCS</t>
  </si>
  <si>
    <t>Par type d'action</t>
  </si>
  <si>
    <t>3. Détail des dépenses instruites par poste de dépense</t>
  </si>
  <si>
    <t xml:space="preserve">Numéro </t>
  </si>
  <si>
    <t xml:space="preserve">Caractéristique supplémentaire </t>
  </si>
  <si>
    <t>Montant éligible retenu</t>
  </si>
  <si>
    <t>NC.</t>
  </si>
  <si>
    <t>Amortissements</t>
  </si>
  <si>
    <t>Contributions en nature</t>
  </si>
  <si>
    <t>Taux forfaitaires coûts indirects</t>
  </si>
  <si>
    <t>N.C</t>
  </si>
  <si>
    <t xml:space="preserve">NC. </t>
  </si>
  <si>
    <t>Coûts de participation agriculteurs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</si>
</sst>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quot;_);\(#,##0.00\ &quot;€&quot;\)"/>
    <numFmt numFmtId="165" formatCode="#,##0.00\ &quot;€&quot;;\-#,##0.00\ &quot;€&quot;"/>
    <numFmt numFmtId="166" formatCode="#,##0.00\ &quot;€&quot;;[Red]\-#,##0.00\ &quot;€&quot;"/>
    <numFmt numFmtId="167" formatCode="_-* #,##0.00\ &quot;€&quot;_-;\-* #,##0.00\ &quot;€&quot;_-;_-* &quot;-&quot;??\ &quot;€&quot;_-;_-@_-"/>
    <numFmt numFmtId="168" formatCode="_-* #,##0.00\ [$€-1]_-;\-* #,##0.00\ [$€-1]_-;_-* &quot;-&quot;??\ [$€-1]_-;_-@_-"/>
    <numFmt numFmtId="169" formatCode="_-* #,##0.00&quot; €&quot;_-;\-* #,##0.00&quot; €&quot;_-;_-* &quot;-&quot;??&quot; €&quot;_-;_-@_-"/>
    <numFmt numFmtId="170" formatCode="_-* #,##0.00&quot; €&quot;_-;\-* #,##0.00&quot; €&quot;_-;_-* &quot;-?? €&quot;_-;_-@_-"/>
    <numFmt numFmtId="171" formatCode="#,##0.00\ &quot;€&quot;"/>
    <numFmt numFmtId="172" formatCode="_-* #,##0.00\ [$€-40C]_-;\-* #,##0.00\ [$€-40C]_-;_-* &quot;-&quot;??\ [$€-40C]_-;_-@_-"/>
  </numFmts>
  <fonts count="121">
    <font>
      <sz val="11"/>
      <color theme="1"/>
      <name val="Calibri"/>
      <family val="2"/>
      <scheme val="minor"/>
    </font>
    <font>
      <sz val="12"/>
      <color theme="1"/>
      <name val="Calibri"/>
      <family val="2"/>
      <scheme val="minor"/>
    </font>
    <font>
      <sz val="11"/>
      <color theme="1"/>
      <name val="Calibri"/>
      <family val="2"/>
      <scheme val="minor"/>
    </font>
    <font>
      <sz val="10"/>
      <name val="Arial"/>
      <family val="2"/>
    </font>
    <font>
      <sz val="14"/>
      <name val="Wingdings"/>
      <charset val="2"/>
    </font>
    <font>
      <b/>
      <sz val="11"/>
      <name val="Calibri"/>
      <family val="2"/>
    </font>
    <font>
      <sz val="11"/>
      <name val="Calibri"/>
      <family val="2"/>
    </font>
    <font>
      <b/>
      <sz val="11"/>
      <color theme="1"/>
      <name val="Calibri"/>
      <family val="2"/>
      <scheme val="minor"/>
    </font>
    <font>
      <b/>
      <sz val="14"/>
      <color theme="1"/>
      <name val="Calibri"/>
      <family val="2"/>
      <scheme val="minor"/>
    </font>
    <font>
      <i/>
      <sz val="11"/>
      <color theme="1"/>
      <name val="Calibri"/>
      <family val="2"/>
      <scheme val="minor"/>
    </font>
    <font>
      <b/>
      <sz val="11"/>
      <name val="Calibri"/>
      <family val="2"/>
      <scheme val="minor"/>
    </font>
    <font>
      <sz val="11"/>
      <color rgb="FFC00000"/>
      <name val="Calibri"/>
      <family val="2"/>
      <scheme val="minor"/>
    </font>
    <font>
      <b/>
      <sz val="11"/>
      <color rgb="FFC00000"/>
      <name val="Calibri"/>
      <family val="2"/>
      <scheme val="minor"/>
    </font>
    <font>
      <b/>
      <sz val="16"/>
      <color theme="1"/>
      <name val="Calibri"/>
      <family val="2"/>
      <scheme val="minor"/>
    </font>
    <font>
      <sz val="11"/>
      <name val="Calibri"/>
      <family val="2"/>
      <scheme val="minor"/>
    </font>
    <font>
      <b/>
      <sz val="16"/>
      <name val="Calibri"/>
      <family val="2"/>
    </font>
    <font>
      <i/>
      <sz val="11"/>
      <name val="Calibri"/>
      <family val="2"/>
      <scheme val="minor"/>
    </font>
    <font>
      <b/>
      <i/>
      <sz val="11"/>
      <name val="Calibri"/>
      <family val="2"/>
      <scheme val="minor"/>
    </font>
    <font>
      <b/>
      <sz val="18"/>
      <color theme="1"/>
      <name val="Calibri"/>
      <family val="2"/>
      <scheme val="minor"/>
    </font>
    <font>
      <b/>
      <sz val="11"/>
      <color rgb="FF0070C0"/>
      <name val="Calibri"/>
      <family val="2"/>
      <scheme val="minor"/>
    </font>
    <font>
      <sz val="11"/>
      <color rgb="FF0070C0"/>
      <name val="Calibri"/>
      <family val="2"/>
      <scheme val="minor"/>
    </font>
    <font>
      <b/>
      <sz val="20"/>
      <name val="Calibri"/>
      <family val="2"/>
      <scheme val="minor"/>
    </font>
    <font>
      <sz val="10"/>
      <name val="Calibri"/>
      <family val="2"/>
      <scheme val="minor"/>
    </font>
    <font>
      <sz val="10"/>
      <color theme="1"/>
      <name val="Calibri"/>
      <family val="2"/>
      <scheme val="minor"/>
    </font>
    <font>
      <sz val="10"/>
      <color rgb="FFFF0000"/>
      <name val="Calibri"/>
      <family val="2"/>
      <scheme val="minor"/>
    </font>
    <font>
      <b/>
      <i/>
      <sz val="11"/>
      <name val="Calibri"/>
      <family val="2"/>
    </font>
    <font>
      <sz val="14"/>
      <color theme="1"/>
      <name val="Calibri"/>
      <family val="2"/>
      <scheme val="minor"/>
    </font>
    <font>
      <b/>
      <sz val="20"/>
      <color theme="1"/>
      <name val="Calibri"/>
      <family val="2"/>
      <scheme val="minor"/>
    </font>
    <font>
      <sz val="14"/>
      <name val="Calibri"/>
      <family val="2"/>
      <scheme val="minor"/>
    </font>
    <font>
      <i/>
      <sz val="10"/>
      <name val="Calibri"/>
      <family val="2"/>
      <scheme val="minor"/>
    </font>
    <font>
      <sz val="9"/>
      <name val="Calibri"/>
      <family val="2"/>
      <scheme val="minor"/>
    </font>
    <font>
      <sz val="8"/>
      <name val="Calibri"/>
      <family val="2"/>
      <scheme val="minor"/>
    </font>
    <font>
      <b/>
      <u/>
      <sz val="10"/>
      <name val="Calibri"/>
      <family val="2"/>
      <scheme val="minor"/>
    </font>
    <font>
      <sz val="14"/>
      <color rgb="FFFF0000"/>
      <name val="Calibri"/>
      <family val="2"/>
      <scheme val="minor"/>
    </font>
    <font>
      <b/>
      <u/>
      <sz val="10"/>
      <color rgb="FFFF0000"/>
      <name val="Calibri"/>
      <family val="2"/>
      <scheme val="minor"/>
    </font>
    <font>
      <b/>
      <i/>
      <sz val="12"/>
      <color theme="1"/>
      <name val="Calibri"/>
      <family val="2"/>
      <scheme val="minor"/>
    </font>
    <font>
      <b/>
      <sz val="20"/>
      <color theme="0"/>
      <name val="Calibri"/>
      <family val="2"/>
      <scheme val="minor"/>
    </font>
    <font>
      <b/>
      <sz val="14"/>
      <name val="Calibri"/>
      <family val="2"/>
      <scheme val="minor"/>
    </font>
    <font>
      <b/>
      <i/>
      <sz val="11"/>
      <color theme="1"/>
      <name val="Calibri"/>
      <family val="2"/>
      <scheme val="minor"/>
    </font>
    <font>
      <b/>
      <sz val="18"/>
      <name val="Calibri"/>
      <family val="2"/>
      <scheme val="minor"/>
    </font>
    <font>
      <b/>
      <sz val="16"/>
      <name val="Calibri"/>
      <family val="2"/>
      <scheme val="minor"/>
    </font>
    <font>
      <sz val="12"/>
      <name val="Calibri"/>
      <family val="2"/>
      <scheme val="minor"/>
    </font>
    <font>
      <sz val="10"/>
      <color rgb="FFC00000"/>
      <name val="Calibri"/>
      <family val="2"/>
      <scheme val="minor"/>
    </font>
    <font>
      <b/>
      <sz val="16"/>
      <color rgb="FF002060"/>
      <name val="Calibri"/>
      <family val="2"/>
      <scheme val="minor"/>
    </font>
    <font>
      <b/>
      <sz val="16"/>
      <color theme="1" tint="0.499984740745262"/>
      <name val="Calibri"/>
      <family val="2"/>
      <scheme val="minor"/>
    </font>
    <font>
      <b/>
      <sz val="22"/>
      <color theme="1"/>
      <name val="Calibri"/>
      <family val="2"/>
      <scheme val="minor"/>
    </font>
    <font>
      <b/>
      <sz val="12"/>
      <color theme="1"/>
      <name val="Calibri"/>
      <family val="2"/>
      <scheme val="minor"/>
    </font>
    <font>
      <b/>
      <sz val="14"/>
      <color rgb="FFFF0000"/>
      <name val="Calibri"/>
      <family val="2"/>
      <scheme val="minor"/>
    </font>
    <font>
      <b/>
      <sz val="16"/>
      <color rgb="FFFF0000"/>
      <name val="Calibri"/>
      <family val="2"/>
      <scheme val="minor"/>
    </font>
    <font>
      <b/>
      <u/>
      <sz val="14"/>
      <color rgb="FFFF0000"/>
      <name val="Calibri"/>
      <family val="2"/>
      <scheme val="minor"/>
    </font>
    <font>
      <u/>
      <sz val="12"/>
      <color theme="1"/>
      <name val="Calibri"/>
      <family val="2"/>
      <scheme val="minor"/>
    </font>
    <font>
      <b/>
      <sz val="12"/>
      <color rgb="FFFF0000"/>
      <name val="Calibri"/>
      <family val="2"/>
      <scheme val="minor"/>
    </font>
    <font>
      <sz val="12"/>
      <color rgb="FFFF0000"/>
      <name val="Calibri"/>
      <family val="2"/>
      <scheme val="minor"/>
    </font>
    <font>
      <u/>
      <sz val="12"/>
      <color rgb="FFFF0000"/>
      <name val="Calibri"/>
      <family val="2"/>
      <scheme val="minor"/>
    </font>
    <font>
      <i/>
      <u/>
      <sz val="10"/>
      <name val="Calibri"/>
      <family val="2"/>
      <scheme val="minor"/>
    </font>
    <font>
      <u/>
      <sz val="10"/>
      <name val="Calibri"/>
      <family val="2"/>
      <scheme val="minor"/>
    </font>
    <font>
      <b/>
      <i/>
      <sz val="10"/>
      <color rgb="FFC00000"/>
      <name val="Calibri"/>
      <family val="2"/>
      <scheme val="minor"/>
    </font>
    <font>
      <b/>
      <i/>
      <sz val="11"/>
      <color rgb="FFFF0000"/>
      <name val="Calibri"/>
      <family val="2"/>
    </font>
    <font>
      <sz val="16"/>
      <color theme="1"/>
      <name val="Calibri"/>
      <family val="2"/>
      <scheme val="minor"/>
    </font>
    <font>
      <b/>
      <sz val="10"/>
      <name val="Calibri"/>
      <family val="2"/>
      <scheme val="minor"/>
    </font>
    <font>
      <b/>
      <sz val="11"/>
      <color rgb="FFFF0000"/>
      <name val="Calibri"/>
      <family val="2"/>
    </font>
    <font>
      <i/>
      <sz val="10"/>
      <color rgb="FFFF0000"/>
      <name val="Calibri"/>
      <family val="2"/>
      <scheme val="minor"/>
    </font>
    <font>
      <b/>
      <sz val="11"/>
      <color rgb="FFFF0000"/>
      <name val="Calibri"/>
      <family val="2"/>
      <scheme val="minor"/>
    </font>
    <font>
      <b/>
      <sz val="16"/>
      <color rgb="FF000000"/>
      <name val="Calibri"/>
      <family val="2"/>
      <scheme val="minor"/>
    </font>
    <font>
      <b/>
      <sz val="9"/>
      <name val="Tahoma"/>
      <family val="2"/>
    </font>
    <font>
      <sz val="11"/>
      <color rgb="FF000000"/>
      <name val="Calibri"/>
      <family val="2"/>
      <scheme val="minor"/>
    </font>
    <font>
      <i/>
      <sz val="11"/>
      <color rgb="FFFF0000"/>
      <name val="Calibri"/>
      <family val="2"/>
      <scheme val="minor"/>
    </font>
    <font>
      <b/>
      <sz val="14"/>
      <color rgb="FFC00000"/>
      <name val="Calibri"/>
      <family val="2"/>
      <scheme val="minor"/>
    </font>
    <font>
      <sz val="14"/>
      <color rgb="FFC00000"/>
      <name val="Calibri (Corps)"/>
    </font>
    <font>
      <b/>
      <u/>
      <sz val="11"/>
      <color rgb="FFC00000"/>
      <name val="Calibri (Corps)"/>
    </font>
    <font>
      <b/>
      <sz val="20"/>
      <name val="Calibri (Corps)"/>
    </font>
    <font>
      <b/>
      <sz val="10"/>
      <color rgb="FFC00000"/>
      <name val="Calibri"/>
      <family val="2"/>
      <scheme val="minor"/>
    </font>
    <font>
      <b/>
      <sz val="18"/>
      <color rgb="FFFF0000"/>
      <name val="Calibri"/>
      <family val="2"/>
      <scheme val="minor"/>
    </font>
    <font>
      <b/>
      <sz val="22"/>
      <color theme="0"/>
      <name val="Calibri"/>
      <family val="2"/>
      <scheme val="minor"/>
    </font>
    <font>
      <b/>
      <sz val="11"/>
      <color theme="0"/>
      <name val="Calibri"/>
      <family val="2"/>
      <scheme val="minor"/>
    </font>
    <font>
      <sz val="11"/>
      <color theme="1"/>
      <name val="Calibri"/>
      <family val="2"/>
    </font>
    <font>
      <b/>
      <sz val="11"/>
      <name val="Calibri (Corps)"/>
    </font>
    <font>
      <b/>
      <sz val="16"/>
      <color theme="0"/>
      <name val="Calibri"/>
      <family val="2"/>
      <scheme val="minor"/>
    </font>
    <font>
      <b/>
      <sz val="11"/>
      <color rgb="FF000000"/>
      <name val="Calibri"/>
      <family val="2"/>
    </font>
    <font>
      <b/>
      <u/>
      <sz val="11"/>
      <color theme="0"/>
      <name val="Calibri"/>
      <family val="2"/>
      <scheme val="minor"/>
    </font>
    <font>
      <sz val="18"/>
      <color theme="1"/>
      <name val="Calibri (Corps)"/>
    </font>
    <font>
      <b/>
      <sz val="18"/>
      <color theme="1"/>
      <name val="Calibri (Corps)"/>
    </font>
    <font>
      <sz val="11"/>
      <color theme="1"/>
      <name val="Calibri (Corps)"/>
    </font>
    <font>
      <b/>
      <sz val="11"/>
      <color theme="1"/>
      <name val="Calibri (Corps)"/>
    </font>
    <font>
      <sz val="11"/>
      <color rgb="FF000000"/>
      <name val="Calibri"/>
      <family val="2"/>
    </font>
    <font>
      <b/>
      <u/>
      <sz val="11"/>
      <color rgb="FFFF0000"/>
      <name val="Calibri (Corps)"/>
    </font>
    <font>
      <b/>
      <u/>
      <sz val="11"/>
      <name val="Calibri (Corps)"/>
    </font>
    <font>
      <i/>
      <sz val="11"/>
      <name val="Calibri (Corps)"/>
    </font>
    <font>
      <b/>
      <i/>
      <sz val="11"/>
      <name val="Calibri (Corps)"/>
    </font>
    <font>
      <b/>
      <sz val="11"/>
      <color rgb="FF000000"/>
      <name val="Calibri (Corps)"/>
    </font>
    <font>
      <b/>
      <sz val="12"/>
      <color rgb="FF000000"/>
      <name val="Calibri"/>
      <family val="2"/>
      <scheme val="minor"/>
    </font>
    <font>
      <b/>
      <i/>
      <sz val="12"/>
      <color rgb="FFFF0000"/>
      <name val="Calibri"/>
      <family val="2"/>
      <scheme val="minor"/>
    </font>
    <font>
      <b/>
      <sz val="16"/>
      <color rgb="FF808080"/>
      <name val="Calibri"/>
      <family val="2"/>
      <scheme val="minor"/>
    </font>
    <font>
      <i/>
      <sz val="16"/>
      <color theme="1"/>
      <name val="Calibri"/>
      <family val="2"/>
      <scheme val="minor"/>
    </font>
    <font>
      <sz val="14"/>
      <color rgb="FF000000"/>
      <name val="Calibri"/>
      <family val="2"/>
      <scheme val="minor"/>
    </font>
    <font>
      <b/>
      <sz val="14"/>
      <color rgb="FF000000"/>
      <name val="Calibri"/>
      <family val="2"/>
      <scheme val="minor"/>
    </font>
    <font>
      <b/>
      <i/>
      <sz val="14"/>
      <color theme="1"/>
      <name val="Calibri"/>
      <family val="2"/>
      <scheme val="minor"/>
    </font>
    <font>
      <b/>
      <sz val="14"/>
      <color rgb="FF000000"/>
      <name val="Calibri"/>
      <family val="2"/>
    </font>
    <font>
      <sz val="14"/>
      <color rgb="FF000000"/>
      <name val="Calibri"/>
      <family val="2"/>
    </font>
    <font>
      <i/>
      <sz val="14"/>
      <color rgb="FF000000"/>
      <name val="Calibri"/>
      <family val="2"/>
    </font>
    <font>
      <b/>
      <sz val="14"/>
      <name val="Calibri"/>
      <family val="2"/>
    </font>
    <font>
      <b/>
      <u/>
      <sz val="14"/>
      <color rgb="FFFF0000"/>
      <name val="Calibri"/>
      <family val="2"/>
    </font>
    <font>
      <b/>
      <u/>
      <sz val="14"/>
      <name val="Calibri"/>
      <family val="2"/>
    </font>
    <font>
      <b/>
      <i/>
      <sz val="14"/>
      <name val="Calibri"/>
      <family val="2"/>
    </font>
    <font>
      <b/>
      <i/>
      <sz val="14"/>
      <name val="Calibri"/>
      <family val="2"/>
      <scheme val="minor"/>
    </font>
    <font>
      <sz val="18"/>
      <color theme="1"/>
      <name val="Calibri"/>
      <family val="2"/>
      <scheme val="minor"/>
    </font>
    <font>
      <b/>
      <i/>
      <sz val="18"/>
      <color theme="1"/>
      <name val="Calibri"/>
      <family val="2"/>
      <scheme val="minor"/>
    </font>
    <font>
      <b/>
      <sz val="25"/>
      <color theme="0"/>
      <name val="Calibri"/>
      <family val="2"/>
      <scheme val="minor"/>
    </font>
    <font>
      <b/>
      <sz val="11"/>
      <color rgb="FFFF0000"/>
      <name val="Calibri (Corps)"/>
    </font>
    <font>
      <b/>
      <sz val="11"/>
      <color theme="1"/>
      <name val="Calibri"/>
      <family val="2"/>
    </font>
    <font>
      <b/>
      <sz val="16"/>
      <color rgb="FF000000"/>
      <name val="Tahoma"/>
      <family val="2"/>
    </font>
    <font>
      <b/>
      <sz val="11"/>
      <color rgb="FF000000"/>
      <name val="Calibri"/>
      <family val="2"/>
      <scheme val="minor"/>
    </font>
    <font>
      <sz val="12"/>
      <color rgb="FF000000"/>
      <name val="Calibri"/>
      <family val="2"/>
    </font>
    <font>
      <b/>
      <sz val="12"/>
      <color rgb="FF000000"/>
      <name val="Calibri"/>
      <family val="2"/>
    </font>
    <font>
      <sz val="12"/>
      <color rgb="FF404040"/>
      <name val="Source Sans Pro"/>
      <family val="2"/>
    </font>
    <font>
      <b/>
      <i/>
      <sz val="11"/>
      <color rgb="FFFF0000"/>
      <name val="Calibri"/>
      <family val="2"/>
      <scheme val="minor"/>
    </font>
    <font>
      <i/>
      <sz val="11"/>
      <color rgb="FF000000"/>
      <name val="Calibri"/>
      <family val="2"/>
      <scheme val="minor"/>
    </font>
    <font>
      <sz val="20"/>
      <color theme="0"/>
      <name val="Calibri"/>
      <family val="2"/>
      <scheme val="minor"/>
    </font>
    <font>
      <u/>
      <sz val="11"/>
      <color theme="10"/>
      <name val="Calibri"/>
      <family val="2"/>
      <scheme val="minor"/>
    </font>
    <font>
      <b/>
      <i/>
      <sz val="16"/>
      <color theme="1"/>
      <name val="Calibri"/>
      <family val="2"/>
      <scheme val="minor"/>
    </font>
    <font>
      <b/>
      <sz val="14"/>
      <color rgb="FF000000"/>
      <name val="Tahoma"/>
      <family val="2"/>
    </font>
  </fonts>
  <fills count="4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D0CECE"/>
        <bgColor rgb="FF000000"/>
      </patternFill>
    </fill>
    <fill>
      <patternFill patternType="solid">
        <fgColor theme="0" tint="-0.249977111117893"/>
        <bgColor indexed="64"/>
      </patternFill>
    </fill>
    <fill>
      <patternFill patternType="solid">
        <fgColor rgb="FFDDEBF7"/>
        <bgColor rgb="FF000000"/>
      </patternFill>
    </fill>
    <fill>
      <patternFill patternType="solid">
        <fgColor rgb="FFE2EFDA"/>
        <bgColor rgb="FF000000"/>
      </patternFill>
    </fill>
    <fill>
      <patternFill patternType="solid">
        <fgColor rgb="FFFFFFFF"/>
        <bgColor rgb="FF000000"/>
      </patternFill>
    </fill>
    <fill>
      <patternFill patternType="solid">
        <fgColor rgb="FFFDE9D9"/>
        <bgColor rgb="FF000000"/>
      </patternFill>
    </fill>
    <fill>
      <patternFill patternType="solid">
        <fgColor rgb="FFF2F2F2"/>
        <bgColor rgb="FF000000"/>
      </patternFill>
    </fill>
    <fill>
      <patternFill patternType="solid">
        <fgColor rgb="FFDCE6F1"/>
        <bgColor rgb="FF000000"/>
      </patternFill>
    </fill>
    <fill>
      <patternFill patternType="solid">
        <fgColor rgb="FFA6A6A6"/>
        <bgColor rgb="FF000000"/>
      </patternFill>
    </fill>
    <fill>
      <patternFill patternType="solid">
        <fgColor theme="9" tint="0.39997558519241921"/>
        <bgColor rgb="FF000000"/>
      </patternFill>
    </fill>
    <fill>
      <patternFill patternType="solid">
        <fgColor rgb="FFF9F3A1"/>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0"/>
        <bgColor rgb="FF000000"/>
      </patternFill>
    </fill>
    <fill>
      <patternFill patternType="solid">
        <fgColor rgb="FFEBF1DE"/>
        <bgColor rgb="FF000000"/>
      </patternFill>
    </fill>
    <fill>
      <patternFill patternType="solid">
        <fgColor theme="6" tint="0.39997558519241921"/>
        <bgColor indexed="64"/>
      </patternFill>
    </fill>
    <fill>
      <patternFill patternType="solid">
        <fgColor rgb="FF9BBB59"/>
        <bgColor rgb="FF000000"/>
      </patternFill>
    </fill>
    <fill>
      <patternFill patternType="solid">
        <fgColor rgb="FFC4D79B"/>
        <bgColor rgb="FF000000"/>
      </patternFill>
    </fill>
    <fill>
      <patternFill patternType="solid">
        <fgColor rgb="FF5FAF7A"/>
        <bgColor indexed="64"/>
      </patternFill>
    </fill>
    <fill>
      <patternFill patternType="solid">
        <fgColor theme="0" tint="-0.249977111117893"/>
        <bgColor rgb="FF000000"/>
      </patternFill>
    </fill>
    <fill>
      <patternFill patternType="solid">
        <fgColor theme="5"/>
        <bgColor indexed="64"/>
      </patternFill>
    </fill>
    <fill>
      <patternFill patternType="solid">
        <fgColor rgb="FFFFFF00"/>
        <bgColor rgb="FF000000"/>
      </patternFill>
    </fill>
    <fill>
      <patternFill patternType="solid">
        <fgColor theme="3"/>
        <bgColor indexed="64"/>
      </patternFill>
    </fill>
    <fill>
      <patternFill patternType="solid">
        <fgColor theme="5" tint="0.79998168889431442"/>
        <bgColor rgb="FF000000"/>
      </patternFill>
    </fill>
    <fill>
      <patternFill patternType="solid">
        <fgColor theme="2" tint="-0.249977111117893"/>
        <bgColor indexed="64"/>
      </patternFill>
    </fill>
    <fill>
      <patternFill patternType="solid">
        <fgColor rgb="FFFFC000"/>
        <bgColor indexed="64"/>
      </patternFill>
    </fill>
    <fill>
      <patternFill patternType="solid">
        <fgColor theme="6"/>
        <bgColor rgb="FF000000"/>
      </patternFill>
    </fill>
    <fill>
      <patternFill patternType="solid">
        <fgColor theme="6"/>
        <bgColor indexed="64"/>
      </patternFill>
    </fill>
    <fill>
      <patternFill patternType="solid">
        <fgColor theme="6" tint="0.79998168889431442"/>
        <bgColor indexed="64"/>
      </patternFill>
    </fill>
    <fill>
      <patternFill patternType="solid">
        <fgColor theme="2" tint="-9.9978637043366805E-2"/>
        <bgColor rgb="FF000000"/>
      </patternFill>
    </fill>
  </fills>
  <borders count="318">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style="medium">
        <color theme="4"/>
      </left>
      <right style="thin">
        <color indexed="64"/>
      </right>
      <top style="thin">
        <color indexed="64"/>
      </top>
      <bottom style="thin">
        <color indexed="64"/>
      </bottom>
      <diagonal/>
    </border>
    <border>
      <left style="medium">
        <color theme="4"/>
      </left>
      <right style="thin">
        <color indexed="64"/>
      </right>
      <top style="thin">
        <color indexed="64"/>
      </top>
      <bottom style="medium">
        <color indexed="64"/>
      </bottom>
      <diagonal/>
    </border>
    <border>
      <left style="medium">
        <color theme="4"/>
      </left>
      <right style="thin">
        <color indexed="64"/>
      </right>
      <top style="medium">
        <color indexed="64"/>
      </top>
      <bottom style="thin">
        <color indexed="64"/>
      </bottom>
      <diagonal/>
    </border>
    <border>
      <left style="medium">
        <color theme="5"/>
      </left>
      <right style="thin">
        <color indexed="64"/>
      </right>
      <top style="thin">
        <color indexed="64"/>
      </top>
      <bottom style="thin">
        <color indexed="64"/>
      </bottom>
      <diagonal/>
    </border>
    <border>
      <left style="medium">
        <color theme="5"/>
      </left>
      <right style="thin">
        <color indexed="64"/>
      </right>
      <top style="thin">
        <color indexed="64"/>
      </top>
      <bottom style="medium">
        <color indexed="64"/>
      </bottom>
      <diagonal/>
    </border>
    <border>
      <left style="medium">
        <color rgb="FFCC04A6"/>
      </left>
      <right style="thin">
        <color indexed="64"/>
      </right>
      <top style="thin">
        <color indexed="64"/>
      </top>
      <bottom style="thin">
        <color indexed="64"/>
      </bottom>
      <diagonal/>
    </border>
    <border>
      <left/>
      <right style="medium">
        <color rgb="FFCC04A6"/>
      </right>
      <top style="thin">
        <color indexed="64"/>
      </top>
      <bottom style="thin">
        <color indexed="64"/>
      </bottom>
      <diagonal/>
    </border>
    <border>
      <left style="medium">
        <color rgb="FFCC04A6"/>
      </left>
      <right style="thin">
        <color indexed="64"/>
      </right>
      <top style="thin">
        <color indexed="64"/>
      </top>
      <bottom style="medium">
        <color indexed="64"/>
      </bottom>
      <diagonal/>
    </border>
    <border>
      <left style="thin">
        <color indexed="64"/>
      </left>
      <right style="medium">
        <color theme="5"/>
      </right>
      <top style="medium">
        <color indexed="64"/>
      </top>
      <bottom style="thin">
        <color indexed="64"/>
      </bottom>
      <diagonal/>
    </border>
    <border>
      <left style="thin">
        <color indexed="64"/>
      </left>
      <right style="medium">
        <color theme="5"/>
      </right>
      <top style="thin">
        <color indexed="64"/>
      </top>
      <bottom style="thin">
        <color indexed="64"/>
      </bottom>
      <diagonal/>
    </border>
    <border>
      <left style="medium">
        <color theme="4"/>
      </left>
      <right style="thin">
        <color indexed="64"/>
      </right>
      <top/>
      <bottom style="thin">
        <color indexed="64"/>
      </bottom>
      <diagonal/>
    </border>
    <border>
      <left style="thin">
        <color indexed="64"/>
      </left>
      <right style="medium">
        <color theme="5"/>
      </right>
      <top/>
      <bottom style="thin">
        <color indexed="64"/>
      </bottom>
      <diagonal/>
    </border>
    <border>
      <left style="medium">
        <color theme="5"/>
      </left>
      <right style="thin">
        <color indexed="64"/>
      </right>
      <top/>
      <bottom style="thin">
        <color indexed="64"/>
      </bottom>
      <diagonal/>
    </border>
    <border>
      <left style="medium">
        <color rgb="FFCC04A6"/>
      </left>
      <right style="thin">
        <color indexed="64"/>
      </right>
      <top/>
      <bottom style="thin">
        <color indexed="64"/>
      </bottom>
      <diagonal/>
    </border>
    <border>
      <left/>
      <right style="medium">
        <color theme="5"/>
      </right>
      <top style="thin">
        <color indexed="64"/>
      </top>
      <bottom style="thin">
        <color indexed="64"/>
      </bottom>
      <diagonal/>
    </border>
    <border>
      <left style="medium">
        <color theme="4"/>
      </left>
      <right style="thin">
        <color indexed="64"/>
      </right>
      <top style="thin">
        <color indexed="64"/>
      </top>
      <bottom/>
      <diagonal/>
    </border>
    <border>
      <left style="medium">
        <color rgb="FFCC04A6"/>
      </left>
      <right style="thin">
        <color indexed="64"/>
      </right>
      <top style="thin">
        <color indexed="64"/>
      </top>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medium">
        <color indexed="64"/>
      </right>
      <top/>
      <bottom/>
      <diagonal/>
    </border>
    <border>
      <left/>
      <right style="medium">
        <color auto="1"/>
      </right>
      <top style="thin">
        <color indexed="64"/>
      </top>
      <bottom style="thin">
        <color indexed="64"/>
      </bottom>
      <diagonal/>
    </border>
    <border>
      <left style="thin">
        <color indexed="64"/>
      </left>
      <right style="medium">
        <color rgb="FFCC04A6"/>
      </right>
      <top/>
      <bottom style="thin">
        <color indexed="64"/>
      </bottom>
      <diagonal/>
    </border>
    <border>
      <left style="thin">
        <color indexed="64"/>
      </left>
      <right/>
      <top style="thin">
        <color indexed="64"/>
      </top>
      <bottom/>
      <diagonal/>
    </border>
    <border>
      <left style="medium">
        <color theme="5"/>
      </left>
      <right style="thin">
        <color indexed="64"/>
      </right>
      <top style="thin">
        <color indexed="64"/>
      </top>
      <bottom/>
      <diagonal/>
    </border>
    <border>
      <left style="thin">
        <color indexed="64"/>
      </left>
      <right style="medium">
        <color rgb="FFCC04A6"/>
      </right>
      <top style="thin">
        <color indexed="64"/>
      </top>
      <bottom/>
      <diagonal/>
    </border>
    <border>
      <left style="thin">
        <color theme="1"/>
      </left>
      <right style="thin">
        <color theme="1"/>
      </right>
      <top style="thin">
        <color theme="1"/>
      </top>
      <bottom style="thin">
        <color theme="1"/>
      </bottom>
      <diagonal/>
    </border>
    <border>
      <left style="thin">
        <color indexed="64"/>
      </left>
      <right style="medium">
        <color theme="1"/>
      </right>
      <top/>
      <bottom style="thin">
        <color indexed="64"/>
      </bottom>
      <diagonal/>
    </border>
    <border>
      <left style="medium">
        <color theme="1"/>
      </left>
      <right style="thin">
        <color indexed="64"/>
      </right>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right/>
      <top/>
      <bottom style="medium">
        <color theme="1"/>
      </bottom>
      <diagonal/>
    </border>
    <border>
      <left style="thin">
        <color indexed="64"/>
      </left>
      <right style="medium">
        <color theme="1"/>
      </right>
      <top/>
      <bottom style="medium">
        <color theme="1"/>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medium">
        <color theme="1"/>
      </left>
      <right style="thin">
        <color indexed="64"/>
      </right>
      <top/>
      <bottom/>
      <diagonal/>
    </border>
    <border>
      <left style="medium">
        <color theme="1"/>
      </left>
      <right/>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right/>
      <top style="medium">
        <color theme="1"/>
      </top>
      <bottom style="thin">
        <color theme="1"/>
      </bottom>
      <diagonal/>
    </border>
    <border>
      <left style="thin">
        <color theme="1"/>
      </left>
      <right style="medium">
        <color theme="1"/>
      </right>
      <top style="medium">
        <color theme="1"/>
      </top>
      <bottom style="thin">
        <color theme="1"/>
      </bottom>
      <diagonal/>
    </border>
    <border>
      <left/>
      <right style="thin">
        <color indexed="64"/>
      </right>
      <top style="thin">
        <color indexed="64"/>
      </top>
      <bottom style="medium">
        <color theme="1"/>
      </bottom>
      <diagonal/>
    </border>
    <border>
      <left style="thin">
        <color theme="1"/>
      </left>
      <right style="thin">
        <color theme="1"/>
      </right>
      <top style="thin">
        <color theme="1"/>
      </top>
      <bottom style="medium">
        <color theme="1"/>
      </bottom>
      <diagonal/>
    </border>
    <border>
      <left style="thin">
        <color indexed="64"/>
      </left>
      <right/>
      <top style="thin">
        <color indexed="64"/>
      </top>
      <bottom style="medium">
        <color theme="1"/>
      </bottom>
      <diagonal/>
    </border>
    <border>
      <left style="medium">
        <color indexed="64"/>
      </left>
      <right/>
      <top style="medium">
        <color indexed="64"/>
      </top>
      <bottom style="medium">
        <color theme="1"/>
      </bottom>
      <diagonal/>
    </border>
    <border>
      <left/>
      <right/>
      <top style="medium">
        <color indexed="64"/>
      </top>
      <bottom style="medium">
        <color theme="1"/>
      </bottom>
      <diagonal/>
    </border>
    <border>
      <left/>
      <right style="medium">
        <color indexed="64"/>
      </right>
      <top style="medium">
        <color indexed="64"/>
      </top>
      <bottom style="medium">
        <color theme="1"/>
      </bottom>
      <diagonal/>
    </border>
    <border>
      <left/>
      <right style="medium">
        <color theme="1"/>
      </right>
      <top/>
      <bottom/>
      <diagonal/>
    </border>
    <border>
      <left/>
      <right style="medium">
        <color theme="1"/>
      </right>
      <top style="medium">
        <color theme="1"/>
      </top>
      <bottom style="thin">
        <color theme="1"/>
      </bottom>
      <diagonal/>
    </border>
    <border>
      <left/>
      <right style="medium">
        <color theme="1"/>
      </right>
      <top style="thin">
        <color theme="1"/>
      </top>
      <bottom style="thin">
        <color theme="1"/>
      </bottom>
      <diagonal/>
    </border>
    <border>
      <left/>
      <right style="medium">
        <color theme="1"/>
      </right>
      <top/>
      <bottom style="medium">
        <color theme="1"/>
      </bottom>
      <diagonal/>
    </border>
    <border>
      <left/>
      <right/>
      <top/>
      <bottom style="thin">
        <color rgb="FF000000"/>
      </bottom>
      <diagonal/>
    </border>
    <border>
      <left style="thin">
        <color indexed="64"/>
      </left>
      <right style="thin">
        <color indexed="64"/>
      </right>
      <top style="thin">
        <color indexed="64"/>
      </top>
      <bottom style="medium">
        <color theme="1"/>
      </bottom>
      <diagonal/>
    </border>
    <border>
      <left/>
      <right/>
      <top style="medium">
        <color theme="1"/>
      </top>
      <bottom style="medium">
        <color indexed="64"/>
      </bottom>
      <diagonal/>
    </border>
    <border>
      <left/>
      <right style="medium">
        <color theme="1"/>
      </right>
      <top style="medium">
        <color theme="1"/>
      </top>
      <bottom style="medium">
        <color indexed="64"/>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style="medium">
        <color indexed="64"/>
      </bottom>
      <diagonal/>
    </border>
    <border>
      <left style="medium">
        <color indexed="64"/>
      </left>
      <right style="thin">
        <color indexed="64"/>
      </right>
      <top style="thin">
        <color indexed="64"/>
      </top>
      <bottom style="medium">
        <color theme="1"/>
      </bottom>
      <diagonal/>
    </border>
    <border>
      <left style="thin">
        <color theme="1"/>
      </left>
      <right style="medium">
        <color theme="1"/>
      </right>
      <top style="thin">
        <color theme="1"/>
      </top>
      <bottom style="medium">
        <color theme="1"/>
      </bottom>
      <diagonal/>
    </border>
    <border>
      <left style="thin">
        <color indexed="64"/>
      </left>
      <right style="thin">
        <color indexed="64"/>
      </right>
      <top style="medium">
        <color theme="1"/>
      </top>
      <bottom/>
      <diagonal/>
    </border>
    <border>
      <left style="thin">
        <color indexed="64"/>
      </left>
      <right style="medium">
        <color theme="1"/>
      </right>
      <top style="medium">
        <color theme="1"/>
      </top>
      <bottom style="thin">
        <color indexed="64"/>
      </bottom>
      <diagonal/>
    </border>
    <border>
      <left style="medium">
        <color theme="1"/>
      </left>
      <right style="thin">
        <color theme="1"/>
      </right>
      <top style="thin">
        <color theme="1"/>
      </top>
      <bottom style="medium">
        <color theme="1"/>
      </bottom>
      <diagonal/>
    </border>
    <border>
      <left/>
      <right style="medium">
        <color theme="5"/>
      </right>
      <top style="thin">
        <color indexed="64"/>
      </top>
      <bottom/>
      <diagonal/>
    </border>
    <border>
      <left style="medium">
        <color indexed="64"/>
      </left>
      <right style="thin">
        <color indexed="64"/>
      </right>
      <top style="medium">
        <color theme="1"/>
      </top>
      <bottom style="thin">
        <color indexed="64"/>
      </bottom>
      <diagonal/>
    </border>
    <border>
      <left style="medium">
        <color theme="1"/>
      </left>
      <right/>
      <top style="medium">
        <color theme="1"/>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top style="medium">
        <color indexed="64"/>
      </top>
      <bottom style="thin">
        <color indexed="64"/>
      </bottom>
      <diagonal/>
    </border>
    <border>
      <left style="medium">
        <color theme="1"/>
      </left>
      <right/>
      <top style="thin">
        <color indexed="64"/>
      </top>
      <bottom style="thin">
        <color indexed="64"/>
      </bottom>
      <diagonal/>
    </border>
    <border>
      <left style="medium">
        <color theme="1"/>
      </left>
      <right/>
      <top style="thin">
        <color indexed="64"/>
      </top>
      <bottom style="medium">
        <color theme="1"/>
      </bottom>
      <diagonal/>
    </border>
    <border>
      <left style="medium">
        <color theme="1"/>
      </left>
      <right style="thin">
        <color indexed="64"/>
      </right>
      <top style="medium">
        <color theme="1"/>
      </top>
      <bottom style="thin">
        <color indexed="64"/>
      </bottom>
      <diagonal/>
    </border>
    <border>
      <left/>
      <right style="medium">
        <color auto="1"/>
      </right>
      <top/>
      <bottom style="medium">
        <color theme="1"/>
      </bottom>
      <diagonal/>
    </border>
    <border>
      <left style="medium">
        <color indexed="64"/>
      </left>
      <right style="thin">
        <color indexed="64"/>
      </right>
      <top/>
      <bottom style="medium">
        <color theme="1"/>
      </bottom>
      <diagonal/>
    </border>
    <border>
      <left style="medium">
        <color indexed="64"/>
      </left>
      <right style="medium">
        <color theme="1"/>
      </right>
      <top/>
      <bottom style="medium">
        <color theme="1"/>
      </bottom>
      <diagonal/>
    </border>
    <border>
      <left style="medium">
        <color theme="1"/>
      </left>
      <right style="thin">
        <color indexed="64"/>
      </right>
      <top style="medium">
        <color indexed="64"/>
      </top>
      <bottom/>
      <diagonal/>
    </border>
    <border>
      <left style="thin">
        <color indexed="64"/>
      </left>
      <right style="medium">
        <color theme="1"/>
      </right>
      <top style="medium">
        <color indexed="64"/>
      </top>
      <bottom/>
      <diagonal/>
    </border>
    <border>
      <left style="thin">
        <color indexed="64"/>
      </left>
      <right style="medium">
        <color theme="1"/>
      </right>
      <top style="medium">
        <color indexed="64"/>
      </top>
      <bottom style="thin">
        <color indexed="64"/>
      </bottom>
      <diagonal/>
    </border>
    <border>
      <left style="thin">
        <color indexed="64"/>
      </left>
      <right style="medium">
        <color theme="1"/>
      </right>
      <top style="thin">
        <color indexed="64"/>
      </top>
      <bottom style="medium">
        <color theme="1"/>
      </bottom>
      <diagonal/>
    </border>
    <border>
      <left style="medium">
        <color theme="1"/>
      </left>
      <right/>
      <top/>
      <bottom style="thin">
        <color indexed="64"/>
      </bottom>
      <diagonal/>
    </border>
    <border>
      <left style="medium">
        <color theme="1"/>
      </left>
      <right/>
      <top style="medium">
        <color theme="1"/>
      </top>
      <bottom style="thin">
        <color indexed="64"/>
      </bottom>
      <diagonal/>
    </border>
    <border>
      <left style="medium">
        <color indexed="64"/>
      </left>
      <right style="thin">
        <color indexed="64"/>
      </right>
      <top/>
      <bottom style="medium">
        <color rgb="FF000000"/>
      </bottom>
      <diagonal/>
    </border>
    <border>
      <left style="thin">
        <color indexed="64"/>
      </left>
      <right style="thin">
        <color indexed="64"/>
      </right>
      <top/>
      <bottom style="medium">
        <color rgb="FF000000"/>
      </bottom>
      <diagonal/>
    </border>
    <border>
      <left style="medium">
        <color theme="1"/>
      </left>
      <right style="medium">
        <color indexed="64"/>
      </right>
      <top style="medium">
        <color theme="1"/>
      </top>
      <bottom/>
      <diagonal/>
    </border>
    <border>
      <left style="medium">
        <color indexed="64"/>
      </left>
      <right style="thin">
        <color indexed="64"/>
      </right>
      <top style="medium">
        <color theme="1"/>
      </top>
      <bottom/>
      <diagonal/>
    </border>
    <border>
      <left style="medium">
        <color theme="1"/>
      </left>
      <right style="medium">
        <color indexed="64"/>
      </right>
      <top/>
      <bottom/>
      <diagonal/>
    </border>
    <border>
      <left/>
      <right style="medium">
        <color theme="1"/>
      </right>
      <top/>
      <bottom style="medium">
        <color auto="1"/>
      </bottom>
      <diagonal/>
    </border>
    <border>
      <left style="medium">
        <color theme="1"/>
      </left>
      <right style="medium">
        <color indexed="64"/>
      </right>
      <top/>
      <bottom style="medium">
        <color theme="1"/>
      </bottom>
      <diagonal/>
    </border>
    <border>
      <left style="medium">
        <color indexed="64"/>
      </left>
      <right style="medium">
        <color indexed="64"/>
      </right>
      <top/>
      <bottom style="medium">
        <color theme="1"/>
      </bottom>
      <diagonal/>
    </border>
    <border>
      <left/>
      <right style="medium">
        <color theme="1"/>
      </right>
      <top style="medium">
        <color indexed="64"/>
      </top>
      <bottom style="medium">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style="thin">
        <color indexed="64"/>
      </bottom>
      <diagonal/>
    </border>
    <border>
      <left/>
      <right/>
      <top style="medium">
        <color theme="1"/>
      </top>
      <bottom/>
      <diagonal/>
    </border>
    <border>
      <left style="thin">
        <color indexed="64"/>
      </left>
      <right style="medium">
        <color theme="1"/>
      </right>
      <top/>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bottom style="medium">
        <color theme="1"/>
      </bottom>
      <diagonal/>
    </border>
    <border>
      <left style="medium">
        <color theme="1"/>
      </left>
      <right style="thin">
        <color theme="1"/>
      </right>
      <top/>
      <bottom style="medium">
        <color theme="1"/>
      </bottom>
      <diagonal/>
    </border>
    <border>
      <left style="thin">
        <color theme="1"/>
      </left>
      <right/>
      <top/>
      <bottom style="medium">
        <color theme="1"/>
      </bottom>
      <diagonal/>
    </border>
    <border>
      <left style="thin">
        <color theme="1"/>
      </left>
      <right style="medium">
        <color indexed="64"/>
      </right>
      <top style="thin">
        <color theme="1"/>
      </top>
      <bottom style="thin">
        <color theme="1"/>
      </bottom>
      <diagonal/>
    </border>
    <border>
      <left style="thin">
        <color indexed="64"/>
      </left>
      <right style="medium">
        <color theme="5"/>
      </right>
      <top style="thin">
        <color indexed="64"/>
      </top>
      <bottom style="medium">
        <color indexed="64"/>
      </bottom>
      <diagonal/>
    </border>
    <border>
      <left/>
      <right style="medium">
        <color rgb="FFCC04A6"/>
      </right>
      <top style="thin">
        <color indexed="64"/>
      </top>
      <bottom style="medium">
        <color indexed="64"/>
      </bottom>
      <diagonal/>
    </border>
    <border>
      <left style="thin">
        <color theme="1"/>
      </left>
      <right style="thin">
        <color theme="1"/>
      </right>
      <top style="thin">
        <color theme="1"/>
      </top>
      <bottom style="medium">
        <color indexed="64"/>
      </bottom>
      <diagonal/>
    </border>
    <border>
      <left style="medium">
        <color theme="1"/>
      </left>
      <right/>
      <top style="thin">
        <color indexed="64"/>
      </top>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top/>
      <bottom style="thin">
        <color theme="1"/>
      </bottom>
      <diagonal/>
    </border>
    <border>
      <left/>
      <right style="medium">
        <color theme="1"/>
      </right>
      <top/>
      <bottom style="thin">
        <color theme="1"/>
      </bottom>
      <diagonal/>
    </border>
    <border>
      <left/>
      <right style="thin">
        <color theme="1"/>
      </right>
      <top/>
      <bottom style="thin">
        <color theme="1"/>
      </bottom>
      <diagonal/>
    </border>
    <border>
      <left/>
      <right style="medium">
        <color indexed="64"/>
      </right>
      <top style="medium">
        <color indexed="64"/>
      </top>
      <bottom style="thin">
        <color theme="1"/>
      </bottom>
      <diagonal/>
    </border>
    <border>
      <left/>
      <right style="thin">
        <color theme="1"/>
      </right>
      <top style="thin">
        <color theme="1"/>
      </top>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diagonal/>
    </border>
    <border>
      <left style="medium">
        <color rgb="FF000000"/>
      </left>
      <right style="thin">
        <color indexed="64"/>
      </right>
      <top style="thin">
        <color indexed="64"/>
      </top>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theme="1"/>
      </left>
      <right/>
      <top style="medium">
        <color theme="1"/>
      </top>
      <bottom style="thin">
        <color theme="1"/>
      </bottom>
      <diagonal/>
    </border>
    <border>
      <left style="medium">
        <color indexed="64"/>
      </left>
      <right/>
      <top style="medium">
        <color indexed="64"/>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thin">
        <color theme="1"/>
      </left>
      <right style="medium">
        <color indexed="64"/>
      </right>
      <top/>
      <bottom style="medium">
        <color indexed="64"/>
      </bottom>
      <diagonal/>
    </border>
    <border>
      <left style="medium">
        <color indexed="64"/>
      </left>
      <right style="thin">
        <color theme="1"/>
      </right>
      <top style="medium">
        <color theme="1"/>
      </top>
      <bottom style="medium">
        <color indexed="64"/>
      </bottom>
      <diagonal/>
    </border>
    <border>
      <left style="thin">
        <color theme="1"/>
      </left>
      <right/>
      <top style="thin">
        <color theme="1"/>
      </top>
      <bottom style="medium">
        <color indexed="64"/>
      </bottom>
      <diagonal/>
    </border>
    <border>
      <left/>
      <right style="thin">
        <color rgb="FF000000"/>
      </right>
      <top/>
      <bottom style="thin">
        <color rgb="FF000000"/>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thin">
        <color indexed="64"/>
      </left>
      <right style="thin">
        <color theme="1"/>
      </right>
      <top style="medium">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medium">
        <color indexed="64"/>
      </bottom>
      <diagonal/>
    </border>
    <border>
      <left style="thin">
        <color theme="1"/>
      </left>
      <right style="medium">
        <color theme="1"/>
      </right>
      <top style="thin">
        <color theme="1"/>
      </top>
      <bottom/>
      <diagonal/>
    </border>
    <border>
      <left style="medium">
        <color indexed="64"/>
      </left>
      <right style="thin">
        <color theme="1"/>
      </right>
      <top style="medium">
        <color indexed="64"/>
      </top>
      <bottom style="thin">
        <color theme="1"/>
      </bottom>
      <diagonal/>
    </border>
    <border>
      <left/>
      <right style="thin">
        <color theme="1"/>
      </right>
      <top style="thin">
        <color theme="1"/>
      </top>
      <bottom style="medium">
        <color indexed="64"/>
      </bottom>
      <diagonal/>
    </border>
    <border>
      <left/>
      <right style="medium">
        <color indexed="64"/>
      </right>
      <top style="thin">
        <color theme="1"/>
      </top>
      <bottom style="medium">
        <color indexed="64"/>
      </bottom>
      <diagonal/>
    </border>
    <border>
      <left style="medium">
        <color theme="1"/>
      </left>
      <right style="thin">
        <color theme="1"/>
      </right>
      <top style="thin">
        <color theme="1"/>
      </top>
      <bottom/>
      <diagonal/>
    </border>
    <border>
      <left style="thin">
        <color theme="1"/>
      </left>
      <right/>
      <top/>
      <bottom style="medium">
        <color indexed="64"/>
      </bottom>
      <diagonal/>
    </border>
    <border>
      <left style="thin">
        <color theme="1"/>
      </left>
      <right style="thin">
        <color theme="1"/>
      </right>
      <top style="thin">
        <color indexed="64"/>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medium">
        <color indexed="64"/>
      </right>
      <top style="medium">
        <color indexed="64"/>
      </top>
      <bottom style="thin">
        <color indexed="64"/>
      </bottom>
      <diagonal/>
    </border>
    <border>
      <left/>
      <right style="thin">
        <color theme="1"/>
      </right>
      <top/>
      <bottom style="medium">
        <color indexed="64"/>
      </bottom>
      <diagonal/>
    </border>
    <border>
      <left style="medium">
        <color indexed="64"/>
      </left>
      <right/>
      <top style="medium">
        <color theme="1"/>
      </top>
      <bottom style="thin">
        <color indexed="64"/>
      </bottom>
      <diagonal/>
    </border>
    <border>
      <left style="thin">
        <color indexed="64"/>
      </left>
      <right style="medium">
        <color indexed="64"/>
      </right>
      <top style="medium">
        <color theme="1"/>
      </top>
      <bottom style="thin">
        <color indexed="64"/>
      </bottom>
      <diagonal/>
    </border>
    <border>
      <left style="medium">
        <color indexed="64"/>
      </left>
      <right style="medium">
        <color indexed="64"/>
      </right>
      <top/>
      <bottom style="thin">
        <color indexed="64"/>
      </bottom>
      <diagonal/>
    </border>
    <border>
      <left style="medium">
        <color theme="1"/>
      </left>
      <right/>
      <top style="thin">
        <color theme="1"/>
      </top>
      <bottom style="thin">
        <color theme="1"/>
      </bottom>
      <diagonal/>
    </border>
    <border>
      <left style="medium">
        <color indexed="64"/>
      </left>
      <right/>
      <top style="thin">
        <color theme="1"/>
      </top>
      <bottom style="thin">
        <color theme="1"/>
      </bottom>
      <diagonal/>
    </border>
    <border>
      <left/>
      <right/>
      <top/>
      <bottom style="thin">
        <color theme="1"/>
      </bottom>
      <diagonal/>
    </border>
    <border>
      <left style="thin">
        <color theme="1"/>
      </left>
      <right/>
      <top/>
      <bottom/>
      <diagonal/>
    </border>
    <border>
      <left style="thin">
        <color theme="1"/>
      </left>
      <right style="thin">
        <color theme="1"/>
      </right>
      <top style="medium">
        <color indexed="64"/>
      </top>
      <bottom style="thin">
        <color theme="1"/>
      </bottom>
      <diagonal/>
    </border>
    <border>
      <left/>
      <right style="medium">
        <color rgb="FFCC04A6"/>
      </right>
      <top style="medium">
        <color indexed="64"/>
      </top>
      <bottom style="thin">
        <color indexed="64"/>
      </bottom>
      <diagonal/>
    </border>
    <border>
      <left style="thin">
        <color theme="1"/>
      </left>
      <right/>
      <top style="medium">
        <color indexed="64"/>
      </top>
      <bottom style="thin">
        <color theme="1"/>
      </bottom>
      <diagonal/>
    </border>
    <border>
      <left style="medium">
        <color theme="1"/>
      </left>
      <right style="thin">
        <color theme="1"/>
      </right>
      <top style="medium">
        <color indexed="64"/>
      </top>
      <bottom style="thin">
        <color theme="1"/>
      </bottom>
      <diagonal/>
    </border>
    <border>
      <left style="thin">
        <color theme="1"/>
      </left>
      <right style="medium">
        <color theme="1"/>
      </right>
      <top style="medium">
        <color indexed="64"/>
      </top>
      <bottom style="thin">
        <color theme="1"/>
      </bottom>
      <diagonal/>
    </border>
    <border>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theme="1"/>
      </left>
      <right style="thin">
        <color theme="1"/>
      </right>
      <top style="thin">
        <color theme="1"/>
      </top>
      <bottom style="medium">
        <color indexed="64"/>
      </bottom>
      <diagonal/>
    </border>
    <border>
      <left style="thin">
        <color theme="1"/>
      </left>
      <right style="medium">
        <color theme="1"/>
      </right>
      <top style="thin">
        <color theme="1"/>
      </top>
      <bottom style="medium">
        <color indexed="64"/>
      </bottom>
      <diagonal/>
    </border>
    <border>
      <left style="thin">
        <color theme="1"/>
      </left>
      <right/>
      <top style="thin">
        <color theme="1"/>
      </top>
      <bottom/>
      <diagonal/>
    </border>
    <border>
      <left/>
      <right style="medium">
        <color theme="1"/>
      </right>
      <top style="thin">
        <color theme="1"/>
      </top>
      <bottom/>
      <diagonal/>
    </border>
    <border>
      <left style="medium">
        <color theme="5"/>
      </left>
      <right style="thin">
        <color indexed="64"/>
      </right>
      <top style="medium">
        <color indexed="64"/>
      </top>
      <bottom style="thin">
        <color indexed="64"/>
      </bottom>
      <diagonal/>
    </border>
    <border>
      <left style="medium">
        <color rgb="FFCC04A6"/>
      </left>
      <right style="thin">
        <color indexed="64"/>
      </right>
      <top style="medium">
        <color indexed="64"/>
      </top>
      <bottom style="thin">
        <color indexed="64"/>
      </bottom>
      <diagonal/>
    </border>
    <border>
      <left/>
      <right/>
      <top style="medium">
        <color indexed="64"/>
      </top>
      <bottom style="thin">
        <color theme="1"/>
      </bottom>
      <diagonal/>
    </border>
    <border>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indexed="64"/>
      </left>
      <right style="thin">
        <color indexed="64"/>
      </right>
      <top style="thin">
        <color theme="1"/>
      </top>
      <bottom/>
      <diagonal/>
    </border>
    <border>
      <left style="thin">
        <color theme="1"/>
      </left>
      <right/>
      <top style="medium">
        <color indexed="64"/>
      </top>
      <bottom/>
      <diagonal/>
    </border>
    <border>
      <left style="medium">
        <color indexed="64"/>
      </left>
      <right style="thin">
        <color theme="1"/>
      </right>
      <top style="thin">
        <color theme="1"/>
      </top>
      <bottom/>
      <diagonal/>
    </border>
    <border>
      <left style="thin">
        <color theme="1"/>
      </left>
      <right style="medium">
        <color indexed="64"/>
      </right>
      <top style="thin">
        <color theme="1"/>
      </top>
      <bottom/>
      <diagonal/>
    </border>
    <border>
      <left style="thin">
        <color theme="1"/>
      </left>
      <right style="thin">
        <color theme="1"/>
      </right>
      <top style="thin">
        <color indexed="64"/>
      </top>
      <bottom/>
      <diagonal/>
    </border>
    <border>
      <left style="thin">
        <color theme="5"/>
      </left>
      <right style="thin">
        <color theme="5"/>
      </right>
      <top style="thin">
        <color theme="5"/>
      </top>
      <bottom style="thin">
        <color theme="5"/>
      </bottom>
      <diagonal/>
    </border>
    <border>
      <left style="thin">
        <color rgb="FF7030A0"/>
      </left>
      <right style="thin">
        <color rgb="FF7030A0"/>
      </right>
      <top style="thin">
        <color rgb="FF7030A0"/>
      </top>
      <bottom style="thin">
        <color rgb="FF7030A0"/>
      </bottom>
      <diagonal/>
    </border>
    <border>
      <left style="thin">
        <color theme="5"/>
      </left>
      <right/>
      <top style="thin">
        <color theme="5"/>
      </top>
      <bottom style="thin">
        <color theme="5"/>
      </bottom>
      <diagonal/>
    </border>
    <border>
      <left style="thick">
        <color rgb="FF7030A0"/>
      </left>
      <right style="thin">
        <color rgb="FF7030A0"/>
      </right>
      <top style="thick">
        <color rgb="FF7030A0"/>
      </top>
      <bottom style="thin">
        <color rgb="FF7030A0"/>
      </bottom>
      <diagonal/>
    </border>
    <border>
      <left style="thin">
        <color rgb="FF7030A0"/>
      </left>
      <right style="thin">
        <color rgb="FF7030A0"/>
      </right>
      <top style="thick">
        <color rgb="FF7030A0"/>
      </top>
      <bottom style="thin">
        <color rgb="FF7030A0"/>
      </bottom>
      <diagonal/>
    </border>
    <border>
      <left style="thick">
        <color rgb="FF7030A0"/>
      </left>
      <right style="thin">
        <color rgb="FF7030A0"/>
      </right>
      <top style="thin">
        <color rgb="FF7030A0"/>
      </top>
      <bottom style="thin">
        <color rgb="FF7030A0"/>
      </bottom>
      <diagonal/>
    </border>
    <border>
      <left style="thick">
        <color rgb="FF7030A0"/>
      </left>
      <right style="thin">
        <color rgb="FF7030A0"/>
      </right>
      <top style="thin">
        <color rgb="FF7030A0"/>
      </top>
      <bottom style="thick">
        <color rgb="FF7030A0"/>
      </bottom>
      <diagonal/>
    </border>
    <border>
      <left style="thin">
        <color rgb="FF7030A0"/>
      </left>
      <right style="thin">
        <color rgb="FF7030A0"/>
      </right>
      <top style="thin">
        <color rgb="FF7030A0"/>
      </top>
      <bottom style="thick">
        <color rgb="FF7030A0"/>
      </bottom>
      <diagonal/>
    </border>
    <border>
      <left style="thick">
        <color theme="5"/>
      </left>
      <right style="thin">
        <color theme="5"/>
      </right>
      <top style="thick">
        <color theme="5"/>
      </top>
      <bottom style="thin">
        <color theme="5"/>
      </bottom>
      <diagonal/>
    </border>
    <border>
      <left style="thin">
        <color theme="5"/>
      </left>
      <right style="thin">
        <color theme="5"/>
      </right>
      <top style="thick">
        <color theme="5"/>
      </top>
      <bottom style="thin">
        <color theme="5"/>
      </bottom>
      <diagonal/>
    </border>
    <border>
      <left style="thick">
        <color theme="5"/>
      </left>
      <right style="thin">
        <color theme="5"/>
      </right>
      <top style="thin">
        <color theme="5"/>
      </top>
      <bottom style="thin">
        <color theme="5"/>
      </bottom>
      <diagonal/>
    </border>
    <border>
      <left style="thick">
        <color theme="5"/>
      </left>
      <right style="thin">
        <color theme="5"/>
      </right>
      <top style="thin">
        <color theme="5"/>
      </top>
      <bottom style="thick">
        <color theme="5"/>
      </bottom>
      <diagonal/>
    </border>
    <border>
      <left style="thin">
        <color theme="5"/>
      </left>
      <right style="thin">
        <color theme="5"/>
      </right>
      <top style="thin">
        <color theme="5"/>
      </top>
      <bottom style="thick">
        <color theme="5"/>
      </bottom>
      <diagonal/>
    </border>
    <border>
      <left style="thin">
        <color theme="5"/>
      </left>
      <right/>
      <top style="thick">
        <color theme="5"/>
      </top>
      <bottom style="thin">
        <color theme="5"/>
      </bottom>
      <diagonal/>
    </border>
    <border>
      <left style="thin">
        <color theme="5"/>
      </left>
      <right/>
      <top style="thin">
        <color theme="5"/>
      </top>
      <bottom style="thick">
        <color theme="5"/>
      </bottom>
      <diagonal/>
    </border>
    <border>
      <left style="thin">
        <color rgb="FF7030A0"/>
      </left>
      <right/>
      <top style="thick">
        <color rgb="FF7030A0"/>
      </top>
      <bottom style="thin">
        <color rgb="FF7030A0"/>
      </bottom>
      <diagonal/>
    </border>
    <border>
      <left style="thin">
        <color rgb="FF7030A0"/>
      </left>
      <right/>
      <top style="thin">
        <color rgb="FF7030A0"/>
      </top>
      <bottom style="thin">
        <color rgb="FF7030A0"/>
      </bottom>
      <diagonal/>
    </border>
    <border>
      <left style="thin">
        <color rgb="FF7030A0"/>
      </left>
      <right/>
      <top style="thin">
        <color rgb="FF7030A0"/>
      </top>
      <bottom style="thick">
        <color rgb="FF7030A0"/>
      </bottom>
      <diagonal/>
    </border>
    <border>
      <left style="thick">
        <color theme="4"/>
      </left>
      <right style="thin">
        <color theme="4"/>
      </right>
      <top style="thick">
        <color theme="4"/>
      </top>
      <bottom style="thin">
        <color theme="4"/>
      </bottom>
      <diagonal/>
    </border>
    <border>
      <left style="thin">
        <color theme="4"/>
      </left>
      <right style="thin">
        <color theme="4"/>
      </right>
      <top style="thick">
        <color theme="4"/>
      </top>
      <bottom style="thin">
        <color theme="4"/>
      </bottom>
      <diagonal/>
    </border>
    <border>
      <left style="thin">
        <color theme="4"/>
      </left>
      <right style="thick">
        <color theme="4"/>
      </right>
      <top style="thick">
        <color theme="4"/>
      </top>
      <bottom style="thin">
        <color theme="4"/>
      </bottom>
      <diagonal/>
    </border>
    <border>
      <left style="thick">
        <color theme="4"/>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style="thick">
        <color theme="4"/>
      </right>
      <top style="thin">
        <color theme="4"/>
      </top>
      <bottom style="thin">
        <color theme="4"/>
      </bottom>
      <diagonal/>
    </border>
    <border>
      <left style="thick">
        <color theme="4"/>
      </left>
      <right style="thin">
        <color theme="4"/>
      </right>
      <top style="thin">
        <color theme="4"/>
      </top>
      <bottom style="thick">
        <color theme="4"/>
      </bottom>
      <diagonal/>
    </border>
    <border>
      <left style="thin">
        <color theme="4"/>
      </left>
      <right style="thin">
        <color theme="4"/>
      </right>
      <top style="thin">
        <color theme="4"/>
      </top>
      <bottom style="thick">
        <color theme="4"/>
      </bottom>
      <diagonal/>
    </border>
    <border>
      <left style="thin">
        <color theme="4"/>
      </left>
      <right style="thick">
        <color theme="4"/>
      </right>
      <top style="thin">
        <color theme="4"/>
      </top>
      <bottom style="thick">
        <color theme="4"/>
      </bottom>
      <diagonal/>
    </border>
    <border>
      <left style="thick">
        <color theme="5"/>
      </left>
      <right style="thin">
        <color theme="5"/>
      </right>
      <top style="thin">
        <color theme="5"/>
      </top>
      <bottom/>
      <diagonal/>
    </border>
    <border>
      <left style="thin">
        <color theme="5"/>
      </left>
      <right style="thin">
        <color theme="5"/>
      </right>
      <top style="thin">
        <color theme="5"/>
      </top>
      <bottom/>
      <diagonal/>
    </border>
    <border>
      <left style="thin">
        <color theme="5"/>
      </left>
      <right/>
      <top style="thin">
        <color theme="5"/>
      </top>
      <bottom/>
      <diagonal/>
    </border>
    <border>
      <left style="thick">
        <color rgb="FF7030A0"/>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7030A0"/>
      </left>
      <right/>
      <top style="thin">
        <color rgb="FF7030A0"/>
      </top>
      <bottom/>
      <diagonal/>
    </border>
    <border>
      <left style="thick">
        <color theme="4"/>
      </left>
      <right style="thin">
        <color theme="4"/>
      </right>
      <top style="thin">
        <color theme="4"/>
      </top>
      <bottom/>
      <diagonal/>
    </border>
    <border>
      <left style="thin">
        <color theme="4"/>
      </left>
      <right style="thin">
        <color theme="4"/>
      </right>
      <top style="thin">
        <color theme="4"/>
      </top>
      <bottom/>
      <diagonal/>
    </border>
    <border>
      <left style="thin">
        <color theme="4"/>
      </left>
      <right style="thick">
        <color theme="4"/>
      </right>
      <top style="thin">
        <color theme="4"/>
      </top>
      <bottom/>
      <diagonal/>
    </border>
    <border>
      <left style="medium">
        <color indexed="64"/>
      </left>
      <right/>
      <top/>
      <bottom style="thin">
        <color theme="1"/>
      </bottom>
      <diagonal/>
    </border>
    <border>
      <left style="thick">
        <color theme="5"/>
      </left>
      <right style="thin">
        <color theme="5"/>
      </right>
      <top/>
      <bottom style="thin">
        <color theme="5"/>
      </bottom>
      <diagonal/>
    </border>
    <border>
      <left style="thin">
        <color theme="5"/>
      </left>
      <right style="thin">
        <color theme="5"/>
      </right>
      <top/>
      <bottom style="thin">
        <color theme="5"/>
      </bottom>
      <diagonal/>
    </border>
    <border>
      <left style="thin">
        <color theme="5"/>
      </left>
      <right/>
      <top/>
      <bottom style="thin">
        <color theme="5"/>
      </bottom>
      <diagonal/>
    </border>
    <border>
      <left style="thick">
        <color rgb="FF7030A0"/>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top/>
      <bottom style="thin">
        <color rgb="FF7030A0"/>
      </bottom>
      <diagonal/>
    </border>
    <border>
      <left style="thick">
        <color theme="4"/>
      </left>
      <right style="thin">
        <color theme="4"/>
      </right>
      <top/>
      <bottom style="thin">
        <color theme="4"/>
      </bottom>
      <diagonal/>
    </border>
    <border>
      <left style="thin">
        <color theme="4"/>
      </left>
      <right style="thin">
        <color theme="4"/>
      </right>
      <top/>
      <bottom style="thin">
        <color theme="4"/>
      </bottom>
      <diagonal/>
    </border>
    <border>
      <left style="thin">
        <color theme="4"/>
      </left>
      <right style="thick">
        <color theme="4"/>
      </right>
      <top/>
      <bottom style="thin">
        <color theme="4"/>
      </bottom>
      <diagonal/>
    </border>
    <border>
      <left style="thick">
        <color theme="5"/>
      </left>
      <right style="thin">
        <color theme="5"/>
      </right>
      <top style="thin">
        <color indexed="64"/>
      </top>
      <bottom style="medium">
        <color indexed="64"/>
      </bottom>
      <diagonal/>
    </border>
    <border>
      <left style="thin">
        <color theme="5"/>
      </left>
      <right style="thin">
        <color theme="5"/>
      </right>
      <top style="thin">
        <color indexed="64"/>
      </top>
      <bottom style="medium">
        <color indexed="64"/>
      </bottom>
      <diagonal/>
    </border>
    <border>
      <left style="thin">
        <color theme="5"/>
      </left>
      <right/>
      <top style="thin">
        <color indexed="64"/>
      </top>
      <bottom style="medium">
        <color indexed="64"/>
      </bottom>
      <diagonal/>
    </border>
    <border>
      <left style="thick">
        <color rgb="FF7030A0"/>
      </left>
      <right style="thin">
        <color rgb="FF7030A0"/>
      </right>
      <top style="thin">
        <color indexed="64"/>
      </top>
      <bottom style="medium">
        <color indexed="64"/>
      </bottom>
      <diagonal/>
    </border>
    <border>
      <left style="thin">
        <color rgb="FF7030A0"/>
      </left>
      <right style="thin">
        <color rgb="FF7030A0"/>
      </right>
      <top style="thin">
        <color indexed="64"/>
      </top>
      <bottom style="medium">
        <color indexed="64"/>
      </bottom>
      <diagonal/>
    </border>
    <border>
      <left style="thin">
        <color rgb="FF7030A0"/>
      </left>
      <right/>
      <top style="thin">
        <color indexed="64"/>
      </top>
      <bottom style="medium">
        <color indexed="64"/>
      </bottom>
      <diagonal/>
    </border>
    <border>
      <left style="thick">
        <color theme="4"/>
      </left>
      <right style="thin">
        <color theme="4"/>
      </right>
      <top style="thin">
        <color indexed="64"/>
      </top>
      <bottom style="medium">
        <color indexed="64"/>
      </bottom>
      <diagonal/>
    </border>
    <border>
      <left style="thin">
        <color theme="4"/>
      </left>
      <right style="thin">
        <color theme="4"/>
      </right>
      <top style="thin">
        <color indexed="64"/>
      </top>
      <bottom style="medium">
        <color indexed="64"/>
      </bottom>
      <diagonal/>
    </border>
    <border>
      <left style="thin">
        <color theme="4"/>
      </left>
      <right style="thick">
        <color theme="4"/>
      </right>
      <top style="thin">
        <color indexed="64"/>
      </top>
      <bottom style="medium">
        <color indexed="64"/>
      </bottom>
      <diagonal/>
    </border>
    <border>
      <left style="medium">
        <color indexed="64"/>
      </left>
      <right/>
      <top style="thin">
        <color indexed="64"/>
      </top>
      <bottom style="medium">
        <color theme="1"/>
      </bottom>
      <diagonal/>
    </border>
  </borders>
  <cellStyleXfs count="10">
    <xf numFmtId="0" fontId="0" fillId="0" borderId="0"/>
    <xf numFmtId="9" fontId="2" fillId="0" borderId="0" applyFont="0" applyFill="0" applyBorder="0" applyAlignment="0" applyProtection="0"/>
    <xf numFmtId="0" fontId="3" fillId="0" borderId="0"/>
    <xf numFmtId="169" fontId="3" fillId="0" borderId="0" applyFont="0" applyFill="0" applyBorder="0" applyAlignment="0" applyProtection="0"/>
    <xf numFmtId="167" fontId="2" fillId="0" borderId="0" applyFont="0" applyFill="0" applyBorder="0" applyAlignment="0" applyProtection="0"/>
    <xf numFmtId="170" fontId="3" fillId="0" borderId="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118" fillId="0" borderId="0" applyNumberFormat="0" applyFill="0" applyBorder="0" applyAlignment="0" applyProtection="0"/>
  </cellStyleXfs>
  <cellXfs count="2066">
    <xf numFmtId="0" fontId="0" fillId="0" borderId="0" xfId="0"/>
    <xf numFmtId="0" fontId="0" fillId="0" borderId="0" xfId="0" applyAlignment="1">
      <alignment vertical="center"/>
    </xf>
    <xf numFmtId="9" fontId="14" fillId="3" borderId="6" xfId="1" applyFont="1" applyFill="1" applyBorder="1" applyAlignment="1" applyProtection="1">
      <alignment horizontal="center" vertical="center" wrapText="1"/>
      <protection locked="0"/>
    </xf>
    <xf numFmtId="171" fontId="14" fillId="3" borderId="6" xfId="2" applyNumberFormat="1" applyFont="1" applyFill="1" applyBorder="1" applyAlignment="1" applyProtection="1">
      <alignment horizontal="right" vertical="center" wrapText="1"/>
      <protection locked="0"/>
    </xf>
    <xf numFmtId="171" fontId="14" fillId="3" borderId="6" xfId="1" applyNumberFormat="1" applyFont="1" applyFill="1" applyBorder="1" applyAlignment="1" applyProtection="1">
      <alignment horizontal="right" vertical="center" wrapText="1"/>
      <protection locked="0"/>
    </xf>
    <xf numFmtId="9" fontId="14" fillId="3" borderId="3" xfId="1"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protection locked="0"/>
    </xf>
    <xf numFmtId="0" fontId="14" fillId="3" borderId="13" xfId="0" applyFont="1" applyFill="1" applyBorder="1" applyAlignment="1" applyProtection="1">
      <alignment horizontal="center" vertical="center" wrapText="1"/>
      <protection locked="0"/>
    </xf>
    <xf numFmtId="171" fontId="14" fillId="3" borderId="24" xfId="0" applyNumberFormat="1" applyFont="1" applyFill="1" applyBorder="1" applyAlignment="1" applyProtection="1">
      <alignment horizontal="right" vertical="center" wrapText="1"/>
      <protection locked="0"/>
    </xf>
    <xf numFmtId="171" fontId="14" fillId="3" borderId="15" xfId="0" applyNumberFormat="1" applyFont="1" applyFill="1" applyBorder="1" applyAlignment="1" applyProtection="1">
      <alignment horizontal="right" vertical="center" wrapText="1"/>
      <protection locked="0"/>
    </xf>
    <xf numFmtId="0" fontId="14" fillId="3" borderId="4" xfId="0"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wrapText="1"/>
      <protection locked="0"/>
    </xf>
    <xf numFmtId="0" fontId="14" fillId="3" borderId="25"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171" fontId="14" fillId="3" borderId="71" xfId="0" applyNumberFormat="1" applyFont="1" applyFill="1" applyBorder="1" applyAlignment="1" applyProtection="1">
      <alignment horizontal="right" vertical="center" wrapText="1"/>
      <protection locked="0"/>
    </xf>
    <xf numFmtId="171" fontId="14" fillId="3" borderId="69" xfId="0" applyNumberFormat="1" applyFont="1" applyFill="1" applyBorder="1" applyAlignment="1" applyProtection="1">
      <alignment horizontal="right" vertical="center" wrapText="1"/>
      <protection locked="0"/>
    </xf>
    <xf numFmtId="9" fontId="14" fillId="3" borderId="25" xfId="1" applyFont="1" applyFill="1" applyBorder="1" applyAlignment="1" applyProtection="1">
      <alignment horizontal="center" vertical="center" wrapText="1"/>
      <protection locked="0"/>
    </xf>
    <xf numFmtId="171" fontId="14" fillId="3" borderId="72" xfId="0" applyNumberFormat="1" applyFont="1" applyFill="1" applyBorder="1" applyAlignment="1" applyProtection="1">
      <alignment horizontal="right" vertical="center" wrapText="1"/>
      <protection locked="0"/>
    </xf>
    <xf numFmtId="171" fontId="14" fillId="3" borderId="74" xfId="0" applyNumberFormat="1" applyFont="1" applyFill="1" applyBorder="1" applyAlignment="1" applyProtection="1">
      <alignment horizontal="right" vertical="center" wrapText="1"/>
      <protection locked="0"/>
    </xf>
    <xf numFmtId="0" fontId="14" fillId="3" borderId="3" xfId="0" applyFont="1" applyFill="1" applyBorder="1" applyAlignment="1" applyProtection="1">
      <alignment horizontal="center" vertical="center" wrapText="1"/>
      <protection locked="0"/>
    </xf>
    <xf numFmtId="0" fontId="14" fillId="3" borderId="59" xfId="0" applyFont="1" applyFill="1" applyBorder="1" applyAlignment="1" applyProtection="1">
      <alignment horizontal="center" vertical="center" wrapText="1"/>
      <protection locked="0"/>
    </xf>
    <xf numFmtId="1" fontId="14" fillId="3" borderId="4" xfId="0" applyNumberFormat="1" applyFont="1" applyFill="1" applyBorder="1" applyAlignment="1" applyProtection="1">
      <alignment horizontal="center" vertical="center" wrapText="1"/>
      <protection locked="0"/>
    </xf>
    <xf numFmtId="1" fontId="14" fillId="3" borderId="6" xfId="0" applyNumberFormat="1" applyFont="1" applyFill="1" applyBorder="1" applyAlignment="1" applyProtection="1">
      <alignment horizontal="center" vertical="center" wrapText="1"/>
      <protection locked="0"/>
    </xf>
    <xf numFmtId="2" fontId="14" fillId="3" borderId="6" xfId="0" applyNumberFormat="1" applyFont="1" applyFill="1" applyBorder="1" applyAlignment="1" applyProtection="1">
      <alignment horizontal="center" vertical="center" wrapText="1"/>
      <protection locked="0"/>
    </xf>
    <xf numFmtId="171" fontId="14" fillId="3" borderId="6" xfId="0" applyNumberFormat="1" applyFont="1" applyFill="1" applyBorder="1" applyAlignment="1" applyProtection="1">
      <alignment horizontal="right" vertical="center" wrapText="1"/>
      <protection locked="0"/>
    </xf>
    <xf numFmtId="0" fontId="14" fillId="3" borderId="12" xfId="0" applyFont="1" applyFill="1" applyBorder="1" applyAlignment="1" applyProtection="1">
      <alignment horizontal="center" vertical="center" wrapText="1"/>
      <protection locked="0"/>
    </xf>
    <xf numFmtId="0" fontId="14" fillId="3" borderId="14" xfId="0" applyFont="1" applyFill="1" applyBorder="1" applyAlignment="1" applyProtection="1">
      <alignment vertical="center" wrapText="1"/>
      <protection locked="0"/>
    </xf>
    <xf numFmtId="0" fontId="14" fillId="3" borderId="6" xfId="0" applyFont="1" applyFill="1" applyBorder="1" applyAlignment="1" applyProtection="1">
      <alignment vertical="center" wrapText="1"/>
      <protection locked="0"/>
    </xf>
    <xf numFmtId="0" fontId="14" fillId="3" borderId="7" xfId="0" applyFont="1" applyFill="1" applyBorder="1" applyAlignment="1" applyProtection="1">
      <alignment horizontal="center" vertical="center" wrapText="1"/>
      <protection locked="0"/>
    </xf>
    <xf numFmtId="10" fontId="14" fillId="3" borderId="14" xfId="0" applyNumberFormat="1" applyFont="1" applyFill="1" applyBorder="1" applyAlignment="1" applyProtection="1">
      <alignment horizontal="center" vertical="center" wrapText="1"/>
      <protection locked="0"/>
    </xf>
    <xf numFmtId="0" fontId="14" fillId="3" borderId="15" xfId="0" applyFont="1" applyFill="1" applyBorder="1" applyAlignment="1" applyProtection="1">
      <alignment vertical="center" wrapText="1"/>
      <protection locked="0"/>
    </xf>
    <xf numFmtId="49" fontId="14" fillId="3" borderId="14" xfId="0" applyNumberFormat="1" applyFont="1" applyFill="1" applyBorder="1" applyAlignment="1" applyProtection="1">
      <alignment vertical="center" wrapText="1"/>
      <protection locked="0"/>
    </xf>
    <xf numFmtId="171" fontId="14" fillId="3" borderId="72" xfId="0" applyNumberFormat="1" applyFont="1" applyFill="1" applyBorder="1" applyAlignment="1" applyProtection="1">
      <alignment vertical="center" wrapText="1"/>
      <protection locked="0"/>
    </xf>
    <xf numFmtId="171" fontId="14" fillId="3" borderId="15" xfId="0" applyNumberFormat="1" applyFont="1" applyFill="1" applyBorder="1" applyAlignment="1" applyProtection="1">
      <alignment vertical="center" wrapText="1"/>
      <protection locked="0"/>
    </xf>
    <xf numFmtId="171" fontId="14" fillId="3" borderId="74" xfId="0" applyNumberFormat="1" applyFont="1" applyFill="1" applyBorder="1" applyAlignment="1" applyProtection="1">
      <alignment vertical="center" wrapText="1"/>
      <protection locked="0"/>
    </xf>
    <xf numFmtId="0" fontId="14" fillId="3" borderId="6" xfId="2" applyFont="1" applyFill="1" applyBorder="1" applyAlignment="1" applyProtection="1">
      <alignment horizontal="center" vertical="center" wrapText="1"/>
      <protection locked="0"/>
    </xf>
    <xf numFmtId="1" fontId="14" fillId="3" borderId="3" xfId="0" applyNumberFormat="1" applyFont="1" applyFill="1" applyBorder="1" applyAlignment="1" applyProtection="1">
      <alignment horizontal="center" vertical="center" wrapText="1"/>
      <protection locked="0"/>
    </xf>
    <xf numFmtId="0" fontId="14" fillId="3" borderId="6" xfId="1" applyNumberFormat="1" applyFont="1" applyFill="1" applyBorder="1" applyAlignment="1" applyProtection="1">
      <alignment horizontal="center" vertical="center" wrapText="1"/>
      <protection locked="0"/>
    </xf>
    <xf numFmtId="0" fontId="10" fillId="0" borderId="58" xfId="0" applyFont="1" applyBorder="1" applyAlignment="1" applyProtection="1">
      <alignment vertical="center" wrapText="1"/>
      <protection locked="0"/>
    </xf>
    <xf numFmtId="171" fontId="14" fillId="3" borderId="3" xfId="0" applyNumberFormat="1" applyFont="1" applyFill="1" applyBorder="1" applyAlignment="1" applyProtection="1">
      <alignment horizontal="center" vertical="center" wrapText="1"/>
      <protection locked="0"/>
    </xf>
    <xf numFmtId="0" fontId="14" fillId="3" borderId="33" xfId="0" applyFont="1" applyFill="1" applyBorder="1" applyAlignment="1" applyProtection="1">
      <alignment horizontal="center" vertical="center" wrapText="1"/>
      <protection locked="0"/>
    </xf>
    <xf numFmtId="171" fontId="14" fillId="3" borderId="6" xfId="0" applyNumberFormat="1"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171" fontId="14" fillId="3" borderId="2" xfId="0" applyNumberFormat="1" applyFont="1" applyFill="1" applyBorder="1" applyAlignment="1" applyProtection="1">
      <alignment horizontal="center" vertical="center" wrapText="1"/>
      <protection locked="0"/>
    </xf>
    <xf numFmtId="0" fontId="14" fillId="3" borderId="47" xfId="0" applyFont="1" applyFill="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20" fillId="0" borderId="25" xfId="0" applyFont="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20" fillId="0" borderId="40" xfId="0" applyFont="1" applyBorder="1" applyAlignment="1" applyProtection="1">
      <alignment horizontal="center" vertical="center" wrapText="1"/>
      <protection locked="0"/>
    </xf>
    <xf numFmtId="0" fontId="10" fillId="10" borderId="67" xfId="0" applyFont="1" applyFill="1" applyBorder="1" applyAlignment="1">
      <alignment horizontal="center" vertical="center" wrapText="1"/>
    </xf>
    <xf numFmtId="0" fontId="29" fillId="7" borderId="6" xfId="2" applyFont="1" applyFill="1" applyBorder="1" applyAlignment="1">
      <alignment horizontal="center" vertical="center" wrapText="1"/>
    </xf>
    <xf numFmtId="0" fontId="29" fillId="10" borderId="10" xfId="2" applyFont="1" applyFill="1" applyBorder="1" applyAlignment="1">
      <alignment horizontal="center" vertical="center" wrapText="1"/>
    </xf>
    <xf numFmtId="0" fontId="29" fillId="10" borderId="6" xfId="0" applyFont="1" applyFill="1" applyBorder="1" applyAlignment="1">
      <alignment horizontal="center" vertical="center" wrapText="1"/>
    </xf>
    <xf numFmtId="0" fontId="29" fillId="10" borderId="7"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4" fillId="2" borderId="65" xfId="0" applyFont="1" applyFill="1" applyBorder="1" applyAlignment="1">
      <alignment horizontal="center" vertical="center" wrapText="1"/>
    </xf>
    <xf numFmtId="167" fontId="37" fillId="3" borderId="0" xfId="6" applyFont="1" applyFill="1" applyBorder="1" applyAlignment="1" applyProtection="1">
      <alignment vertical="center" wrapText="1"/>
    </xf>
    <xf numFmtId="165" fontId="37" fillId="3" borderId="0" xfId="3" applyNumberFormat="1" applyFont="1" applyFill="1" applyBorder="1" applyAlignment="1" applyProtection="1">
      <alignment vertical="center" wrapText="1"/>
    </xf>
    <xf numFmtId="9" fontId="16" fillId="4" borderId="25" xfId="1" applyFont="1" applyFill="1" applyBorder="1" applyAlignment="1" applyProtection="1">
      <alignment horizontal="center" vertical="center" wrapText="1"/>
    </xf>
    <xf numFmtId="0" fontId="30" fillId="0" borderId="21" xfId="0" applyFont="1" applyBorder="1" applyAlignment="1" applyProtection="1">
      <alignment horizontal="left" vertical="center"/>
      <protection locked="0"/>
    </xf>
    <xf numFmtId="0" fontId="30" fillId="0" borderId="22" xfId="0" applyFont="1" applyBorder="1" applyAlignment="1" applyProtection="1">
      <alignment horizontal="left" vertical="center"/>
      <protection locked="0"/>
    </xf>
    <xf numFmtId="0" fontId="0" fillId="0" borderId="23" xfId="0" applyBorder="1" applyAlignment="1" applyProtection="1">
      <alignment vertical="center"/>
      <protection locked="0"/>
    </xf>
    <xf numFmtId="0" fontId="30" fillId="0" borderId="16" xfId="0" applyFont="1" applyBorder="1" applyAlignment="1" applyProtection="1">
      <alignment vertical="center"/>
      <protection locked="0"/>
    </xf>
    <xf numFmtId="0" fontId="0" fillId="0" borderId="0" xfId="0" applyAlignment="1" applyProtection="1">
      <alignment vertical="center"/>
      <protection locked="0"/>
    </xf>
    <xf numFmtId="0" fontId="0" fillId="0" borderId="17" xfId="0" applyBorder="1" applyAlignment="1" applyProtection="1">
      <alignment vertical="center"/>
      <protection locked="0"/>
    </xf>
    <xf numFmtId="0" fontId="30" fillId="0" borderId="16" xfId="0" applyFont="1" applyBorder="1" applyAlignment="1" applyProtection="1">
      <alignment horizontal="left" vertical="center"/>
      <protection locked="0"/>
    </xf>
    <xf numFmtId="0" fontId="30" fillId="0" borderId="0" xfId="0" applyFont="1" applyAlignment="1" applyProtection="1">
      <alignment horizontal="left" vertical="center"/>
      <protection locked="0"/>
    </xf>
    <xf numFmtId="0" fontId="0" fillId="0" borderId="16" xfId="0" applyBorder="1" applyAlignment="1" applyProtection="1">
      <alignment vertical="center"/>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14" fillId="3" borderId="0" xfId="0" applyFont="1" applyFill="1" applyAlignment="1">
      <alignment wrapText="1"/>
    </xf>
    <xf numFmtId="0" fontId="14" fillId="0" borderId="0" xfId="0" applyFont="1"/>
    <xf numFmtId="167" fontId="14" fillId="14" borderId="3" xfId="6" applyFont="1" applyFill="1" applyBorder="1" applyAlignment="1" applyProtection="1">
      <alignment horizontal="center" vertical="center" wrapText="1"/>
    </xf>
    <xf numFmtId="167" fontId="14" fillId="14" borderId="33" xfId="6" applyFont="1" applyFill="1" applyBorder="1" applyAlignment="1" applyProtection="1">
      <alignment horizontal="center" vertical="center"/>
    </xf>
    <xf numFmtId="167" fontId="14" fillId="14" borderId="6" xfId="6" applyFont="1" applyFill="1" applyBorder="1" applyAlignment="1" applyProtection="1">
      <alignment horizontal="center" vertical="center" wrapText="1"/>
    </xf>
    <xf numFmtId="167" fontId="14" fillId="14" borderId="7" xfId="6" applyFont="1" applyFill="1" applyBorder="1" applyAlignment="1" applyProtection="1">
      <alignment horizontal="center" vertical="center"/>
    </xf>
    <xf numFmtId="167" fontId="14" fillId="14" borderId="2" xfId="6" applyFont="1" applyFill="1" applyBorder="1" applyAlignment="1" applyProtection="1">
      <alignment horizontal="center" vertical="center" wrapText="1"/>
    </xf>
    <xf numFmtId="167" fontId="14" fillId="14" borderId="47" xfId="6" applyFont="1" applyFill="1" applyBorder="1" applyAlignment="1" applyProtection="1">
      <alignment horizontal="center" vertical="center"/>
    </xf>
    <xf numFmtId="167" fontId="10" fillId="14" borderId="46" xfId="6" applyFont="1" applyFill="1" applyBorder="1" applyAlignment="1" applyProtection="1">
      <alignment vertical="center" wrapText="1"/>
    </xf>
    <xf numFmtId="167" fontId="10" fillId="14" borderId="45" xfId="6" applyFont="1" applyFill="1" applyBorder="1" applyAlignment="1" applyProtection="1">
      <alignment vertical="center" wrapText="1"/>
    </xf>
    <xf numFmtId="0" fontId="10" fillId="0" borderId="0" xfId="0" applyFont="1" applyAlignment="1">
      <alignment wrapText="1"/>
    </xf>
    <xf numFmtId="0" fontId="10" fillId="7" borderId="68"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0" fillId="10" borderId="31" xfId="0" applyFont="1" applyFill="1" applyBorder="1" applyAlignment="1">
      <alignment horizontal="center" vertical="center" wrapText="1"/>
    </xf>
    <xf numFmtId="0" fontId="10" fillId="10" borderId="52" xfId="0" applyFont="1" applyFill="1" applyBorder="1" applyAlignment="1">
      <alignment horizontal="center" vertical="center" wrapText="1"/>
    </xf>
    <xf numFmtId="0" fontId="22" fillId="10" borderId="6" xfId="0" applyFont="1" applyFill="1" applyBorder="1" applyAlignment="1">
      <alignment horizontal="center" vertical="center" wrapText="1"/>
    </xf>
    <xf numFmtId="0" fontId="29" fillId="10" borderId="6" xfId="2" applyFont="1" applyFill="1" applyBorder="1" applyAlignment="1">
      <alignment horizontal="center" vertical="center" wrapText="1"/>
    </xf>
    <xf numFmtId="171" fontId="17" fillId="4" borderId="25" xfId="0" applyNumberFormat="1" applyFont="1" applyFill="1" applyBorder="1" applyAlignment="1">
      <alignment horizontal="right" vertical="center" wrapText="1"/>
    </xf>
    <xf numFmtId="0" fontId="16" fillId="4" borderId="25" xfId="0" applyFont="1" applyFill="1" applyBorder="1" applyAlignment="1">
      <alignment horizontal="center" vertical="center" wrapText="1"/>
    </xf>
    <xf numFmtId="171" fontId="16" fillId="4" borderId="25" xfId="0" applyNumberFormat="1" applyFont="1" applyFill="1" applyBorder="1" applyAlignment="1">
      <alignment horizontal="center" vertical="center" wrapText="1"/>
    </xf>
    <xf numFmtId="0" fontId="14" fillId="14" borderId="4" xfId="0" applyFont="1" applyFill="1" applyBorder="1" applyAlignment="1">
      <alignment horizontal="center" vertical="center" wrapText="1"/>
    </xf>
    <xf numFmtId="1" fontId="14" fillId="3" borderId="0" xfId="0" applyNumberFormat="1" applyFont="1" applyFill="1" applyAlignment="1">
      <alignment wrapText="1"/>
    </xf>
    <xf numFmtId="0" fontId="10" fillId="14" borderId="18" xfId="0" applyFont="1" applyFill="1" applyBorder="1" applyAlignment="1">
      <alignment wrapText="1"/>
    </xf>
    <xf numFmtId="171" fontId="10" fillId="14" borderId="60" xfId="0" applyNumberFormat="1" applyFont="1" applyFill="1" applyBorder="1" applyAlignment="1">
      <alignment wrapText="1"/>
    </xf>
    <xf numFmtId="0" fontId="14" fillId="0" borderId="0" xfId="0" applyFont="1" applyAlignment="1">
      <alignment vertical="center" wrapText="1"/>
    </xf>
    <xf numFmtId="0" fontId="30" fillId="0" borderId="0" xfId="0" applyFont="1" applyAlignment="1">
      <alignment vertical="center" wrapText="1"/>
    </xf>
    <xf numFmtId="0" fontId="30" fillId="0" borderId="21" xfId="0" applyFont="1" applyBorder="1" applyAlignment="1" applyProtection="1">
      <alignment vertical="center"/>
      <protection locked="0"/>
    </xf>
    <xf numFmtId="0" fontId="30" fillId="0" borderId="22" xfId="0" applyFont="1" applyBorder="1" applyAlignment="1" applyProtection="1">
      <alignment vertical="center" wrapText="1"/>
      <protection locked="0"/>
    </xf>
    <xf numFmtId="0" fontId="30" fillId="0" borderId="23" xfId="0" applyFont="1" applyBorder="1" applyAlignment="1" applyProtection="1">
      <alignment vertical="center" wrapText="1"/>
      <protection locked="0"/>
    </xf>
    <xf numFmtId="0" fontId="14" fillId="0" borderId="0" xfId="0" applyFont="1" applyAlignment="1" applyProtection="1">
      <alignment wrapText="1"/>
      <protection locked="0"/>
    </xf>
    <xf numFmtId="0" fontId="30" fillId="0" borderId="17" xfId="0" applyFont="1" applyBorder="1" applyAlignment="1" applyProtection="1">
      <alignment vertical="center" wrapText="1"/>
      <protection locked="0"/>
    </xf>
    <xf numFmtId="0" fontId="14" fillId="0" borderId="16" xfId="0" applyFont="1" applyBorder="1" applyAlignment="1" applyProtection="1">
      <alignment vertical="center"/>
      <protection locked="0"/>
    </xf>
    <xf numFmtId="0" fontId="14" fillId="0" borderId="17" xfId="0" applyFont="1" applyBorder="1" applyAlignment="1" applyProtection="1">
      <alignment vertical="center" wrapText="1"/>
      <protection locked="0"/>
    </xf>
    <xf numFmtId="0" fontId="14" fillId="0" borderId="18" xfId="0" applyFont="1" applyBorder="1" applyAlignment="1" applyProtection="1">
      <alignment vertical="center"/>
      <protection locked="0"/>
    </xf>
    <xf numFmtId="0" fontId="14" fillId="0" borderId="19" xfId="0" applyFont="1" applyBorder="1" applyAlignment="1" applyProtection="1">
      <alignment wrapText="1"/>
      <protection locked="0"/>
    </xf>
    <xf numFmtId="0" fontId="14" fillId="0" borderId="20" xfId="0" applyFont="1" applyBorder="1" applyAlignment="1" applyProtection="1">
      <alignment vertical="center" wrapText="1"/>
      <protection locked="0"/>
    </xf>
    <xf numFmtId="0" fontId="8" fillId="0" borderId="0" xfId="0" applyFont="1" applyAlignment="1">
      <alignment horizontal="left" vertical="center" wrapText="1"/>
    </xf>
    <xf numFmtId="0" fontId="12" fillId="0" borderId="0" xfId="0" applyFont="1" applyAlignment="1">
      <alignment horizontal="left" vertical="center" wrapText="1"/>
    </xf>
    <xf numFmtId="0" fontId="28" fillId="0" borderId="0" xfId="2" applyFont="1" applyAlignment="1">
      <alignment vertical="center"/>
    </xf>
    <xf numFmtId="0" fontId="10" fillId="7" borderId="3" xfId="2" applyFont="1" applyFill="1" applyBorder="1" applyAlignment="1">
      <alignment horizontal="center" vertical="center" wrapText="1"/>
    </xf>
    <xf numFmtId="0" fontId="10" fillId="7" borderId="3" xfId="0" applyFont="1" applyFill="1" applyBorder="1" applyAlignment="1">
      <alignment horizontal="center" vertical="center" wrapText="1"/>
    </xf>
    <xf numFmtId="0" fontId="10" fillId="10" borderId="3" xfId="2" applyFont="1" applyFill="1" applyBorder="1" applyAlignment="1">
      <alignment horizontal="center" vertical="center" wrapText="1"/>
    </xf>
    <xf numFmtId="49" fontId="0" fillId="0" borderId="0" xfId="0" applyNumberFormat="1" applyAlignment="1">
      <alignment horizontal="center" vertical="center" wrapText="1"/>
    </xf>
    <xf numFmtId="0" fontId="10" fillId="3" borderId="0" xfId="0" applyFont="1" applyFill="1" applyAlignment="1">
      <alignment horizontal="center" vertical="center" wrapText="1"/>
    </xf>
    <xf numFmtId="171" fontId="10" fillId="0" borderId="0" xfId="0" applyNumberFormat="1" applyFont="1" applyAlignment="1">
      <alignment wrapText="1"/>
    </xf>
    <xf numFmtId="0" fontId="14" fillId="3" borderId="10" xfId="0" applyFont="1" applyFill="1" applyBorder="1" applyAlignment="1" applyProtection="1">
      <alignment horizontal="center" vertical="center" wrapText="1"/>
      <protection locked="0"/>
    </xf>
    <xf numFmtId="49" fontId="14" fillId="0" borderId="14" xfId="0" applyNumberFormat="1" applyFont="1" applyBorder="1" applyAlignment="1" applyProtection="1">
      <alignment horizontal="center" vertical="center" wrapText="1"/>
      <protection locked="0"/>
    </xf>
    <xf numFmtId="0" fontId="14" fillId="3" borderId="27" xfId="0" applyFont="1" applyFill="1" applyBorder="1" applyAlignment="1" applyProtection="1">
      <alignment horizontal="center" vertical="center" wrapText="1"/>
      <protection locked="0"/>
    </xf>
    <xf numFmtId="0" fontId="29" fillId="7" borderId="12" xfId="0" applyFont="1" applyFill="1" applyBorder="1" applyAlignment="1">
      <alignment horizontal="center" vertical="center" wrapText="1"/>
    </xf>
    <xf numFmtId="0" fontId="22" fillId="7" borderId="12" xfId="0" applyFont="1" applyFill="1" applyBorder="1" applyAlignment="1">
      <alignment horizontal="center" vertical="center" wrapText="1"/>
    </xf>
    <xf numFmtId="0" fontId="14" fillId="14" borderId="43" xfId="0" applyFont="1" applyFill="1" applyBorder="1" applyAlignment="1">
      <alignment horizontal="center" vertical="center" wrapText="1"/>
    </xf>
    <xf numFmtId="171" fontId="10" fillId="14" borderId="20" xfId="6" applyNumberFormat="1" applyFont="1" applyFill="1" applyBorder="1" applyAlignment="1" applyProtection="1">
      <alignment vertical="center" wrapText="1"/>
    </xf>
    <xf numFmtId="0" fontId="14" fillId="3" borderId="35" xfId="0" applyFont="1" applyFill="1" applyBorder="1" applyAlignment="1" applyProtection="1">
      <alignment horizontal="center" vertical="center" wrapText="1"/>
      <protection locked="0"/>
    </xf>
    <xf numFmtId="0" fontId="14" fillId="0" borderId="22" xfId="0" applyFont="1" applyBorder="1" applyAlignment="1" applyProtection="1">
      <alignment vertical="center"/>
      <protection locked="0"/>
    </xf>
    <xf numFmtId="0" fontId="14" fillId="0" borderId="23" xfId="0" applyFont="1" applyBorder="1" applyAlignment="1" applyProtection="1">
      <alignment vertical="center"/>
      <protection locked="0"/>
    </xf>
    <xf numFmtId="0" fontId="14" fillId="0" borderId="0" xfId="0" applyFont="1" applyAlignment="1" applyProtection="1">
      <alignment vertical="center"/>
      <protection locked="0"/>
    </xf>
    <xf numFmtId="0" fontId="14" fillId="0" borderId="17" xfId="0" applyFont="1" applyBorder="1" applyAlignment="1" applyProtection="1">
      <alignment vertical="center"/>
      <protection locked="0"/>
    </xf>
    <xf numFmtId="0" fontId="30" fillId="0" borderId="16" xfId="0" applyFont="1" applyBorder="1" applyAlignment="1" applyProtection="1">
      <alignment horizontal="left" vertical="center" wrapText="1"/>
      <protection locked="0"/>
    </xf>
    <xf numFmtId="0" fontId="30" fillId="0" borderId="18" xfId="0" applyFont="1" applyBorder="1" applyAlignment="1" applyProtection="1">
      <alignment vertical="center"/>
      <protection locked="0"/>
    </xf>
    <xf numFmtId="0" fontId="14" fillId="0" borderId="19" xfId="0" applyFont="1" applyBorder="1" applyAlignment="1" applyProtection="1">
      <alignment vertical="center"/>
      <protection locked="0"/>
    </xf>
    <xf numFmtId="0" fontId="14" fillId="0" borderId="20" xfId="0" applyFont="1" applyBorder="1" applyAlignment="1" applyProtection="1">
      <alignment vertical="center"/>
      <protection locked="0"/>
    </xf>
    <xf numFmtId="171" fontId="14" fillId="3" borderId="6" xfId="6" applyNumberFormat="1" applyFont="1" applyFill="1" applyBorder="1" applyAlignment="1" applyProtection="1">
      <alignment horizontal="right" vertical="center" wrapText="1"/>
      <protection locked="0"/>
    </xf>
    <xf numFmtId="0" fontId="0" fillId="3" borderId="6" xfId="0" applyFill="1" applyBorder="1" applyAlignment="1" applyProtection="1">
      <alignment horizontal="center" vertical="center" wrapText="1"/>
      <protection locked="0"/>
    </xf>
    <xf numFmtId="49" fontId="0" fillId="3" borderId="6" xfId="0" applyNumberFormat="1" applyFill="1" applyBorder="1" applyAlignment="1" applyProtection="1">
      <alignment horizontal="center" vertical="center" wrapText="1"/>
      <protection locked="0"/>
    </xf>
    <xf numFmtId="171" fontId="0" fillId="3" borderId="6" xfId="6" applyNumberFormat="1" applyFont="1" applyFill="1" applyBorder="1" applyAlignment="1" applyProtection="1">
      <alignment horizontal="right" vertical="center" wrapText="1"/>
      <protection locked="0"/>
    </xf>
    <xf numFmtId="0" fontId="0" fillId="3" borderId="25" xfId="0" applyFill="1" applyBorder="1" applyAlignment="1" applyProtection="1">
      <alignment horizontal="center" vertical="center" wrapText="1"/>
      <protection locked="0"/>
    </xf>
    <xf numFmtId="49" fontId="0" fillId="3" borderId="25" xfId="0" applyNumberFormat="1" applyFill="1" applyBorder="1" applyAlignment="1" applyProtection="1">
      <alignment horizontal="center" vertical="center" wrapText="1"/>
      <protection locked="0"/>
    </xf>
    <xf numFmtId="0" fontId="14" fillId="3" borderId="52" xfId="0" applyFont="1" applyFill="1" applyBorder="1" applyAlignment="1" applyProtection="1">
      <alignment horizontal="center" vertical="center" wrapText="1"/>
      <protection locked="0"/>
    </xf>
    <xf numFmtId="0" fontId="22" fillId="0" borderId="21" xfId="0" applyFont="1" applyBorder="1" applyAlignment="1" applyProtection="1">
      <alignment horizontal="left"/>
      <protection locked="0"/>
    </xf>
    <xf numFmtId="0" fontId="23" fillId="0" borderId="22" xfId="0" applyFont="1" applyBorder="1" applyProtection="1">
      <protection locked="0"/>
    </xf>
    <xf numFmtId="0" fontId="23" fillId="0" borderId="23" xfId="0" applyFont="1" applyBorder="1" applyProtection="1">
      <protection locked="0"/>
    </xf>
    <xf numFmtId="0" fontId="22" fillId="0" borderId="16" xfId="0" applyFont="1" applyBorder="1" applyProtection="1">
      <protection locked="0"/>
    </xf>
    <xf numFmtId="0" fontId="23" fillId="0" borderId="0" xfId="0" applyFont="1" applyProtection="1">
      <protection locked="0"/>
    </xf>
    <xf numFmtId="0" fontId="23" fillId="0" borderId="17" xfId="0" applyFont="1" applyBorder="1" applyProtection="1">
      <protection locked="0"/>
    </xf>
    <xf numFmtId="0" fontId="22" fillId="0" borderId="16" xfId="0" applyFont="1" applyBorder="1" applyAlignment="1" applyProtection="1">
      <alignment horizontal="left" vertical="center"/>
      <protection locked="0"/>
    </xf>
    <xf numFmtId="0" fontId="22" fillId="0" borderId="16" xfId="0" applyFont="1" applyBorder="1" applyAlignment="1" applyProtection="1">
      <alignment horizontal="left" vertical="center" wrapText="1"/>
      <protection locked="0"/>
    </xf>
    <xf numFmtId="0" fontId="22" fillId="0" borderId="16" xfId="0" applyFont="1" applyBorder="1" applyAlignment="1" applyProtection="1">
      <alignment horizontal="left"/>
      <protection locked="0"/>
    </xf>
    <xf numFmtId="0" fontId="23" fillId="0" borderId="16" xfId="0" applyFont="1" applyBorder="1" applyProtection="1">
      <protection locked="0"/>
    </xf>
    <xf numFmtId="0" fontId="23" fillId="0" borderId="18" xfId="0" applyFont="1" applyBorder="1" applyProtection="1">
      <protection locked="0"/>
    </xf>
    <xf numFmtId="0" fontId="23" fillId="0" borderId="19" xfId="0" applyFont="1" applyBorder="1" applyProtection="1">
      <protection locked="0"/>
    </xf>
    <xf numFmtId="0" fontId="23" fillId="0" borderId="20" xfId="0" applyFont="1" applyBorder="1" applyProtection="1">
      <protection locked="0"/>
    </xf>
    <xf numFmtId="0" fontId="10" fillId="7" borderId="38" xfId="2" applyFont="1" applyFill="1" applyBorder="1" applyAlignment="1">
      <alignment horizontal="center" vertical="center" wrapText="1"/>
    </xf>
    <xf numFmtId="0" fontId="29" fillId="7" borderId="15" xfId="2" applyFont="1" applyFill="1" applyBorder="1" applyAlignment="1">
      <alignment horizontal="center" vertical="center" wrapText="1"/>
    </xf>
    <xf numFmtId="171" fontId="16" fillId="4" borderId="2" xfId="1" applyNumberFormat="1" applyFont="1" applyFill="1" applyBorder="1" applyAlignment="1" applyProtection="1">
      <alignment horizontal="right" vertical="center" wrapText="1"/>
    </xf>
    <xf numFmtId="171" fontId="16" fillId="14" borderId="4" xfId="1" applyNumberFormat="1" applyFont="1" applyFill="1" applyBorder="1" applyAlignment="1" applyProtection="1">
      <alignment horizontal="right" vertical="center" wrapText="1"/>
    </xf>
    <xf numFmtId="171" fontId="16" fillId="14" borderId="6" xfId="1" applyNumberFormat="1" applyFont="1" applyFill="1" applyBorder="1" applyAlignment="1" applyProtection="1">
      <alignment horizontal="right" vertical="center" wrapText="1"/>
    </xf>
    <xf numFmtId="9" fontId="14" fillId="3" borderId="6" xfId="0" applyNumberFormat="1" applyFont="1" applyFill="1" applyBorder="1" applyAlignment="1" applyProtection="1">
      <alignment horizontal="center" vertical="center" wrapText="1"/>
      <protection locked="0"/>
    </xf>
    <xf numFmtId="9" fontId="0" fillId="3" borderId="6" xfId="0" applyNumberFormat="1" applyFill="1" applyBorder="1" applyAlignment="1" applyProtection="1">
      <alignment horizontal="center" vertical="center" wrapText="1"/>
      <protection locked="0"/>
    </xf>
    <xf numFmtId="9" fontId="0" fillId="3" borderId="25" xfId="0" applyNumberFormat="1" applyFill="1" applyBorder="1" applyAlignment="1" applyProtection="1">
      <alignment horizontal="center" vertical="center" wrapText="1"/>
      <protection locked="0"/>
    </xf>
    <xf numFmtId="49" fontId="14" fillId="3" borderId="6" xfId="0" applyNumberFormat="1" applyFont="1" applyFill="1" applyBorder="1" applyAlignment="1" applyProtection="1">
      <alignment horizontal="center" vertical="center" wrapText="1"/>
      <protection locked="0"/>
    </xf>
    <xf numFmtId="0" fontId="4" fillId="0" borderId="0" xfId="2" applyFont="1" applyAlignment="1">
      <alignment vertical="center"/>
    </xf>
    <xf numFmtId="0" fontId="14" fillId="14" borderId="3" xfId="0" applyFont="1" applyFill="1" applyBorder="1" applyAlignment="1">
      <alignment horizontal="center" vertical="center" wrapText="1"/>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44" fillId="0" borderId="16" xfId="0" applyFont="1" applyBorder="1" applyAlignment="1">
      <alignment vertical="center"/>
    </xf>
    <xf numFmtId="0" fontId="44" fillId="0" borderId="0" xfId="0" applyFont="1" applyAlignment="1">
      <alignment vertical="center"/>
    </xf>
    <xf numFmtId="0" fontId="44" fillId="0" borderId="0" xfId="0" applyFont="1" applyAlignment="1">
      <alignment horizontal="center" vertical="center"/>
    </xf>
    <xf numFmtId="0" fontId="44" fillId="0" borderId="17" xfId="0" applyFont="1" applyBorder="1" applyAlignment="1">
      <alignment vertical="center"/>
    </xf>
    <xf numFmtId="0" fontId="45" fillId="0" borderId="16" xfId="0" applyFont="1" applyBorder="1" applyAlignment="1">
      <alignment horizontal="center" vertical="center"/>
    </xf>
    <xf numFmtId="0" fontId="45" fillId="0" borderId="0" xfId="0" applyFont="1" applyAlignment="1">
      <alignment horizontal="center" vertical="center"/>
    </xf>
    <xf numFmtId="0" fontId="45" fillId="0" borderId="17" xfId="0" applyFont="1" applyBorder="1" applyAlignment="1">
      <alignment horizontal="center" vertical="center"/>
    </xf>
    <xf numFmtId="0" fontId="8" fillId="0" borderId="0" xfId="0" applyFont="1" applyAlignment="1">
      <alignment horizontal="left" vertical="center"/>
    </xf>
    <xf numFmtId="0" fontId="46" fillId="0" borderId="0" xfId="0" applyFont="1" applyAlignment="1">
      <alignment horizontal="left" vertical="center"/>
    </xf>
    <xf numFmtId="0" fontId="10" fillId="7" borderId="44" xfId="0" applyFont="1" applyFill="1" applyBorder="1" applyAlignment="1">
      <alignment horizontal="center" vertical="center" wrapText="1"/>
    </xf>
    <xf numFmtId="0" fontId="0" fillId="0" borderId="18" xfId="0" applyBorder="1" applyAlignment="1">
      <alignment vertical="center"/>
    </xf>
    <xf numFmtId="0" fontId="48" fillId="0" borderId="19" xfId="0" applyFont="1"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14" fillId="0" borderId="0" xfId="0" applyFont="1" applyAlignment="1">
      <alignment wrapText="1"/>
    </xf>
    <xf numFmtId="0" fontId="10" fillId="7" borderId="4" xfId="0" applyFont="1" applyFill="1" applyBorder="1" applyAlignment="1">
      <alignment horizontal="center" vertical="center" wrapText="1"/>
    </xf>
    <xf numFmtId="0" fontId="10" fillId="7" borderId="5" xfId="0" applyFont="1" applyFill="1" applyBorder="1" applyAlignment="1">
      <alignment horizontal="center" vertical="center" wrapText="1"/>
    </xf>
    <xf numFmtId="0" fontId="16" fillId="7" borderId="60" xfId="0" applyFont="1" applyFill="1" applyBorder="1" applyAlignment="1">
      <alignment horizontal="center" vertical="center" wrapText="1"/>
    </xf>
    <xf numFmtId="0" fontId="16" fillId="7" borderId="25" xfId="0" applyFont="1" applyFill="1" applyBorder="1" applyAlignment="1">
      <alignment horizontal="center" vertical="center" wrapText="1"/>
    </xf>
    <xf numFmtId="0" fontId="16" fillId="7" borderId="87"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0" fillId="0" borderId="22" xfId="0" applyFont="1" applyBorder="1" applyAlignment="1">
      <alignment horizontal="left" vertical="center" wrapText="1"/>
    </xf>
    <xf numFmtId="0" fontId="10" fillId="0" borderId="23" xfId="0" applyFont="1" applyBorder="1" applyAlignment="1">
      <alignment vertical="center" wrapText="1"/>
    </xf>
    <xf numFmtId="0" fontId="10" fillId="14" borderId="44" xfId="0" applyFont="1" applyFill="1" applyBorder="1" applyAlignment="1">
      <alignment vertical="center" wrapText="1"/>
    </xf>
    <xf numFmtId="171" fontId="10" fillId="14" borderId="45" xfId="0" applyNumberFormat="1" applyFont="1" applyFill="1" applyBorder="1" applyAlignment="1">
      <alignment vertical="center" wrapText="1"/>
    </xf>
    <xf numFmtId="171" fontId="10" fillId="14" borderId="46" xfId="0" applyNumberFormat="1" applyFont="1" applyFill="1" applyBorder="1" applyAlignment="1">
      <alignment vertical="center" wrapText="1"/>
    </xf>
    <xf numFmtId="171" fontId="10" fillId="0" borderId="21" xfId="0" applyNumberFormat="1" applyFont="1" applyBorder="1" applyAlignment="1">
      <alignment vertical="center" wrapText="1"/>
    </xf>
    <xf numFmtId="0" fontId="10" fillId="0" borderId="22" xfId="0" applyFont="1" applyBorder="1" applyAlignment="1">
      <alignment vertical="center" wrapText="1"/>
    </xf>
    <xf numFmtId="171" fontId="39" fillId="14" borderId="6" xfId="0" applyNumberFormat="1" applyFont="1" applyFill="1" applyBorder="1" applyAlignment="1">
      <alignment vertical="center" wrapText="1"/>
    </xf>
    <xf numFmtId="0" fontId="10" fillId="10" borderId="10" xfId="0" applyFont="1" applyFill="1" applyBorder="1" applyAlignment="1">
      <alignment horizontal="center" vertical="center" wrapText="1"/>
    </xf>
    <xf numFmtId="0" fontId="10" fillId="10" borderId="6" xfId="0" applyFont="1" applyFill="1" applyBorder="1" applyAlignment="1">
      <alignment horizontal="center" vertical="center" wrapText="1"/>
    </xf>
    <xf numFmtId="0" fontId="10" fillId="10" borderId="7" xfId="0" applyFont="1" applyFill="1" applyBorder="1" applyAlignment="1">
      <alignment horizontal="center" vertical="center" wrapText="1"/>
    </xf>
    <xf numFmtId="0" fontId="29" fillId="10" borderId="27" xfId="0" applyFont="1" applyFill="1" applyBorder="1" applyAlignment="1">
      <alignment horizontal="center" vertical="center" wrapText="1"/>
    </xf>
    <xf numFmtId="0" fontId="29" fillId="10" borderId="25" xfId="0" applyFont="1" applyFill="1" applyBorder="1" applyAlignment="1">
      <alignment horizontal="center" vertical="center" wrapText="1"/>
    </xf>
    <xf numFmtId="0" fontId="16" fillId="10" borderId="25" xfId="0" applyFont="1" applyFill="1" applyBorder="1" applyAlignment="1">
      <alignment horizontal="center" vertical="center" wrapText="1"/>
    </xf>
    <xf numFmtId="0" fontId="16" fillId="10" borderId="40" xfId="0" applyFont="1" applyFill="1" applyBorder="1" applyAlignment="1">
      <alignment horizontal="center" vertical="center" wrapText="1"/>
    </xf>
    <xf numFmtId="0" fontId="14" fillId="14" borderId="35" xfId="0" applyFont="1" applyFill="1" applyBorder="1" applyAlignment="1">
      <alignment horizontal="center" vertical="center" wrapText="1"/>
    </xf>
    <xf numFmtId="0" fontId="10" fillId="14" borderId="3" xfId="0" applyFont="1" applyFill="1" applyBorder="1" applyAlignment="1">
      <alignment horizontal="center" vertical="center" wrapText="1"/>
    </xf>
    <xf numFmtId="0" fontId="14" fillId="14" borderId="10" xfId="0" applyFont="1" applyFill="1" applyBorder="1" applyAlignment="1">
      <alignment horizontal="center" vertical="center" wrapText="1"/>
    </xf>
    <xf numFmtId="0" fontId="10" fillId="14" borderId="6" xfId="0" applyFont="1" applyFill="1" applyBorder="1" applyAlignment="1">
      <alignment horizontal="center" vertical="center" wrapText="1"/>
    </xf>
    <xf numFmtId="0" fontId="14" fillId="14" borderId="42" xfId="0" applyFont="1" applyFill="1" applyBorder="1" applyAlignment="1">
      <alignment horizontal="center" vertical="center" wrapText="1"/>
    </xf>
    <xf numFmtId="0" fontId="14" fillId="14" borderId="2" xfId="0" applyFont="1" applyFill="1" applyBorder="1" applyAlignment="1">
      <alignment horizontal="center" vertical="center" wrapText="1"/>
    </xf>
    <xf numFmtId="0" fontId="10" fillId="14" borderId="2" xfId="0" applyFont="1" applyFill="1" applyBorder="1" applyAlignment="1">
      <alignment horizontal="center" vertical="center" wrapText="1"/>
    </xf>
    <xf numFmtId="171" fontId="10" fillId="0" borderId="28" xfId="0" applyNumberFormat="1" applyFont="1" applyBorder="1" applyAlignment="1">
      <alignment horizontal="center" vertical="center" wrapText="1"/>
    </xf>
    <xf numFmtId="171" fontId="10" fillId="14" borderId="44" xfId="0" applyNumberFormat="1" applyFont="1" applyFill="1" applyBorder="1" applyAlignment="1">
      <alignment horizontal="center" vertical="center" wrapText="1"/>
    </xf>
    <xf numFmtId="0" fontId="10" fillId="0" borderId="28" xfId="0" applyFont="1" applyBorder="1" applyAlignment="1">
      <alignment vertical="center" wrapText="1"/>
    </xf>
    <xf numFmtId="171" fontId="21" fillId="14" borderId="6" xfId="0" applyNumberFormat="1" applyFont="1" applyFill="1" applyBorder="1" applyAlignment="1">
      <alignment vertical="center" wrapText="1"/>
    </xf>
    <xf numFmtId="171" fontId="36" fillId="12" borderId="6" xfId="0" applyNumberFormat="1" applyFont="1" applyFill="1" applyBorder="1" applyAlignment="1">
      <alignment vertical="center" wrapText="1"/>
    </xf>
    <xf numFmtId="0" fontId="0" fillId="3" borderId="0" xfId="0" applyFill="1"/>
    <xf numFmtId="0" fontId="39" fillId="0" borderId="0" xfId="0" applyFont="1" applyAlignment="1">
      <alignment horizontal="center" vertical="center"/>
    </xf>
    <xf numFmtId="0" fontId="10" fillId="0" borderId="0" xfId="0" applyFont="1" applyAlignment="1">
      <alignment horizontal="center" vertical="center" wrapText="1"/>
    </xf>
    <xf numFmtId="0" fontId="19" fillId="7" borderId="27"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14" fillId="8" borderId="3" xfId="0" applyFont="1" applyFill="1" applyBorder="1" applyAlignment="1">
      <alignment horizontal="center" vertical="center" wrapText="1"/>
    </xf>
    <xf numFmtId="0" fontId="20" fillId="8" borderId="7"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14" fillId="8" borderId="67" xfId="0" applyFont="1" applyFill="1" applyBorder="1" applyAlignment="1">
      <alignment horizontal="center" vertical="center" wrapText="1"/>
    </xf>
    <xf numFmtId="0" fontId="20" fillId="8" borderId="40"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4" fillId="8" borderId="6"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14" fillId="8" borderId="25" xfId="0" applyFont="1" applyFill="1" applyBorder="1" applyAlignment="1">
      <alignment horizontal="center" vertical="center" wrapText="1"/>
    </xf>
    <xf numFmtId="0" fontId="14" fillId="14" borderId="60" xfId="0" applyFont="1" applyFill="1" applyBorder="1" applyAlignment="1">
      <alignment horizontal="center" vertical="center" wrapText="1"/>
    </xf>
    <xf numFmtId="0" fontId="0" fillId="0" borderId="0" xfId="0" applyAlignment="1">
      <alignment wrapText="1"/>
    </xf>
    <xf numFmtId="0" fontId="11" fillId="0" borderId="0" xfId="0" applyFont="1" applyAlignment="1">
      <alignment horizontal="left" wrapText="1"/>
    </xf>
    <xf numFmtId="0" fontId="28" fillId="0" borderId="0" xfId="2" applyFont="1" applyAlignment="1">
      <alignment vertical="center" wrapText="1"/>
    </xf>
    <xf numFmtId="0" fontId="32" fillId="0" borderId="0" xfId="2" applyFont="1" applyAlignment="1">
      <alignment vertical="center" wrapText="1"/>
    </xf>
    <xf numFmtId="0" fontId="33" fillId="0" borderId="0" xfId="2" applyFont="1" applyAlignment="1">
      <alignment horizontal="center" vertical="center" wrapText="1"/>
    </xf>
    <xf numFmtId="0" fontId="34" fillId="0" borderId="0" xfId="2" applyFont="1" applyAlignment="1">
      <alignment vertical="center" wrapText="1"/>
    </xf>
    <xf numFmtId="0" fontId="24" fillId="0" borderId="0" xfId="2" applyFont="1" applyAlignment="1">
      <alignment horizontal="left" vertical="center" wrapText="1"/>
    </xf>
    <xf numFmtId="0" fontId="0" fillId="0" borderId="0" xfId="0" applyAlignment="1">
      <alignment horizontal="center" vertical="center" wrapText="1"/>
    </xf>
    <xf numFmtId="0" fontId="23" fillId="0" borderId="0" xfId="0" applyFont="1" applyAlignment="1">
      <alignment horizontal="center" vertical="center" wrapText="1"/>
    </xf>
    <xf numFmtId="0" fontId="22" fillId="7" borderId="6" xfId="2" applyFont="1" applyFill="1" applyBorder="1" applyAlignment="1">
      <alignment horizontal="center" vertical="center" wrapText="1"/>
    </xf>
    <xf numFmtId="0" fontId="22" fillId="7" borderId="6" xfId="2" quotePrefix="1" applyFont="1" applyFill="1" applyBorder="1" applyAlignment="1">
      <alignment horizontal="center" vertical="center" wrapText="1"/>
    </xf>
    <xf numFmtId="0" fontId="29" fillId="7" borderId="12" xfId="2" applyFont="1" applyFill="1" applyBorder="1" applyAlignment="1">
      <alignment horizontal="center" vertical="center" wrapText="1"/>
    </xf>
    <xf numFmtId="0" fontId="29" fillId="7" borderId="7" xfId="2" applyFont="1" applyFill="1" applyBorder="1" applyAlignment="1">
      <alignment horizontal="center" vertical="center" wrapText="1"/>
    </xf>
    <xf numFmtId="49" fontId="16" fillId="4" borderId="27" xfId="0" applyNumberFormat="1" applyFont="1" applyFill="1" applyBorder="1" applyAlignment="1">
      <alignment horizontal="center" vertical="center" wrapText="1"/>
    </xf>
    <xf numFmtId="49" fontId="9" fillId="0" borderId="0" xfId="0" applyNumberFormat="1" applyFont="1" applyAlignment="1">
      <alignment wrapText="1"/>
    </xf>
    <xf numFmtId="0" fontId="16" fillId="0" borderId="6" xfId="0" applyFont="1" applyBorder="1" applyAlignment="1">
      <alignment horizontal="center" vertical="center" wrapText="1"/>
    </xf>
    <xf numFmtId="0" fontId="37" fillId="0" borderId="0" xfId="2" applyFont="1" applyAlignment="1">
      <alignment horizontal="left" vertical="center" wrapText="1"/>
    </xf>
    <xf numFmtId="0" fontId="28" fillId="0" borderId="0" xfId="0" applyFont="1" applyAlignment="1">
      <alignment wrapText="1"/>
    </xf>
    <xf numFmtId="0" fontId="37" fillId="3" borderId="0" xfId="2" applyFont="1" applyFill="1" applyAlignment="1">
      <alignment horizontal="left" vertical="center" wrapText="1"/>
    </xf>
    <xf numFmtId="168" fontId="37" fillId="3" borderId="0" xfId="2" applyNumberFormat="1" applyFont="1" applyFill="1" applyAlignment="1">
      <alignment vertical="center" wrapText="1"/>
    </xf>
    <xf numFmtId="0" fontId="26" fillId="3" borderId="0" xfId="0" applyFont="1" applyFill="1" applyAlignment="1">
      <alignment wrapText="1"/>
    </xf>
    <xf numFmtId="0" fontId="0" fillId="3" borderId="0" xfId="0" applyFill="1" applyAlignment="1">
      <alignment wrapText="1"/>
    </xf>
    <xf numFmtId="0" fontId="7" fillId="3" borderId="0" xfId="0" applyFont="1" applyFill="1"/>
    <xf numFmtId="0" fontId="37" fillId="0" borderId="16" xfId="0" applyFont="1" applyBorder="1" applyAlignment="1">
      <alignment vertical="center" wrapText="1"/>
    </xf>
    <xf numFmtId="0" fontId="37" fillId="0" borderId="0" xfId="0" applyFont="1" applyAlignment="1">
      <alignment vertical="center" wrapText="1"/>
    </xf>
    <xf numFmtId="0" fontId="12" fillId="0" borderId="16" xfId="0" applyFont="1" applyBorder="1" applyAlignment="1">
      <alignment vertical="center" wrapText="1"/>
    </xf>
    <xf numFmtId="0" fontId="12" fillId="0" borderId="0" xfId="0" applyFont="1" applyAlignment="1">
      <alignment vertical="center" wrapText="1"/>
    </xf>
    <xf numFmtId="171" fontId="14" fillId="0" borderId="0" xfId="0" applyNumberFormat="1" applyFont="1" applyAlignment="1">
      <alignment wrapText="1"/>
    </xf>
    <xf numFmtId="0" fontId="10" fillId="10" borderId="64" xfId="0" applyFont="1" applyFill="1" applyBorder="1" applyAlignment="1">
      <alignment horizontal="center" vertical="center" wrapText="1"/>
    </xf>
    <xf numFmtId="0" fontId="10" fillId="10" borderId="4" xfId="0" applyFont="1" applyFill="1" applyBorder="1" applyAlignment="1">
      <alignment horizontal="center" vertical="center" wrapText="1"/>
    </xf>
    <xf numFmtId="0" fontId="22" fillId="7" borderId="6" xfId="0" applyFont="1" applyFill="1" applyBorder="1" applyAlignment="1">
      <alignment horizontal="center" vertical="center" wrapText="1"/>
    </xf>
    <xf numFmtId="0" fontId="29" fillId="7" borderId="15"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22" fillId="7" borderId="15" xfId="0" applyFont="1" applyFill="1" applyBorder="1" applyAlignment="1">
      <alignment horizontal="center" vertical="center" wrapText="1"/>
    </xf>
    <xf numFmtId="0" fontId="22" fillId="7" borderId="69" xfId="0" applyFont="1" applyFill="1" applyBorder="1" applyAlignment="1">
      <alignment horizontal="center" vertical="center" wrapText="1"/>
    </xf>
    <xf numFmtId="0" fontId="22" fillId="7" borderId="72" xfId="0" applyFont="1" applyFill="1" applyBorder="1" applyAlignment="1">
      <alignment horizontal="center" vertical="center" wrapText="1"/>
    </xf>
    <xf numFmtId="0" fontId="22" fillId="7" borderId="74" xfId="0" applyFont="1" applyFill="1" applyBorder="1" applyAlignment="1">
      <alignment horizontal="center" vertical="center" wrapText="1"/>
    </xf>
    <xf numFmtId="0" fontId="29" fillId="7" borderId="75" xfId="0" applyFont="1" applyFill="1" applyBorder="1" applyAlignment="1">
      <alignment horizontal="center" vertical="center" wrapText="1"/>
    </xf>
    <xf numFmtId="0" fontId="29" fillId="10" borderId="15" xfId="0" applyFont="1" applyFill="1" applyBorder="1" applyAlignment="1">
      <alignment horizontal="center" vertical="center" wrapText="1"/>
    </xf>
    <xf numFmtId="0" fontId="29" fillId="10" borderId="14" xfId="0" applyFont="1" applyFill="1" applyBorder="1" applyAlignment="1">
      <alignment horizontal="center" vertical="center" wrapText="1"/>
    </xf>
    <xf numFmtId="0" fontId="22" fillId="10" borderId="15" xfId="0" applyFont="1" applyFill="1" applyBorder="1" applyAlignment="1">
      <alignment horizontal="center" vertical="center" wrapText="1"/>
    </xf>
    <xf numFmtId="0" fontId="29" fillId="10" borderId="75" xfId="0" applyFont="1" applyFill="1" applyBorder="1" applyAlignment="1">
      <alignment horizontal="center" vertical="center" wrapText="1"/>
    </xf>
    <xf numFmtId="0" fontId="22" fillId="10" borderId="85" xfId="0" applyFont="1" applyFill="1" applyBorder="1" applyAlignment="1">
      <alignment horizontal="center" vertical="center" wrapText="1"/>
    </xf>
    <xf numFmtId="0" fontId="29" fillId="10" borderId="2" xfId="0" applyFont="1" applyFill="1" applyBorder="1" applyAlignment="1">
      <alignment horizontal="center" vertical="center" wrapText="1"/>
    </xf>
    <xf numFmtId="0" fontId="29" fillId="10" borderId="12" xfId="0" applyFont="1" applyFill="1" applyBorder="1" applyAlignment="1">
      <alignment horizontal="center" vertical="center" wrapText="1"/>
    </xf>
    <xf numFmtId="0" fontId="23" fillId="0" borderId="0" xfId="0" applyFont="1"/>
    <xf numFmtId="0" fontId="22" fillId="0" borderId="0" xfId="0" applyFont="1" applyAlignment="1">
      <alignment wrapText="1"/>
    </xf>
    <xf numFmtId="49" fontId="16" fillId="4" borderId="25" xfId="0" applyNumberFormat="1" applyFont="1" applyFill="1" applyBorder="1" applyAlignment="1">
      <alignment horizontal="center" vertical="center" wrapText="1"/>
    </xf>
    <xf numFmtId="171" fontId="16" fillId="4" borderId="25" xfId="0" applyNumberFormat="1" applyFont="1" applyFill="1" applyBorder="1" applyAlignment="1">
      <alignment horizontal="right" vertical="center" wrapText="1"/>
    </xf>
    <xf numFmtId="171" fontId="17" fillId="4" borderId="2" xfId="0" applyNumberFormat="1" applyFont="1" applyFill="1" applyBorder="1" applyAlignment="1">
      <alignment horizontal="right" vertical="center" wrapText="1"/>
    </xf>
    <xf numFmtId="49" fontId="14" fillId="0" borderId="0" xfId="0" applyNumberFormat="1" applyFont="1" applyAlignment="1">
      <alignment horizontal="center" vertical="center" wrapText="1"/>
    </xf>
    <xf numFmtId="171" fontId="14" fillId="14" borderId="77" xfId="0" applyNumberFormat="1" applyFont="1" applyFill="1" applyBorder="1" applyAlignment="1">
      <alignment horizontal="right" vertical="center" wrapText="1"/>
    </xf>
    <xf numFmtId="0" fontId="14" fillId="14" borderId="9" xfId="0" applyFont="1" applyFill="1" applyBorder="1" applyAlignment="1">
      <alignment horizontal="center" vertical="center" wrapText="1"/>
    </xf>
    <xf numFmtId="171" fontId="14" fillId="14" borderId="4" xfId="0" applyNumberFormat="1" applyFont="1" applyFill="1" applyBorder="1" applyAlignment="1">
      <alignment horizontal="right" vertical="center" wrapText="1"/>
    </xf>
    <xf numFmtId="171" fontId="14" fillId="14" borderId="75" xfId="0" applyNumberFormat="1" applyFont="1" applyFill="1" applyBorder="1" applyAlignment="1">
      <alignment horizontal="right" vertical="center" wrapText="1"/>
    </xf>
    <xf numFmtId="171" fontId="14" fillId="14" borderId="6" xfId="0" applyNumberFormat="1" applyFont="1" applyFill="1" applyBorder="1" applyAlignment="1">
      <alignment horizontal="right" vertical="center" wrapText="1"/>
    </xf>
    <xf numFmtId="171" fontId="10" fillId="14" borderId="61" xfId="0" applyNumberFormat="1" applyFont="1" applyFill="1" applyBorder="1" applyAlignment="1">
      <alignment wrapText="1"/>
    </xf>
    <xf numFmtId="49" fontId="16" fillId="4" borderId="11" xfId="0" applyNumberFormat="1"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14" borderId="59" xfId="0" applyFont="1" applyFill="1" applyBorder="1" applyAlignment="1">
      <alignment horizontal="center" vertical="center" wrapText="1"/>
    </xf>
    <xf numFmtId="171" fontId="14" fillId="14" borderId="59" xfId="0" applyNumberFormat="1" applyFont="1" applyFill="1" applyBorder="1" applyAlignment="1">
      <alignment horizontal="right" vertical="center" wrapText="1"/>
    </xf>
    <xf numFmtId="171" fontId="14" fillId="14" borderId="3" xfId="0" applyNumberFormat="1" applyFont="1" applyFill="1" applyBorder="1" applyAlignment="1">
      <alignment horizontal="right" vertical="center" wrapText="1"/>
    </xf>
    <xf numFmtId="0" fontId="16" fillId="0" borderId="0" xfId="0" applyFont="1" applyAlignment="1">
      <alignment vertical="center" wrapText="1"/>
    </xf>
    <xf numFmtId="0" fontId="30" fillId="0" borderId="16" xfId="0" applyFont="1" applyBorder="1" applyAlignment="1">
      <alignment vertical="center" wrapText="1"/>
    </xf>
    <xf numFmtId="0" fontId="14" fillId="0" borderId="16" xfId="0" applyFont="1" applyBorder="1" applyAlignment="1">
      <alignment vertical="center" wrapText="1"/>
    </xf>
    <xf numFmtId="0" fontId="10" fillId="7" borderId="64"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10" fillId="10" borderId="79" xfId="0" applyFont="1" applyFill="1" applyBorder="1" applyAlignment="1">
      <alignment horizontal="center" vertical="center" wrapText="1"/>
    </xf>
    <xf numFmtId="0" fontId="10" fillId="10" borderId="80" xfId="0" applyFont="1" applyFill="1" applyBorder="1" applyAlignment="1">
      <alignment horizontal="center" vertical="center" wrapText="1"/>
    </xf>
    <xf numFmtId="0" fontId="10" fillId="10" borderId="81" xfId="0" applyFont="1" applyFill="1" applyBorder="1" applyAlignment="1">
      <alignment horizontal="center" vertical="center" wrapText="1"/>
    </xf>
    <xf numFmtId="0" fontId="10" fillId="10" borderId="91" xfId="0" applyFont="1" applyFill="1" applyBorder="1" applyAlignment="1">
      <alignment horizontal="center" vertical="center" wrapText="1"/>
    </xf>
    <xf numFmtId="0" fontId="10" fillId="10" borderId="82" xfId="0" applyFont="1" applyFill="1" applyBorder="1" applyAlignment="1">
      <alignment horizontal="center" vertical="center" wrapText="1"/>
    </xf>
    <xf numFmtId="0" fontId="29" fillId="7" borderId="83" xfId="0" applyFont="1" applyFill="1" applyBorder="1" applyAlignment="1">
      <alignment horizontal="center" vertical="center" wrapText="1"/>
    </xf>
    <xf numFmtId="0" fontId="22" fillId="10" borderId="69" xfId="0" applyFont="1" applyFill="1" applyBorder="1" applyAlignment="1">
      <alignment horizontal="center" vertical="center" wrapText="1"/>
    </xf>
    <xf numFmtId="0" fontId="29" fillId="10" borderId="83" xfId="0" applyFont="1" applyFill="1" applyBorder="1" applyAlignment="1">
      <alignment horizontal="center" vertical="center" wrapText="1"/>
    </xf>
    <xf numFmtId="0" fontId="22" fillId="10" borderId="74" xfId="0" applyFont="1" applyFill="1" applyBorder="1" applyAlignment="1">
      <alignment horizontal="center" vertical="center" wrapText="1"/>
    </xf>
    <xf numFmtId="171" fontId="10" fillId="14" borderId="78" xfId="0" applyNumberFormat="1" applyFont="1" applyFill="1" applyBorder="1" applyAlignment="1">
      <alignment horizontal="right" vertical="center" wrapText="1"/>
    </xf>
    <xf numFmtId="0" fontId="14" fillId="0" borderId="0" xfId="0" applyFont="1" applyAlignment="1">
      <alignment vertical="center"/>
    </xf>
    <xf numFmtId="0" fontId="10" fillId="0" borderId="0" xfId="0" applyFont="1" applyAlignment="1">
      <alignment vertical="center"/>
    </xf>
    <xf numFmtId="0" fontId="14" fillId="3" borderId="0" xfId="0" applyFont="1" applyFill="1" applyAlignment="1">
      <alignment vertical="center"/>
    </xf>
    <xf numFmtId="0" fontId="10" fillId="7" borderId="4" xfId="2" applyFont="1" applyFill="1" applyBorder="1" applyAlignment="1">
      <alignment horizontal="center" vertical="center" wrapText="1"/>
    </xf>
    <xf numFmtId="0" fontId="10" fillId="10" borderId="4" xfId="2" applyFont="1" applyFill="1" applyBorder="1" applyAlignment="1">
      <alignment horizontal="center" vertical="center" wrapText="1"/>
    </xf>
    <xf numFmtId="0" fontId="10" fillId="3" borderId="0" xfId="2" applyFont="1" applyFill="1" applyAlignment="1">
      <alignment horizontal="center" vertical="center" wrapText="1"/>
    </xf>
    <xf numFmtId="0" fontId="29" fillId="7" borderId="2" xfId="2" applyFont="1" applyFill="1" applyBorder="1" applyAlignment="1">
      <alignment horizontal="center" vertical="center" wrapText="1"/>
    </xf>
    <xf numFmtId="0" fontId="59" fillId="7" borderId="2" xfId="2" applyFont="1" applyFill="1" applyBorder="1" applyAlignment="1">
      <alignment horizontal="center" vertical="center" wrapText="1"/>
    </xf>
    <xf numFmtId="0" fontId="16" fillId="3" borderId="0" xfId="2" applyFont="1" applyFill="1" applyAlignment="1">
      <alignment horizontal="center" vertical="center" wrapText="1"/>
    </xf>
    <xf numFmtId="49" fontId="16" fillId="3" borderId="0" xfId="0" applyNumberFormat="1" applyFont="1" applyFill="1" applyAlignment="1">
      <alignment horizontal="center" vertical="center" wrapText="1"/>
    </xf>
    <xf numFmtId="0" fontId="10" fillId="3" borderId="0" xfId="0" applyFont="1" applyFill="1" applyAlignment="1">
      <alignment vertical="center"/>
    </xf>
    <xf numFmtId="0" fontId="10" fillId="14" borderId="51" xfId="0" applyFont="1" applyFill="1" applyBorder="1" applyAlignment="1">
      <alignment vertical="center"/>
    </xf>
    <xf numFmtId="0" fontId="10" fillId="14" borderId="20" xfId="0" applyFont="1" applyFill="1" applyBorder="1" applyAlignment="1">
      <alignment vertical="center" wrapText="1"/>
    </xf>
    <xf numFmtId="167" fontId="10" fillId="3" borderId="0" xfId="0" applyNumberFormat="1" applyFont="1" applyFill="1" applyAlignment="1">
      <alignment vertical="center"/>
    </xf>
    <xf numFmtId="0" fontId="14" fillId="0" borderId="0" xfId="0" applyFont="1" applyAlignment="1">
      <alignment horizontal="center" vertical="center" wrapText="1"/>
    </xf>
    <xf numFmtId="0" fontId="42" fillId="0" borderId="0" xfId="0" applyFont="1" applyAlignment="1">
      <alignment horizontal="left" vertical="center" wrapText="1"/>
    </xf>
    <xf numFmtId="0" fontId="22" fillId="3" borderId="0" xfId="2" applyFont="1" applyFill="1" applyAlignment="1">
      <alignment vertical="center"/>
    </xf>
    <xf numFmtId="0" fontId="23" fillId="3" borderId="0" xfId="0" applyFont="1" applyFill="1"/>
    <xf numFmtId="0" fontId="10" fillId="7" borderId="52" xfId="0" applyFont="1" applyFill="1" applyBorder="1" applyAlignment="1">
      <alignment horizontal="center" vertical="center" wrapText="1"/>
    </xf>
    <xf numFmtId="0" fontId="22" fillId="7" borderId="12" xfId="2" applyFont="1" applyFill="1" applyBorder="1" applyAlignment="1">
      <alignment horizontal="center" vertical="center" wrapText="1"/>
    </xf>
    <xf numFmtId="49" fontId="29" fillId="7" borderId="6" xfId="2" applyNumberFormat="1" applyFont="1" applyFill="1" applyBorder="1" applyAlignment="1">
      <alignment horizontal="center" vertical="center" wrapText="1"/>
    </xf>
    <xf numFmtId="171" fontId="16" fillId="4" borderId="2" xfId="2" applyNumberFormat="1" applyFont="1" applyFill="1" applyBorder="1" applyAlignment="1">
      <alignment horizontal="center" vertical="center" wrapText="1"/>
    </xf>
    <xf numFmtId="49" fontId="0" fillId="0" borderId="0" xfId="0" applyNumberFormat="1"/>
    <xf numFmtId="0" fontId="10" fillId="14" borderId="3" xfId="0" applyFont="1" applyFill="1" applyBorder="1"/>
    <xf numFmtId="0" fontId="8" fillId="0" borderId="16" xfId="0" applyFont="1" applyBorder="1" applyAlignment="1">
      <alignment vertical="center"/>
    </xf>
    <xf numFmtId="0" fontId="42" fillId="0" borderId="16" xfId="0" applyFont="1" applyBorder="1" applyAlignment="1">
      <alignment vertical="center" wrapText="1"/>
    </xf>
    <xf numFmtId="171" fontId="16" fillId="4" borderId="67" xfId="2" applyNumberFormat="1" applyFont="1" applyFill="1" applyBorder="1" applyAlignment="1">
      <alignment horizontal="center" vertical="center" wrapText="1"/>
    </xf>
    <xf numFmtId="0" fontId="9" fillId="4" borderId="2" xfId="0" quotePrefix="1" applyFont="1" applyFill="1" applyBorder="1" applyAlignment="1">
      <alignment horizontal="center" vertical="center" wrapText="1"/>
    </xf>
    <xf numFmtId="0" fontId="5" fillId="10" borderId="4" xfId="0" applyFont="1" applyFill="1" applyBorder="1" applyAlignment="1">
      <alignment horizontal="center" vertical="center" wrapText="1"/>
    </xf>
    <xf numFmtId="0" fontId="25" fillId="10" borderId="2" xfId="0" applyFont="1" applyFill="1" applyBorder="1" applyAlignment="1">
      <alignment horizontal="center" vertical="center" wrapText="1"/>
    </xf>
    <xf numFmtId="171" fontId="14" fillId="14" borderId="60" xfId="0" applyNumberFormat="1" applyFont="1" applyFill="1" applyBorder="1" applyAlignment="1">
      <alignment horizontal="right" vertical="center" wrapText="1"/>
    </xf>
    <xf numFmtId="0" fontId="0" fillId="0" borderId="0" xfId="0" applyAlignment="1">
      <alignment horizontal="center"/>
    </xf>
    <xf numFmtId="171" fontId="16" fillId="4" borderId="2" xfId="2" applyNumberFormat="1" applyFont="1" applyFill="1" applyBorder="1" applyAlignment="1">
      <alignment horizontal="right" vertical="center" wrapText="1"/>
    </xf>
    <xf numFmtId="167" fontId="37" fillId="0" borderId="0" xfId="6" applyFont="1" applyFill="1" applyBorder="1" applyAlignment="1" applyProtection="1">
      <alignment vertical="center" wrapText="1"/>
    </xf>
    <xf numFmtId="171" fontId="14" fillId="14" borderId="6" xfId="7" applyNumberFormat="1" applyFont="1" applyFill="1" applyBorder="1" applyAlignment="1" applyProtection="1">
      <alignment horizontal="right" vertical="center" wrapText="1"/>
    </xf>
    <xf numFmtId="171" fontId="10" fillId="4" borderId="2" xfId="3" applyNumberFormat="1" applyFont="1" applyFill="1" applyBorder="1" applyAlignment="1" applyProtection="1">
      <alignment horizontal="right" vertical="center" wrapText="1"/>
    </xf>
    <xf numFmtId="165" fontId="37" fillId="14" borderId="61" xfId="3" applyNumberFormat="1" applyFont="1" applyFill="1" applyBorder="1" applyAlignment="1" applyProtection="1">
      <alignment vertical="center" wrapText="1"/>
    </xf>
    <xf numFmtId="0" fontId="14" fillId="2" borderId="39" xfId="0" applyFont="1" applyFill="1" applyBorder="1" applyAlignment="1">
      <alignment horizontal="center" vertical="center" wrapText="1"/>
    </xf>
    <xf numFmtId="0" fontId="14" fillId="2" borderId="50" xfId="0" applyFont="1" applyFill="1" applyBorder="1" applyAlignment="1">
      <alignment horizontal="center" vertical="center" wrapText="1"/>
    </xf>
    <xf numFmtId="49" fontId="16" fillId="4" borderId="88" xfId="2" applyNumberFormat="1" applyFont="1" applyFill="1" applyBorder="1" applyAlignment="1">
      <alignment horizontal="center" vertical="center" wrapText="1"/>
    </xf>
    <xf numFmtId="49" fontId="16" fillId="4" borderId="2" xfId="2" applyNumberFormat="1" applyFont="1" applyFill="1" applyBorder="1" applyAlignment="1">
      <alignment horizontal="center" vertical="center" wrapText="1"/>
    </xf>
    <xf numFmtId="172" fontId="16" fillId="4" borderId="2" xfId="2" applyNumberFormat="1" applyFont="1" applyFill="1" applyBorder="1" applyAlignment="1">
      <alignment horizontal="right" vertical="center" wrapText="1"/>
    </xf>
    <xf numFmtId="9" fontId="16" fillId="4" borderId="2" xfId="1" applyFont="1" applyFill="1" applyBorder="1" applyAlignment="1" applyProtection="1">
      <alignment horizontal="center" vertical="center" wrapText="1"/>
    </xf>
    <xf numFmtId="0" fontId="16" fillId="4" borderId="92" xfId="2" applyFont="1" applyFill="1" applyBorder="1" applyAlignment="1">
      <alignment horizontal="center" vertical="center" wrapText="1"/>
    </xf>
    <xf numFmtId="49" fontId="16" fillId="4" borderId="47" xfId="2" applyNumberFormat="1" applyFont="1" applyFill="1" applyBorder="1" applyAlignment="1">
      <alignment horizontal="center" vertical="center" wrapText="1"/>
    </xf>
    <xf numFmtId="49" fontId="16" fillId="17" borderId="2" xfId="0" applyNumberFormat="1" applyFont="1" applyFill="1" applyBorder="1" applyAlignment="1">
      <alignment horizontal="center" vertical="center" wrapText="1"/>
    </xf>
    <xf numFmtId="49" fontId="16" fillId="17" borderId="63" xfId="0" applyNumberFormat="1" applyFont="1" applyFill="1" applyBorder="1" applyAlignment="1">
      <alignment horizontal="center" vertical="center" wrapText="1"/>
    </xf>
    <xf numFmtId="0" fontId="16" fillId="4" borderId="63" xfId="0" applyFont="1" applyFill="1" applyBorder="1" applyAlignment="1">
      <alignment horizontal="center" vertical="center" wrapText="1"/>
    </xf>
    <xf numFmtId="171" fontId="17" fillId="4" borderId="2" xfId="2" applyNumberFormat="1" applyFont="1" applyFill="1" applyBorder="1" applyAlignment="1">
      <alignment horizontal="center" vertical="center" wrapText="1"/>
    </xf>
    <xf numFmtId="0" fontId="16" fillId="4" borderId="2" xfId="2" applyFont="1" applyFill="1" applyBorder="1" applyAlignment="1">
      <alignment horizontal="center" vertical="center" wrapText="1"/>
    </xf>
    <xf numFmtId="171" fontId="17" fillId="4" borderId="47" xfId="2" applyNumberFormat="1" applyFont="1" applyFill="1" applyBorder="1" applyAlignment="1">
      <alignment horizontal="center" vertical="center" wrapText="1"/>
    </xf>
    <xf numFmtId="0" fontId="14" fillId="3" borderId="51" xfId="2" applyFont="1" applyFill="1" applyBorder="1" applyAlignment="1" applyProtection="1">
      <alignment horizontal="center" vertical="center" wrapText="1"/>
      <protection locked="0"/>
    </xf>
    <xf numFmtId="0" fontId="14" fillId="3" borderId="60" xfId="0" applyFont="1" applyFill="1" applyBorder="1" applyAlignment="1" applyProtection="1">
      <alignment horizontal="center" vertical="center" wrapText="1"/>
      <protection locked="0"/>
    </xf>
    <xf numFmtId="0" fontId="14" fillId="3" borderId="60" xfId="2" applyFont="1" applyFill="1" applyBorder="1" applyAlignment="1" applyProtection="1">
      <alignment horizontal="center" vertical="center" wrapText="1"/>
      <protection locked="0"/>
    </xf>
    <xf numFmtId="171" fontId="14" fillId="3" borderId="60" xfId="2" applyNumberFormat="1" applyFont="1" applyFill="1" applyBorder="1" applyAlignment="1" applyProtection="1">
      <alignment horizontal="right" vertical="center" wrapText="1"/>
      <protection locked="0"/>
    </xf>
    <xf numFmtId="171" fontId="14" fillId="3" borderId="60" xfId="1" applyNumberFormat="1" applyFont="1" applyFill="1" applyBorder="1" applyAlignment="1" applyProtection="1">
      <alignment horizontal="right" vertical="center" wrapText="1"/>
      <protection locked="0"/>
    </xf>
    <xf numFmtId="0" fontId="14" fillId="3" borderId="61" xfId="0" applyFont="1" applyFill="1" applyBorder="1" applyAlignment="1" applyProtection="1">
      <alignment horizontal="center" vertical="center" wrapText="1"/>
      <protection locked="0"/>
    </xf>
    <xf numFmtId="171" fontId="14" fillId="14" borderId="6" xfId="6" applyNumberFormat="1" applyFont="1" applyFill="1" applyBorder="1" applyAlignment="1">
      <alignment horizontal="center" vertical="center" wrapText="1"/>
    </xf>
    <xf numFmtId="49" fontId="16" fillId="4" borderId="42" xfId="0" applyNumberFormat="1" applyFont="1" applyFill="1" applyBorder="1" applyAlignment="1">
      <alignment horizontal="center" vertical="center" wrapText="1"/>
    </xf>
    <xf numFmtId="168" fontId="37" fillId="0" borderId="17" xfId="2" applyNumberFormat="1" applyFont="1" applyBorder="1" applyAlignment="1">
      <alignment vertical="center" wrapText="1"/>
    </xf>
    <xf numFmtId="168" fontId="37" fillId="14" borderId="51" xfId="2" applyNumberFormat="1" applyFont="1" applyFill="1" applyBorder="1" applyAlignment="1">
      <alignment vertical="center" wrapText="1"/>
    </xf>
    <xf numFmtId="0" fontId="10" fillId="0" borderId="0" xfId="0" applyFont="1"/>
    <xf numFmtId="167" fontId="37" fillId="0" borderId="38" xfId="6" applyFont="1" applyFill="1" applyBorder="1" applyAlignment="1" applyProtection="1">
      <alignment vertical="center" wrapText="1"/>
    </xf>
    <xf numFmtId="167" fontId="37" fillId="14" borderId="62" xfId="6" applyFont="1" applyFill="1" applyBorder="1" applyAlignment="1" applyProtection="1">
      <alignment vertical="center" wrapText="1"/>
    </xf>
    <xf numFmtId="171" fontId="37" fillId="14" borderId="61" xfId="6" applyNumberFormat="1" applyFont="1" applyFill="1" applyBorder="1" applyAlignment="1" applyProtection="1">
      <alignment vertical="center" wrapText="1"/>
    </xf>
    <xf numFmtId="167" fontId="37" fillId="14" borderId="51" xfId="6" applyFont="1" applyFill="1" applyBorder="1" applyAlignment="1" applyProtection="1">
      <alignment vertical="center" wrapText="1"/>
    </xf>
    <xf numFmtId="165" fontId="37" fillId="14" borderId="61" xfId="6" applyNumberFormat="1" applyFont="1" applyFill="1" applyBorder="1" applyAlignment="1" applyProtection="1">
      <alignment vertical="center" wrapText="1"/>
    </xf>
    <xf numFmtId="0" fontId="14" fillId="3" borderId="60" xfId="1" applyNumberFormat="1" applyFont="1" applyFill="1" applyBorder="1" applyAlignment="1" applyProtection="1">
      <alignment horizontal="center" vertical="center" wrapText="1"/>
      <protection locked="0"/>
    </xf>
    <xf numFmtId="0" fontId="14" fillId="14" borderId="62" xfId="0" applyFont="1" applyFill="1" applyBorder="1" applyAlignment="1">
      <alignment horizontal="center" vertical="center" wrapText="1"/>
    </xf>
    <xf numFmtId="171" fontId="14" fillId="14" borderId="62" xfId="6" applyNumberFormat="1" applyFont="1" applyFill="1" applyBorder="1" applyAlignment="1">
      <alignment horizontal="center" vertical="center" wrapText="1"/>
    </xf>
    <xf numFmtId="0" fontId="16" fillId="0" borderId="60" xfId="0" applyFont="1" applyBorder="1" applyAlignment="1">
      <alignment horizontal="center" vertical="center" wrapText="1"/>
    </xf>
    <xf numFmtId="0" fontId="10" fillId="10" borderId="34" xfId="2" applyFont="1" applyFill="1" applyBorder="1" applyAlignment="1">
      <alignment horizontal="center" vertical="center" wrapText="1"/>
    </xf>
    <xf numFmtId="0" fontId="10" fillId="10" borderId="31" xfId="2" applyFont="1" applyFill="1" applyBorder="1" applyAlignment="1">
      <alignment horizontal="center" vertical="center" wrapText="1"/>
    </xf>
    <xf numFmtId="0" fontId="10" fillId="10" borderId="68" xfId="2" applyFont="1" applyFill="1" applyBorder="1" applyAlignment="1">
      <alignment horizontal="center" vertical="center" wrapText="1"/>
    </xf>
    <xf numFmtId="0" fontId="10" fillId="10" borderId="32" xfId="2" applyFont="1" applyFill="1" applyBorder="1" applyAlignment="1">
      <alignment horizontal="center" vertical="center" wrapText="1"/>
    </xf>
    <xf numFmtId="49" fontId="16" fillId="17" borderId="53" xfId="0" applyNumberFormat="1" applyFont="1" applyFill="1" applyBorder="1" applyAlignment="1">
      <alignment horizontal="center" vertical="center" wrapText="1"/>
    </xf>
    <xf numFmtId="0" fontId="14" fillId="14" borderId="51" xfId="0" applyFont="1" applyFill="1" applyBorder="1" applyAlignment="1">
      <alignment horizontal="center" vertical="center" wrapText="1"/>
    </xf>
    <xf numFmtId="0" fontId="10" fillId="7" borderId="66" xfId="2" applyFont="1" applyFill="1" applyBorder="1" applyAlignment="1">
      <alignment horizontal="center" vertical="center" wrapText="1"/>
    </xf>
    <xf numFmtId="0" fontId="10" fillId="7" borderId="31" xfId="2" applyFont="1" applyFill="1" applyBorder="1" applyAlignment="1">
      <alignment horizontal="center" vertical="center" wrapText="1"/>
    </xf>
    <xf numFmtId="0" fontId="10" fillId="7" borderId="68" xfId="2" applyFont="1" applyFill="1" applyBorder="1" applyAlignment="1">
      <alignment horizontal="center" vertical="center" wrapText="1"/>
    </xf>
    <xf numFmtId="0" fontId="10" fillId="7" borderId="32" xfId="2" applyFont="1" applyFill="1" applyBorder="1" applyAlignment="1">
      <alignment horizontal="center" vertical="center" wrapText="1"/>
    </xf>
    <xf numFmtId="0" fontId="14" fillId="3" borderId="5" xfId="0" applyFont="1" applyFill="1" applyBorder="1" applyAlignment="1" applyProtection="1">
      <alignment horizontal="center" vertical="center" wrapText="1"/>
      <protection locked="0"/>
    </xf>
    <xf numFmtId="171" fontId="10" fillId="14" borderId="4" xfId="3" applyNumberFormat="1" applyFont="1" applyFill="1" applyBorder="1" applyAlignment="1" applyProtection="1">
      <alignment horizontal="center" vertical="center" wrapText="1"/>
    </xf>
    <xf numFmtId="0" fontId="14" fillId="0" borderId="0" xfId="0" applyFont="1" applyAlignment="1">
      <alignment horizontal="center" wrapText="1"/>
    </xf>
    <xf numFmtId="0" fontId="16" fillId="10" borderId="3" xfId="0" applyFont="1" applyFill="1" applyBorder="1" applyAlignment="1">
      <alignment horizontal="center" vertical="center" wrapText="1"/>
    </xf>
    <xf numFmtId="49" fontId="16" fillId="4" borderId="2" xfId="0" applyNumberFormat="1" applyFont="1" applyFill="1" applyBorder="1" applyAlignment="1">
      <alignment horizontal="center" vertical="center" wrapText="1"/>
    </xf>
    <xf numFmtId="0" fontId="16" fillId="4" borderId="63" xfId="1" applyNumberFormat="1" applyFont="1" applyFill="1" applyBorder="1" applyAlignment="1" applyProtection="1">
      <alignment horizontal="center" vertical="center" wrapText="1"/>
    </xf>
    <xf numFmtId="0" fontId="16" fillId="4" borderId="88" xfId="1" applyNumberFormat="1" applyFont="1" applyFill="1" applyBorder="1" applyAlignment="1" applyProtection="1">
      <alignment horizontal="center" vertical="center" wrapText="1"/>
    </xf>
    <xf numFmtId="171" fontId="16" fillId="4" borderId="2" xfId="0" applyNumberFormat="1" applyFont="1" applyFill="1" applyBorder="1" applyAlignment="1">
      <alignment horizontal="right" vertical="center" wrapText="1"/>
    </xf>
    <xf numFmtId="171" fontId="16" fillId="4" borderId="93" xfId="0" applyNumberFormat="1" applyFont="1" applyFill="1" applyBorder="1" applyAlignment="1">
      <alignment horizontal="right" vertical="center" wrapText="1"/>
    </xf>
    <xf numFmtId="171" fontId="16" fillId="4" borderId="92" xfId="0" applyNumberFormat="1" applyFont="1" applyFill="1" applyBorder="1" applyAlignment="1">
      <alignment horizontal="right" vertical="center" wrapText="1"/>
    </xf>
    <xf numFmtId="171" fontId="16" fillId="4" borderId="85" xfId="0" applyNumberFormat="1" applyFont="1" applyFill="1" applyBorder="1" applyAlignment="1">
      <alignment horizontal="right" vertical="center" wrapText="1"/>
    </xf>
    <xf numFmtId="171" fontId="16" fillId="4" borderId="94" xfId="0" applyNumberFormat="1" applyFont="1" applyFill="1" applyBorder="1" applyAlignment="1">
      <alignment horizontal="right" vertical="center" wrapText="1"/>
    </xf>
    <xf numFmtId="171" fontId="16" fillId="4" borderId="88" xfId="0" applyNumberFormat="1" applyFont="1" applyFill="1" applyBorder="1" applyAlignment="1">
      <alignment horizontal="center" vertical="center" wrapText="1"/>
    </xf>
    <xf numFmtId="171" fontId="16" fillId="4" borderId="2" xfId="0" applyNumberFormat="1" applyFont="1" applyFill="1" applyBorder="1" applyAlignment="1">
      <alignment horizontal="center" vertical="center" wrapText="1"/>
    </xf>
    <xf numFmtId="1" fontId="14" fillId="3" borderId="95" xfId="0" applyNumberFormat="1" applyFont="1" applyFill="1" applyBorder="1" applyAlignment="1" applyProtection="1">
      <alignment horizontal="center" vertical="center" wrapText="1"/>
      <protection locked="0"/>
    </xf>
    <xf numFmtId="0" fontId="14" fillId="14" borderId="95" xfId="0" applyFont="1" applyFill="1" applyBorder="1" applyAlignment="1">
      <alignment horizontal="center" vertical="center" wrapText="1"/>
    </xf>
    <xf numFmtId="0" fontId="10" fillId="10" borderId="96" xfId="0" applyFont="1" applyFill="1" applyBorder="1" applyAlignment="1">
      <alignment horizontal="center" vertical="center" wrapText="1"/>
    </xf>
    <xf numFmtId="0" fontId="29" fillId="10" borderId="98" xfId="0" applyFont="1" applyFill="1" applyBorder="1" applyAlignment="1">
      <alignment horizontal="center" vertical="center" wrapText="1"/>
    </xf>
    <xf numFmtId="49" fontId="16" fillId="4" borderId="99" xfId="0" applyNumberFormat="1" applyFont="1" applyFill="1" applyBorder="1" applyAlignment="1">
      <alignment horizontal="center" vertical="center" wrapText="1"/>
    </xf>
    <xf numFmtId="171" fontId="17" fillId="4" borderId="100" xfId="0" applyNumberFormat="1" applyFont="1" applyFill="1" applyBorder="1" applyAlignment="1">
      <alignment horizontal="right" vertical="center" wrapText="1"/>
    </xf>
    <xf numFmtId="0" fontId="14" fillId="2" borderId="103" xfId="0" applyFont="1" applyFill="1" applyBorder="1" applyAlignment="1">
      <alignment horizontal="center" vertical="center" wrapText="1"/>
    </xf>
    <xf numFmtId="171" fontId="14" fillId="14" borderId="95" xfId="0" applyNumberFormat="1" applyFont="1" applyFill="1" applyBorder="1" applyAlignment="1">
      <alignment horizontal="center" vertical="center" wrapText="1"/>
    </xf>
    <xf numFmtId="0" fontId="29" fillId="7" borderId="95" xfId="0" applyFont="1" applyFill="1" applyBorder="1" applyAlignment="1">
      <alignment horizontal="center" vertical="center" wrapText="1"/>
    </xf>
    <xf numFmtId="0" fontId="22" fillId="7" borderId="95" xfId="0" applyFont="1" applyFill="1" applyBorder="1" applyAlignment="1">
      <alignment horizontal="center" vertical="center" wrapText="1"/>
    </xf>
    <xf numFmtId="0" fontId="10" fillId="7" borderId="79" xfId="0" applyFont="1" applyFill="1" applyBorder="1" applyAlignment="1">
      <alignment horizontal="center" vertical="center" wrapText="1"/>
    </xf>
    <xf numFmtId="0" fontId="10" fillId="7" borderId="80" xfId="0" applyFont="1" applyFill="1" applyBorder="1" applyAlignment="1">
      <alignment horizontal="center" vertical="center" wrapText="1"/>
    </xf>
    <xf numFmtId="0" fontId="10" fillId="7" borderId="81" xfId="0" applyFont="1" applyFill="1" applyBorder="1" applyAlignment="1">
      <alignment horizontal="center" vertical="center" wrapText="1"/>
    </xf>
    <xf numFmtId="0" fontId="10" fillId="7" borderId="91" xfId="0" applyFont="1" applyFill="1" applyBorder="1" applyAlignment="1">
      <alignment horizontal="center" vertical="center" wrapText="1"/>
    </xf>
    <xf numFmtId="0" fontId="10" fillId="7" borderId="82" xfId="0" applyFont="1" applyFill="1" applyBorder="1" applyAlignment="1">
      <alignment horizontal="center" vertical="center" wrapText="1"/>
    </xf>
    <xf numFmtId="0" fontId="10" fillId="7" borderId="112" xfId="0" applyFont="1" applyFill="1" applyBorder="1" applyAlignment="1">
      <alignment horizontal="center" vertical="center" wrapText="1"/>
    </xf>
    <xf numFmtId="171" fontId="17" fillId="4" borderId="113" xfId="0" applyNumberFormat="1" applyFont="1" applyFill="1" applyBorder="1" applyAlignment="1">
      <alignment horizontal="right" vertical="center" wrapText="1"/>
    </xf>
    <xf numFmtId="0" fontId="10" fillId="14" borderId="115" xfId="0" applyFont="1" applyFill="1" applyBorder="1" applyAlignment="1">
      <alignment wrapText="1"/>
    </xf>
    <xf numFmtId="0" fontId="14" fillId="14" borderId="120" xfId="0" applyFont="1" applyFill="1" applyBorder="1" applyAlignment="1">
      <alignment horizontal="center" vertical="center" wrapText="1"/>
    </xf>
    <xf numFmtId="0" fontId="14" fillId="14" borderId="111" xfId="0" applyFont="1" applyFill="1" applyBorder="1" applyAlignment="1">
      <alignment horizontal="center" vertical="center" wrapText="1"/>
    </xf>
    <xf numFmtId="0" fontId="10" fillId="20" borderId="1" xfId="0" applyFont="1" applyFill="1" applyBorder="1" applyAlignment="1">
      <alignment horizontal="center" vertical="center" wrapText="1"/>
    </xf>
    <xf numFmtId="0" fontId="29" fillId="20" borderId="1" xfId="0" applyFont="1" applyFill="1" applyBorder="1" applyAlignment="1">
      <alignment horizontal="center" vertical="center" wrapText="1"/>
    </xf>
    <xf numFmtId="0" fontId="14" fillId="21" borderId="133" xfId="0" applyFont="1" applyFill="1" applyBorder="1" applyAlignment="1" applyProtection="1">
      <alignment horizontal="center" vertical="center" wrapText="1"/>
      <protection locked="0"/>
    </xf>
    <xf numFmtId="171" fontId="14" fillId="3" borderId="69" xfId="0" applyNumberFormat="1" applyFont="1" applyFill="1" applyBorder="1" applyAlignment="1" applyProtection="1">
      <alignment vertical="center" wrapText="1"/>
      <protection locked="0"/>
    </xf>
    <xf numFmtId="171" fontId="10" fillId="14" borderId="95" xfId="0" applyNumberFormat="1" applyFont="1" applyFill="1" applyBorder="1" applyAlignment="1">
      <alignment horizontal="right" vertical="center" wrapText="1"/>
    </xf>
    <xf numFmtId="171" fontId="10" fillId="0" borderId="0" xfId="0" applyNumberFormat="1" applyFont="1" applyAlignment="1">
      <alignment horizontal="center" wrapText="1"/>
    </xf>
    <xf numFmtId="171" fontId="10" fillId="14" borderId="60" xfId="0" applyNumberFormat="1" applyFont="1" applyFill="1" applyBorder="1" applyAlignment="1">
      <alignment horizontal="center" wrapText="1"/>
    </xf>
    <xf numFmtId="171" fontId="10" fillId="14" borderId="61" xfId="0" applyNumberFormat="1" applyFont="1" applyFill="1" applyBorder="1" applyAlignment="1">
      <alignment horizontal="center" wrapText="1"/>
    </xf>
    <xf numFmtId="0" fontId="14" fillId="14" borderId="124"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2" xfId="1" applyNumberFormat="1" applyFont="1" applyFill="1" applyBorder="1" applyAlignment="1" applyProtection="1">
      <alignment horizontal="center" vertical="center" wrapText="1"/>
    </xf>
    <xf numFmtId="49" fontId="16" fillId="4" borderId="92" xfId="0" applyNumberFormat="1" applyFont="1" applyFill="1" applyBorder="1" applyAlignment="1">
      <alignment horizontal="center" vertical="center" wrapText="1"/>
    </xf>
    <xf numFmtId="171" fontId="16" fillId="4" borderId="84" xfId="0" applyNumberFormat="1" applyFont="1" applyFill="1" applyBorder="1" applyAlignment="1">
      <alignment horizontal="center" vertical="center" wrapText="1"/>
    </xf>
    <xf numFmtId="171" fontId="17" fillId="4" borderId="2" xfId="0" applyNumberFormat="1" applyFont="1" applyFill="1" applyBorder="1" applyAlignment="1">
      <alignment horizontal="center" vertical="center" wrapText="1"/>
    </xf>
    <xf numFmtId="0" fontId="10" fillId="14" borderId="51" xfId="0" applyFont="1" applyFill="1" applyBorder="1" applyAlignment="1">
      <alignment horizontal="center" wrapText="1"/>
    </xf>
    <xf numFmtId="0" fontId="16" fillId="14" borderId="95" xfId="0" applyFont="1" applyFill="1" applyBorder="1" applyAlignment="1">
      <alignment horizontal="center" vertical="center" wrapText="1"/>
    </xf>
    <xf numFmtId="171" fontId="16" fillId="14" borderId="95" xfId="0" applyNumberFormat="1" applyFont="1" applyFill="1" applyBorder="1" applyAlignment="1">
      <alignment horizontal="center" vertical="center" wrapText="1"/>
    </xf>
    <xf numFmtId="0" fontId="14" fillId="0" borderId="95" xfId="0" applyFont="1" applyBorder="1" applyAlignment="1">
      <alignment horizontal="center" vertical="center" wrapText="1"/>
    </xf>
    <xf numFmtId="171" fontId="17" fillId="14" borderId="95" xfId="0" applyNumberFormat="1" applyFont="1" applyFill="1" applyBorder="1" applyAlignment="1">
      <alignment horizontal="center" vertical="center" wrapText="1"/>
    </xf>
    <xf numFmtId="0" fontId="16" fillId="4" borderId="138" xfId="0" applyFont="1" applyFill="1" applyBorder="1" applyAlignment="1">
      <alignment horizontal="center" vertical="center" wrapText="1"/>
    </xf>
    <xf numFmtId="0" fontId="14" fillId="3" borderId="139" xfId="0" applyFont="1" applyFill="1" applyBorder="1" applyAlignment="1" applyProtection="1">
      <alignment horizontal="center" vertical="center" wrapText="1"/>
      <protection locked="0"/>
    </xf>
    <xf numFmtId="0" fontId="14" fillId="3" borderId="134" xfId="0" applyFont="1" applyFill="1" applyBorder="1" applyAlignment="1" applyProtection="1">
      <alignment horizontal="center" vertical="center" wrapText="1"/>
      <protection locked="0"/>
    </xf>
    <xf numFmtId="171" fontId="14" fillId="14" borderId="124" xfId="0" applyNumberFormat="1" applyFont="1" applyFill="1" applyBorder="1" applyAlignment="1">
      <alignment horizontal="center" vertical="center" wrapText="1"/>
    </xf>
    <xf numFmtId="0" fontId="14" fillId="0" borderId="124" xfId="0" applyFont="1" applyBorder="1" applyAlignment="1">
      <alignment horizontal="center" vertical="center" wrapText="1"/>
    </xf>
    <xf numFmtId="0" fontId="10" fillId="10" borderId="108" xfId="0" applyFont="1" applyFill="1" applyBorder="1" applyAlignment="1">
      <alignment horizontal="center" vertical="center" wrapText="1"/>
    </xf>
    <xf numFmtId="0" fontId="10" fillId="10" borderId="109" xfId="0" applyFont="1" applyFill="1" applyBorder="1" applyAlignment="1">
      <alignment horizontal="center" vertical="center" wrapText="1"/>
    </xf>
    <xf numFmtId="0" fontId="10" fillId="10" borderId="142" xfId="0" applyFont="1" applyFill="1" applyBorder="1" applyAlignment="1">
      <alignment horizontal="center" vertical="center" wrapText="1"/>
    </xf>
    <xf numFmtId="0" fontId="29" fillId="10" borderId="137" xfId="2" applyFont="1" applyFill="1" applyBorder="1" applyAlignment="1">
      <alignment horizontal="center" vertical="center" wrapText="1"/>
    </xf>
    <xf numFmtId="0" fontId="16" fillId="4" borderId="99" xfId="0" applyFont="1" applyFill="1" applyBorder="1" applyAlignment="1">
      <alignment horizontal="center" vertical="center" wrapText="1"/>
    </xf>
    <xf numFmtId="0" fontId="16" fillId="14" borderId="101" xfId="0" applyFont="1" applyFill="1" applyBorder="1" applyAlignment="1">
      <alignment horizontal="center" vertical="center" wrapText="1"/>
    </xf>
    <xf numFmtId="171" fontId="17" fillId="4" borderId="84" xfId="0" applyNumberFormat="1" applyFont="1" applyFill="1" applyBorder="1" applyAlignment="1">
      <alignment horizontal="right" vertical="center" wrapText="1"/>
    </xf>
    <xf numFmtId="171" fontId="17" fillId="4" borderId="144" xfId="1" applyNumberFormat="1" applyFont="1" applyFill="1" applyBorder="1" applyAlignment="1" applyProtection="1">
      <alignment horizontal="right" vertical="center" wrapText="1"/>
    </xf>
    <xf numFmtId="0" fontId="14" fillId="3" borderId="145" xfId="0" applyFont="1" applyFill="1" applyBorder="1" applyAlignment="1" applyProtection="1">
      <alignment horizontal="center" vertical="center" wrapText="1"/>
      <protection locked="0"/>
    </xf>
    <xf numFmtId="0" fontId="14" fillId="3" borderId="108" xfId="0" applyFont="1" applyFill="1" applyBorder="1" applyAlignment="1" applyProtection="1">
      <alignment horizontal="center" vertical="center" wrapText="1"/>
      <protection locked="0"/>
    </xf>
    <xf numFmtId="171" fontId="14" fillId="14" borderId="120" xfId="0" applyNumberFormat="1" applyFont="1" applyFill="1" applyBorder="1" applyAlignment="1">
      <alignment horizontal="center" vertical="center" wrapText="1"/>
    </xf>
    <xf numFmtId="0" fontId="14" fillId="0" borderId="120" xfId="0" applyFont="1" applyBorder="1" applyAlignment="1">
      <alignment horizontal="center" vertical="center" wrapText="1"/>
    </xf>
    <xf numFmtId="0" fontId="14" fillId="0" borderId="14" xfId="0" applyFont="1" applyBorder="1" applyAlignment="1" applyProtection="1">
      <alignment horizontal="center" vertical="center" wrapText="1"/>
      <protection locked="0"/>
    </xf>
    <xf numFmtId="171" fontId="16" fillId="4" borderId="144" xfId="1" applyNumberFormat="1" applyFont="1" applyFill="1" applyBorder="1" applyAlignment="1" applyProtection="1">
      <alignment horizontal="center" vertical="center" wrapText="1"/>
    </xf>
    <xf numFmtId="0" fontId="14" fillId="0" borderId="120" xfId="0" applyFont="1" applyBorder="1" applyAlignment="1">
      <alignment vertical="center" wrapText="1"/>
    </xf>
    <xf numFmtId="0" fontId="14" fillId="0" borderId="95" xfId="0" applyFont="1" applyBorder="1" applyAlignment="1">
      <alignment vertical="center" wrapText="1"/>
    </xf>
    <xf numFmtId="0" fontId="14" fillId="0" borderId="124" xfId="0" applyFont="1" applyBorder="1" applyAlignment="1">
      <alignment vertical="center" wrapText="1"/>
    </xf>
    <xf numFmtId="171" fontId="14" fillId="14" borderId="69" xfId="0" applyNumberFormat="1" applyFont="1" applyFill="1" applyBorder="1" applyAlignment="1" applyProtection="1">
      <alignment horizontal="center" vertical="center" wrapText="1"/>
      <protection locked="0"/>
    </xf>
    <xf numFmtId="171" fontId="10" fillId="14" borderId="78" xfId="0" applyNumberFormat="1" applyFont="1" applyFill="1" applyBorder="1" applyAlignment="1">
      <alignment horizontal="center" vertical="center" wrapText="1"/>
    </xf>
    <xf numFmtId="171" fontId="14" fillId="14" borderId="75" xfId="0" applyNumberFormat="1" applyFont="1" applyFill="1" applyBorder="1" applyAlignment="1">
      <alignment horizontal="center" vertical="center" wrapText="1"/>
    </xf>
    <xf numFmtId="0" fontId="14" fillId="0" borderId="26"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86" xfId="0" applyFont="1" applyBorder="1" applyAlignment="1">
      <alignment horizontal="center" vertical="center" wrapText="1"/>
    </xf>
    <xf numFmtId="171" fontId="17" fillId="14" borderId="37" xfId="2" applyNumberFormat="1" applyFont="1" applyFill="1" applyBorder="1" applyAlignment="1">
      <alignment horizontal="center" vertical="center" wrapText="1"/>
    </xf>
    <xf numFmtId="171" fontId="17" fillId="14" borderId="90" xfId="2" applyNumberFormat="1" applyFont="1" applyFill="1" applyBorder="1" applyAlignment="1">
      <alignment horizontal="center" vertical="center" wrapText="1"/>
    </xf>
    <xf numFmtId="171" fontId="17" fillId="14" borderId="20" xfId="2" applyNumberFormat="1" applyFont="1" applyFill="1" applyBorder="1" applyAlignment="1">
      <alignment horizontal="center" vertical="center" wrapText="1"/>
    </xf>
    <xf numFmtId="0" fontId="14" fillId="14" borderId="134" xfId="0" quotePrefix="1" applyFont="1" applyFill="1" applyBorder="1" applyAlignment="1">
      <alignment horizontal="center" vertical="center" wrapText="1"/>
    </xf>
    <xf numFmtId="0" fontId="14" fillId="0" borderId="12" xfId="0" applyFont="1" applyBorder="1" applyAlignment="1" applyProtection="1">
      <alignment horizontal="center" vertical="center" wrapText="1"/>
      <protection locked="0"/>
    </xf>
    <xf numFmtId="171" fontId="14" fillId="14" borderId="95" xfId="6" applyNumberFormat="1" applyFont="1" applyFill="1" applyBorder="1" applyAlignment="1">
      <alignment horizontal="center" vertical="center" wrapText="1"/>
    </xf>
    <xf numFmtId="0" fontId="14" fillId="14" borderId="31" xfId="0" applyFont="1" applyFill="1" applyBorder="1" applyAlignment="1">
      <alignment horizontal="center" vertical="center" wrapText="1"/>
    </xf>
    <xf numFmtId="0" fontId="21" fillId="0" borderId="0" xfId="0" applyFont="1" applyAlignment="1">
      <alignment vertical="center" wrapText="1"/>
    </xf>
    <xf numFmtId="0" fontId="10" fillId="14" borderId="51" xfId="0" applyFont="1" applyFill="1" applyBorder="1" applyAlignment="1">
      <alignment wrapText="1"/>
    </xf>
    <xf numFmtId="171" fontId="17" fillId="4" borderId="100" xfId="0" applyNumberFormat="1" applyFont="1" applyFill="1" applyBorder="1" applyAlignment="1">
      <alignment horizontal="center" vertical="center" wrapText="1"/>
    </xf>
    <xf numFmtId="171" fontId="14" fillId="14" borderId="124" xfId="6" applyNumberFormat="1" applyFont="1" applyFill="1" applyBorder="1" applyAlignment="1">
      <alignment horizontal="center" vertical="center" wrapText="1"/>
    </xf>
    <xf numFmtId="0" fontId="10" fillId="10" borderId="114" xfId="2" applyFont="1" applyFill="1" applyBorder="1" applyAlignment="1">
      <alignment horizontal="center" vertical="center" wrapText="1"/>
    </xf>
    <xf numFmtId="0" fontId="14" fillId="14" borderId="143" xfId="0" applyFont="1" applyFill="1" applyBorder="1" applyAlignment="1">
      <alignment horizontal="center" vertical="center" wrapText="1"/>
    </xf>
    <xf numFmtId="0" fontId="14" fillId="2" borderId="148" xfId="0" applyFont="1" applyFill="1" applyBorder="1" applyAlignment="1">
      <alignment horizontal="center" vertical="center" wrapText="1"/>
    </xf>
    <xf numFmtId="0" fontId="14" fillId="2" borderId="149" xfId="0" applyFont="1" applyFill="1" applyBorder="1" applyAlignment="1">
      <alignment horizontal="center" vertical="center" wrapText="1"/>
    </xf>
    <xf numFmtId="0" fontId="14" fillId="2" borderId="150" xfId="0" applyFont="1" applyFill="1" applyBorder="1" applyAlignment="1">
      <alignment horizontal="center" vertical="center" wrapText="1"/>
    </xf>
    <xf numFmtId="9" fontId="16" fillId="4" borderId="92" xfId="1" applyFont="1" applyFill="1" applyBorder="1" applyAlignment="1" applyProtection="1">
      <alignment horizontal="center" vertical="center" wrapText="1"/>
    </xf>
    <xf numFmtId="171" fontId="16" fillId="4" borderId="92" xfId="1" applyNumberFormat="1" applyFont="1" applyFill="1" applyBorder="1" applyAlignment="1" applyProtection="1">
      <alignment horizontal="center" vertical="center" wrapText="1"/>
    </xf>
    <xf numFmtId="0" fontId="16" fillId="4" borderId="92" xfId="1" applyNumberFormat="1" applyFont="1" applyFill="1" applyBorder="1" applyAlignment="1" applyProtection="1">
      <alignment horizontal="center" vertical="center" wrapText="1"/>
    </xf>
    <xf numFmtId="171" fontId="17" fillId="4" borderId="92" xfId="1" applyNumberFormat="1" applyFont="1" applyFill="1" applyBorder="1" applyAlignment="1" applyProtection="1">
      <alignment horizontal="center" vertical="center" wrapText="1"/>
    </xf>
    <xf numFmtId="0" fontId="16" fillId="4" borderId="92" xfId="0" applyFont="1" applyFill="1" applyBorder="1" applyAlignment="1">
      <alignment horizontal="center" vertical="center" wrapText="1"/>
    </xf>
    <xf numFmtId="0" fontId="16" fillId="4" borderId="2" xfId="0" applyFont="1" applyFill="1" applyBorder="1" applyAlignment="1">
      <alignment horizontal="right" vertical="center" wrapText="1"/>
    </xf>
    <xf numFmtId="0" fontId="14" fillId="14" borderId="119" xfId="0" applyFont="1" applyFill="1" applyBorder="1" applyAlignment="1">
      <alignment horizontal="center" vertical="center" wrapText="1"/>
    </xf>
    <xf numFmtId="171" fontId="14" fillId="14" borderId="120" xfId="6" applyNumberFormat="1" applyFont="1" applyFill="1" applyBorder="1" applyAlignment="1">
      <alignment horizontal="center" vertical="center" wrapText="1"/>
    </xf>
    <xf numFmtId="171" fontId="14" fillId="0" borderId="3" xfId="0" applyNumberFormat="1" applyFont="1" applyBorder="1" applyAlignment="1" applyProtection="1">
      <alignment horizontal="center" vertical="center" wrapText="1"/>
      <protection locked="0"/>
    </xf>
    <xf numFmtId="171" fontId="14" fillId="0" borderId="6" xfId="0" applyNumberFormat="1" applyFont="1" applyBorder="1" applyAlignment="1" applyProtection="1">
      <alignment horizontal="center" vertical="center" wrapText="1"/>
      <protection locked="0"/>
    </xf>
    <xf numFmtId="1" fontId="14" fillId="3" borderId="52" xfId="0" applyNumberFormat="1" applyFont="1" applyFill="1" applyBorder="1" applyAlignment="1" applyProtection="1">
      <alignment horizontal="center" vertical="center" wrapText="1"/>
      <protection locked="0"/>
    </xf>
    <xf numFmtId="1" fontId="14" fillId="3" borderId="12" xfId="0" applyNumberFormat="1" applyFont="1" applyFill="1" applyBorder="1" applyAlignment="1" applyProtection="1">
      <alignment horizontal="center" vertical="center" wrapText="1"/>
      <protection locked="0"/>
    </xf>
    <xf numFmtId="0" fontId="14" fillId="0" borderId="59"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0" xfId="0" applyFont="1" applyAlignment="1">
      <alignment horizontal="center" vertical="center"/>
    </xf>
    <xf numFmtId="0" fontId="14" fillId="3" borderId="0" xfId="0" applyFont="1" applyFill="1" applyAlignment="1">
      <alignment horizontal="center" vertical="center"/>
    </xf>
    <xf numFmtId="0" fontId="16" fillId="4" borderId="2" xfId="0" applyFont="1" applyFill="1" applyBorder="1" applyAlignment="1">
      <alignment horizontal="center" vertical="center"/>
    </xf>
    <xf numFmtId="1" fontId="16" fillId="4" borderId="2" xfId="0" applyNumberFormat="1" applyFont="1" applyFill="1" applyBorder="1" applyAlignment="1">
      <alignment horizontal="center" vertical="center"/>
    </xf>
    <xf numFmtId="171" fontId="10" fillId="14" borderId="19" xfId="6" applyNumberFormat="1" applyFont="1" applyFill="1" applyBorder="1" applyAlignment="1" applyProtection="1">
      <alignment vertical="center"/>
    </xf>
    <xf numFmtId="171" fontId="10" fillId="14" borderId="20" xfId="0" applyNumberFormat="1" applyFont="1" applyFill="1" applyBorder="1" applyAlignment="1">
      <alignment horizontal="center" vertical="center" wrapText="1"/>
    </xf>
    <xf numFmtId="171" fontId="17" fillId="4" borderId="2" xfId="0" applyNumberFormat="1" applyFont="1" applyFill="1" applyBorder="1" applyAlignment="1">
      <alignment horizontal="center" vertical="center"/>
    </xf>
    <xf numFmtId="2" fontId="16" fillId="4" borderId="2" xfId="0" quotePrefix="1" applyNumberFormat="1" applyFont="1" applyFill="1" applyBorder="1" applyAlignment="1">
      <alignment horizontal="center" vertical="center" wrapText="1"/>
    </xf>
    <xf numFmtId="0" fontId="10" fillId="0" borderId="89" xfId="0" applyFont="1" applyBorder="1" applyAlignment="1">
      <alignment vertical="center"/>
    </xf>
    <xf numFmtId="0" fontId="10" fillId="14" borderId="51" xfId="0" applyFont="1" applyFill="1" applyBorder="1" applyAlignment="1">
      <alignment horizontal="center" vertical="center"/>
    </xf>
    <xf numFmtId="171" fontId="10" fillId="14" borderId="95" xfId="3" applyNumberFormat="1" applyFont="1" applyFill="1" applyBorder="1" applyAlignment="1" applyProtection="1">
      <alignment horizontal="center" vertical="center" wrapText="1"/>
    </xf>
    <xf numFmtId="1" fontId="14" fillId="14" borderId="103" xfId="0" applyNumberFormat="1" applyFont="1" applyFill="1" applyBorder="1" applyAlignment="1">
      <alignment vertical="center"/>
    </xf>
    <xf numFmtId="171" fontId="14" fillId="14" borderId="152" xfId="6" applyNumberFormat="1" applyFont="1" applyFill="1" applyBorder="1" applyAlignment="1" applyProtection="1">
      <alignment vertical="center"/>
    </xf>
    <xf numFmtId="1" fontId="14" fillId="14" borderId="153" xfId="0" applyNumberFormat="1" applyFont="1" applyFill="1" applyBorder="1" applyAlignment="1">
      <alignment vertical="center"/>
    </xf>
    <xf numFmtId="171" fontId="10" fillId="14" borderId="154" xfId="6" applyNumberFormat="1" applyFont="1" applyFill="1" applyBorder="1" applyAlignment="1" applyProtection="1">
      <alignment vertical="center"/>
    </xf>
    <xf numFmtId="0" fontId="10" fillId="7" borderId="156" xfId="0" applyFont="1" applyFill="1" applyBorder="1" applyAlignment="1">
      <alignment horizontal="center" vertical="center" wrapText="1"/>
    </xf>
    <xf numFmtId="0" fontId="29" fillId="7" borderId="98" xfId="0" applyFont="1" applyFill="1" applyBorder="1" applyAlignment="1">
      <alignment horizontal="center" vertical="center" wrapText="1"/>
    </xf>
    <xf numFmtId="0" fontId="14" fillId="2" borderId="97" xfId="0" applyFont="1" applyFill="1" applyBorder="1" applyAlignment="1">
      <alignment horizontal="center" vertical="center" wrapText="1"/>
    </xf>
    <xf numFmtId="0" fontId="14" fillId="0" borderId="96" xfId="0" applyFont="1" applyBorder="1" applyAlignment="1" applyProtection="1">
      <alignment horizontal="center" vertical="center" wrapText="1"/>
      <protection locked="0"/>
    </xf>
    <xf numFmtId="0" fontId="14" fillId="0" borderId="98" xfId="0" applyFont="1" applyBorder="1" applyAlignment="1" applyProtection="1">
      <alignment horizontal="center" vertical="center" wrapText="1"/>
      <protection locked="0"/>
    </xf>
    <xf numFmtId="0" fontId="14" fillId="3" borderId="98" xfId="0" applyFont="1" applyFill="1" applyBorder="1" applyAlignment="1" applyProtection="1">
      <alignment horizontal="center" wrapText="1"/>
      <protection locked="0"/>
    </xf>
    <xf numFmtId="1" fontId="14" fillId="3" borderId="134" xfId="0" applyNumberFormat="1" applyFont="1" applyFill="1" applyBorder="1" applyAlignment="1" applyProtection="1">
      <alignment horizontal="center" vertical="center" wrapText="1"/>
      <protection locked="0"/>
    </xf>
    <xf numFmtId="171" fontId="14" fillId="0" borderId="134" xfId="0" applyNumberFormat="1" applyFont="1" applyBorder="1" applyAlignment="1" applyProtection="1">
      <alignment horizontal="center" vertical="center" wrapText="1"/>
      <protection locked="0"/>
    </xf>
    <xf numFmtId="1" fontId="14" fillId="3" borderId="125" xfId="0" applyNumberFormat="1" applyFont="1" applyFill="1" applyBorder="1" applyAlignment="1" applyProtection="1">
      <alignment horizontal="center" vertical="center" wrapText="1"/>
      <protection locked="0"/>
    </xf>
    <xf numFmtId="1" fontId="14" fillId="3" borderId="124" xfId="0" applyNumberFormat="1" applyFont="1" applyFill="1" applyBorder="1" applyAlignment="1" applyProtection="1">
      <alignment horizontal="center" vertical="center" wrapText="1"/>
      <protection locked="0"/>
    </xf>
    <xf numFmtId="0" fontId="14" fillId="0" borderId="123" xfId="0" applyFont="1" applyBorder="1" applyAlignment="1" applyProtection="1">
      <alignment horizontal="center" vertical="center" wrapText="1"/>
      <protection locked="0"/>
    </xf>
    <xf numFmtId="0" fontId="14" fillId="3" borderId="158" xfId="0" applyFont="1" applyFill="1" applyBorder="1" applyAlignment="1" applyProtection="1">
      <alignment horizontal="center" wrapText="1"/>
      <protection locked="0"/>
    </xf>
    <xf numFmtId="0" fontId="10" fillId="14" borderId="103" xfId="0" applyFont="1" applyFill="1" applyBorder="1" applyAlignment="1">
      <alignment vertical="center"/>
    </xf>
    <xf numFmtId="171" fontId="10" fillId="14" borderId="132" xfId="0" applyNumberFormat="1" applyFont="1" applyFill="1" applyBorder="1" applyAlignment="1">
      <alignment vertical="center" wrapText="1"/>
    </xf>
    <xf numFmtId="171" fontId="10" fillId="14" borderId="106" xfId="6" applyNumberFormat="1" applyFont="1" applyFill="1" applyBorder="1" applyAlignment="1">
      <alignment vertical="center"/>
    </xf>
    <xf numFmtId="171" fontId="10" fillId="14" borderId="132" xfId="0" applyNumberFormat="1" applyFont="1" applyFill="1" applyBorder="1" applyAlignment="1">
      <alignment vertical="center"/>
    </xf>
    <xf numFmtId="171" fontId="10" fillId="14" borderId="132" xfId="6" applyNumberFormat="1" applyFont="1" applyFill="1" applyBorder="1" applyAlignment="1" applyProtection="1">
      <alignment vertical="center" wrapText="1"/>
    </xf>
    <xf numFmtId="0" fontId="10" fillId="10" borderId="157" xfId="0" applyFont="1" applyFill="1" applyBorder="1" applyAlignment="1">
      <alignment horizontal="center" vertical="center" wrapText="1"/>
    </xf>
    <xf numFmtId="0" fontId="29" fillId="10" borderId="100" xfId="0" applyFont="1" applyFill="1" applyBorder="1" applyAlignment="1">
      <alignment horizontal="center" vertical="center" wrapText="1"/>
    </xf>
    <xf numFmtId="171" fontId="17" fillId="4" borderId="100" xfId="3" applyNumberFormat="1" applyFont="1" applyFill="1" applyBorder="1" applyAlignment="1" applyProtection="1">
      <alignment horizontal="center" vertical="center" wrapText="1"/>
    </xf>
    <xf numFmtId="171" fontId="10" fillId="14" borderId="102" xfId="3" applyNumberFormat="1" applyFont="1" applyFill="1" applyBorder="1" applyAlignment="1" applyProtection="1">
      <alignment horizontal="center" vertical="center" wrapText="1"/>
    </xf>
    <xf numFmtId="171" fontId="10" fillId="14" borderId="124" xfId="3" applyNumberFormat="1" applyFont="1" applyFill="1" applyBorder="1" applyAlignment="1" applyProtection="1">
      <alignment horizontal="center" vertical="center" wrapText="1"/>
    </xf>
    <xf numFmtId="171" fontId="10" fillId="14" borderId="140" xfId="3" applyNumberFormat="1" applyFont="1" applyFill="1" applyBorder="1" applyAlignment="1" applyProtection="1">
      <alignment horizontal="center" vertical="center" wrapText="1"/>
    </xf>
    <xf numFmtId="171" fontId="16" fillId="4" borderId="2" xfId="0" quotePrefix="1" applyNumberFormat="1" applyFont="1" applyFill="1" applyBorder="1" applyAlignment="1">
      <alignment horizontal="center" vertical="center"/>
    </xf>
    <xf numFmtId="1" fontId="16" fillId="4" borderId="2" xfId="0" quotePrefix="1" applyNumberFormat="1" applyFont="1" applyFill="1" applyBorder="1" applyAlignment="1">
      <alignment horizontal="center" vertical="center"/>
    </xf>
    <xf numFmtId="171" fontId="16" fillId="4" borderId="2" xfId="6" quotePrefix="1" applyNumberFormat="1" applyFont="1" applyFill="1" applyBorder="1" applyAlignment="1" applyProtection="1">
      <alignment horizontal="center" vertical="center"/>
    </xf>
    <xf numFmtId="171" fontId="17" fillId="4" borderId="2" xfId="0" quotePrefix="1" applyNumberFormat="1" applyFont="1" applyFill="1" applyBorder="1" applyAlignment="1">
      <alignment horizontal="center" vertical="center"/>
    </xf>
    <xf numFmtId="0" fontId="16" fillId="4" borderId="100" xfId="0" applyFont="1" applyFill="1" applyBorder="1" applyAlignment="1">
      <alignment horizontal="center" vertical="center" wrapText="1"/>
    </xf>
    <xf numFmtId="0" fontId="14" fillId="2" borderId="151" xfId="0" applyFont="1" applyFill="1" applyBorder="1" applyAlignment="1">
      <alignment horizontal="center" vertical="center" wrapText="1"/>
    </xf>
    <xf numFmtId="1" fontId="14" fillId="3" borderId="108" xfId="0" applyNumberFormat="1" applyFont="1" applyFill="1" applyBorder="1" applyAlignment="1" applyProtection="1">
      <alignment horizontal="center" vertical="center" wrapText="1"/>
      <protection locked="0"/>
    </xf>
    <xf numFmtId="171" fontId="14" fillId="0" borderId="108" xfId="0" applyNumberFormat="1" applyFont="1" applyBorder="1" applyAlignment="1" applyProtection="1">
      <alignment horizontal="center" vertical="center" wrapText="1"/>
      <protection locked="0"/>
    </xf>
    <xf numFmtId="171" fontId="14" fillId="14" borderId="141" xfId="0" applyNumberFormat="1" applyFont="1" applyFill="1" applyBorder="1" applyAlignment="1">
      <alignment horizontal="center" vertical="center" wrapText="1"/>
    </xf>
    <xf numFmtId="1" fontId="14" fillId="3" borderId="141" xfId="0" applyNumberFormat="1" applyFont="1" applyFill="1" applyBorder="1" applyAlignment="1" applyProtection="1">
      <alignment horizontal="center" vertical="center" wrapText="1"/>
      <protection locked="0"/>
    </xf>
    <xf numFmtId="0" fontId="14" fillId="0" borderId="108" xfId="0" applyFont="1" applyBorder="1" applyAlignment="1" applyProtection="1">
      <alignment horizontal="center" vertical="center" wrapText="1"/>
      <protection locked="0"/>
    </xf>
    <xf numFmtId="0" fontId="14" fillId="0" borderId="142" xfId="0" applyFont="1" applyBorder="1" applyAlignment="1" applyProtection="1">
      <alignment horizontal="center" vertical="center" wrapText="1"/>
      <protection locked="0"/>
    </xf>
    <xf numFmtId="171" fontId="10" fillId="14" borderId="120" xfId="3" applyNumberFormat="1" applyFont="1" applyFill="1" applyBorder="1" applyAlignment="1" applyProtection="1">
      <alignment horizontal="center" vertical="center" wrapText="1"/>
    </xf>
    <xf numFmtId="171" fontId="10" fillId="14" borderId="122" xfId="3" applyNumberFormat="1" applyFont="1" applyFill="1" applyBorder="1" applyAlignment="1" applyProtection="1">
      <alignment horizontal="center" vertical="center" wrapText="1"/>
    </xf>
    <xf numFmtId="0" fontId="9" fillId="4" borderId="2" xfId="0" applyFont="1" applyFill="1" applyBorder="1" applyAlignment="1">
      <alignment horizontal="center" vertical="center" wrapText="1"/>
    </xf>
    <xf numFmtId="0" fontId="0" fillId="14" borderId="95" xfId="0" applyFill="1" applyBorder="1" applyAlignment="1">
      <alignment horizontal="center" vertical="center" wrapText="1"/>
    </xf>
    <xf numFmtId="171" fontId="0" fillId="14" borderId="95" xfId="0" applyNumberFormat="1" applyFill="1" applyBorder="1" applyAlignment="1">
      <alignment horizontal="center" vertical="center" wrapText="1"/>
    </xf>
    <xf numFmtId="171" fontId="14" fillId="14" borderId="95" xfId="2" applyNumberFormat="1" applyFont="1" applyFill="1" applyBorder="1" applyAlignment="1">
      <alignment horizontal="center" vertical="center" wrapText="1"/>
    </xf>
    <xf numFmtId="0" fontId="9" fillId="0" borderId="95" xfId="0" applyFont="1" applyBorder="1" applyAlignment="1">
      <alignment horizontal="center" vertical="center" wrapText="1"/>
    </xf>
    <xf numFmtId="0" fontId="7" fillId="0" borderId="0" xfId="0" applyFont="1"/>
    <xf numFmtId="171" fontId="7" fillId="0" borderId="0" xfId="0" applyNumberFormat="1" applyFont="1"/>
    <xf numFmtId="0" fontId="16" fillId="4" borderId="99" xfId="2" applyFont="1" applyFill="1" applyBorder="1" applyAlignment="1">
      <alignment horizontal="center" vertical="center" wrapText="1"/>
    </xf>
    <xf numFmtId="0" fontId="14" fillId="14" borderId="104" xfId="0" quotePrefix="1" applyFont="1" applyFill="1" applyBorder="1" applyAlignment="1">
      <alignment horizontal="center" vertical="center" wrapText="1"/>
    </xf>
    <xf numFmtId="171" fontId="16" fillId="4" borderId="64" xfId="2" applyNumberFormat="1" applyFont="1" applyFill="1" applyBorder="1" applyAlignment="1">
      <alignment horizontal="center" vertical="center" wrapText="1"/>
    </xf>
    <xf numFmtId="0" fontId="23" fillId="0" borderId="0" xfId="0" applyFont="1" applyAlignment="1">
      <alignment horizontal="center"/>
    </xf>
    <xf numFmtId="171" fontId="10" fillId="14" borderId="3" xfId="6" applyNumberFormat="1" applyFont="1" applyFill="1" applyBorder="1" applyAlignment="1" applyProtection="1">
      <alignment horizontal="center"/>
    </xf>
    <xf numFmtId="0" fontId="10" fillId="14" borderId="51" xfId="0" applyFont="1" applyFill="1" applyBorder="1"/>
    <xf numFmtId="171" fontId="10" fillId="14" borderId="61" xfId="0" applyNumberFormat="1" applyFont="1" applyFill="1" applyBorder="1"/>
    <xf numFmtId="171" fontId="10" fillId="14" borderId="60" xfId="6" applyNumberFormat="1" applyFont="1" applyFill="1" applyBorder="1" applyAlignment="1" applyProtection="1">
      <alignment horizontal="center"/>
    </xf>
    <xf numFmtId="0" fontId="14" fillId="0" borderId="95" xfId="0" applyFont="1" applyBorder="1" applyAlignment="1" applyProtection="1">
      <alignment horizontal="center" vertical="center"/>
      <protection locked="0"/>
    </xf>
    <xf numFmtId="0" fontId="10" fillId="7" borderId="96" xfId="0" applyFont="1" applyFill="1" applyBorder="1" applyAlignment="1">
      <alignment horizontal="center" vertical="center" wrapText="1"/>
    </xf>
    <xf numFmtId="171" fontId="38" fillId="4" borderId="100" xfId="0" applyNumberFormat="1" applyFont="1" applyFill="1" applyBorder="1" applyAlignment="1">
      <alignment horizontal="center" vertical="center" wrapText="1"/>
    </xf>
    <xf numFmtId="0" fontId="14" fillId="2" borderId="160" xfId="0" applyFont="1" applyFill="1" applyBorder="1" applyAlignment="1">
      <alignment horizontal="center" vertical="center" wrapText="1"/>
    </xf>
    <xf numFmtId="0" fontId="29" fillId="10" borderId="2" xfId="2" applyFont="1" applyFill="1" applyBorder="1" applyAlignment="1">
      <alignment horizontal="center" vertical="center" wrapText="1"/>
    </xf>
    <xf numFmtId="0" fontId="14" fillId="22" borderId="142" xfId="0" applyFont="1" applyFill="1" applyBorder="1" applyAlignment="1" applyProtection="1">
      <alignment horizontal="center" vertical="center" wrapText="1"/>
      <protection hidden="1"/>
    </xf>
    <xf numFmtId="0" fontId="5" fillId="10" borderId="2" xfId="0" applyFont="1" applyFill="1" applyBorder="1" applyAlignment="1">
      <alignment horizontal="center" vertical="center" wrapText="1"/>
    </xf>
    <xf numFmtId="0" fontId="61" fillId="7" borderId="6" xfId="2" applyFont="1" applyFill="1" applyBorder="1" applyAlignment="1">
      <alignment horizontal="center" vertical="center" wrapText="1"/>
    </xf>
    <xf numFmtId="171" fontId="14" fillId="14" borderId="31" xfId="7" applyNumberFormat="1" applyFont="1" applyFill="1" applyBorder="1" applyAlignment="1" applyProtection="1">
      <alignment horizontal="right" vertical="center" wrapText="1"/>
    </xf>
    <xf numFmtId="0" fontId="61" fillId="10" borderId="6" xfId="2" applyFont="1" applyFill="1" applyBorder="1" applyAlignment="1">
      <alignment horizontal="center" vertical="center" wrapText="1"/>
    </xf>
    <xf numFmtId="0" fontId="30" fillId="0" borderId="0" xfId="0" applyFont="1" applyAlignment="1" applyProtection="1">
      <alignment vertical="center" wrapText="1"/>
      <protection locked="0"/>
    </xf>
    <xf numFmtId="0" fontId="14" fillId="0" borderId="0" xfId="0" applyFont="1" applyAlignment="1" applyProtection="1">
      <alignment vertical="center" wrapText="1"/>
      <protection locked="0"/>
    </xf>
    <xf numFmtId="0" fontId="10" fillId="14" borderId="172" xfId="0" applyFont="1" applyFill="1" applyBorder="1" applyAlignment="1">
      <alignment wrapText="1"/>
    </xf>
    <xf numFmtId="171" fontId="10" fillId="14" borderId="67" xfId="0" applyNumberFormat="1" applyFont="1" applyFill="1" applyBorder="1" applyAlignment="1">
      <alignment wrapText="1"/>
    </xf>
    <xf numFmtId="171" fontId="10" fillId="14" borderId="175" xfId="0" applyNumberFormat="1" applyFont="1" applyFill="1" applyBorder="1" applyAlignment="1">
      <alignment wrapText="1"/>
    </xf>
    <xf numFmtId="0" fontId="10" fillId="14" borderId="16" xfId="0" applyFont="1" applyFill="1" applyBorder="1" applyAlignment="1">
      <alignment wrapText="1"/>
    </xf>
    <xf numFmtId="171" fontId="10" fillId="14" borderId="49" xfId="0" applyNumberFormat="1" applyFont="1" applyFill="1" applyBorder="1" applyAlignment="1">
      <alignment wrapText="1"/>
    </xf>
    <xf numFmtId="0" fontId="14" fillId="3" borderId="0" xfId="0" applyFont="1" applyFill="1" applyAlignment="1" applyProtection="1">
      <alignment horizontal="center" vertical="center" wrapText="1"/>
      <protection locked="0"/>
    </xf>
    <xf numFmtId="1" fontId="14" fillId="3" borderId="0" xfId="0" applyNumberFormat="1" applyFont="1" applyFill="1" applyAlignment="1" applyProtection="1">
      <alignment horizontal="center" vertical="center" wrapText="1"/>
      <protection locked="0"/>
    </xf>
    <xf numFmtId="9" fontId="14" fillId="3" borderId="0" xfId="1" applyFont="1" applyFill="1" applyBorder="1" applyAlignment="1" applyProtection="1">
      <alignment horizontal="center" vertical="center" wrapText="1"/>
      <protection locked="0"/>
    </xf>
    <xf numFmtId="2" fontId="14" fillId="3" borderId="0" xfId="0" applyNumberFormat="1" applyFont="1" applyFill="1" applyAlignment="1" applyProtection="1">
      <alignment horizontal="center" vertical="center" wrapText="1"/>
      <protection locked="0"/>
    </xf>
    <xf numFmtId="171" fontId="14" fillId="3" borderId="0" xfId="0" applyNumberFormat="1" applyFont="1" applyFill="1" applyAlignment="1" applyProtection="1">
      <alignment horizontal="right" vertical="center" wrapText="1"/>
      <protection locked="0"/>
    </xf>
    <xf numFmtId="0" fontId="14" fillId="3" borderId="0" xfId="0" applyFont="1" applyFill="1" applyAlignment="1">
      <alignment horizontal="center" vertical="center" wrapText="1"/>
    </xf>
    <xf numFmtId="0" fontId="10" fillId="3" borderId="0" xfId="0" applyFont="1" applyFill="1" applyAlignment="1">
      <alignment wrapText="1"/>
    </xf>
    <xf numFmtId="0" fontId="14" fillId="3" borderId="0" xfId="0" applyFont="1" applyFill="1"/>
    <xf numFmtId="0" fontId="14" fillId="3" borderId="0" xfId="0" applyFont="1" applyFill="1" applyAlignment="1">
      <alignment horizontal="center" wrapText="1"/>
    </xf>
    <xf numFmtId="0" fontId="21" fillId="3" borderId="0" xfId="0" applyFont="1" applyFill="1" applyAlignment="1">
      <alignment vertical="center" wrapText="1"/>
    </xf>
    <xf numFmtId="0" fontId="21" fillId="3" borderId="0" xfId="0" applyFont="1" applyFill="1" applyAlignment="1">
      <alignment horizontal="center" vertical="center" wrapText="1"/>
    </xf>
    <xf numFmtId="0" fontId="29" fillId="3" borderId="0" xfId="0" applyFont="1" applyFill="1" applyAlignment="1">
      <alignment horizontal="center" vertical="center" wrapText="1"/>
    </xf>
    <xf numFmtId="0" fontId="29" fillId="3" borderId="0" xfId="2" applyFont="1" applyFill="1" applyAlignment="1">
      <alignment horizontal="center" vertical="center" wrapText="1"/>
    </xf>
    <xf numFmtId="0" fontId="22" fillId="3" borderId="0" xfId="0" applyFont="1" applyFill="1" applyAlignment="1">
      <alignment horizontal="center" vertical="center" wrapText="1"/>
    </xf>
    <xf numFmtId="0" fontId="16" fillId="3" borderId="0" xfId="0" applyFont="1" applyFill="1" applyAlignment="1">
      <alignment horizontal="center" vertical="center" wrapText="1"/>
    </xf>
    <xf numFmtId="0" fontId="16" fillId="3" borderId="0" xfId="1" applyNumberFormat="1" applyFont="1" applyFill="1" applyBorder="1" applyAlignment="1" applyProtection="1">
      <alignment horizontal="center" vertical="center" wrapText="1"/>
    </xf>
    <xf numFmtId="9" fontId="16" fillId="3" borderId="0" xfId="1" applyFont="1" applyFill="1" applyBorder="1" applyAlignment="1" applyProtection="1">
      <alignment horizontal="center" vertical="center" wrapText="1"/>
    </xf>
    <xf numFmtId="2" fontId="16" fillId="3" borderId="0" xfId="1" applyNumberFormat="1" applyFont="1" applyFill="1" applyBorder="1" applyAlignment="1" applyProtection="1">
      <alignment horizontal="center" vertical="center" wrapText="1"/>
    </xf>
    <xf numFmtId="171" fontId="16" fillId="3" borderId="0" xfId="0" applyNumberFormat="1" applyFont="1" applyFill="1" applyAlignment="1">
      <alignment horizontal="right" vertical="center" wrapText="1"/>
    </xf>
    <xf numFmtId="171" fontId="16" fillId="3" borderId="0" xfId="1" applyNumberFormat="1" applyFont="1" applyFill="1" applyBorder="1" applyAlignment="1" applyProtection="1">
      <alignment horizontal="right" vertical="center" wrapText="1"/>
    </xf>
    <xf numFmtId="171" fontId="16" fillId="3" borderId="0" xfId="0" applyNumberFormat="1" applyFont="1" applyFill="1" applyAlignment="1">
      <alignment horizontal="center" vertical="center" wrapText="1"/>
    </xf>
    <xf numFmtId="171" fontId="17" fillId="3" borderId="0" xfId="0" applyNumberFormat="1" applyFont="1" applyFill="1" applyAlignment="1">
      <alignment horizontal="right" vertical="center" wrapText="1"/>
    </xf>
    <xf numFmtId="49" fontId="14" fillId="3" borderId="0" xfId="0" applyNumberFormat="1" applyFont="1" applyFill="1" applyAlignment="1" applyProtection="1">
      <alignment horizontal="center" vertical="center" wrapText="1"/>
      <protection locked="0"/>
    </xf>
    <xf numFmtId="171" fontId="14" fillId="3" borderId="0" xfId="0" applyNumberFormat="1" applyFont="1" applyFill="1" applyAlignment="1">
      <alignment horizontal="right" vertical="center" wrapText="1"/>
    </xf>
    <xf numFmtId="9" fontId="14" fillId="3" borderId="0" xfId="1" applyFont="1" applyFill="1" applyBorder="1" applyAlignment="1">
      <alignment horizontal="center" vertical="center" wrapText="1"/>
    </xf>
    <xf numFmtId="2" fontId="14" fillId="3" borderId="0" xfId="0" applyNumberFormat="1" applyFont="1" applyFill="1" applyAlignment="1">
      <alignment horizontal="center" vertical="center" wrapText="1"/>
    </xf>
    <xf numFmtId="171" fontId="14" fillId="3" borderId="0" xfId="0" applyNumberFormat="1" applyFont="1" applyFill="1" applyAlignment="1">
      <alignment horizontal="center" vertical="center" wrapText="1"/>
    </xf>
    <xf numFmtId="171" fontId="10" fillId="3" borderId="0" xfId="0" applyNumberFormat="1" applyFont="1" applyFill="1" applyAlignment="1">
      <alignment wrapText="1"/>
    </xf>
    <xf numFmtId="0" fontId="21" fillId="11" borderId="172" xfId="0" applyFont="1" applyFill="1" applyBorder="1" applyAlignment="1">
      <alignment horizontal="center" vertical="center" wrapText="1"/>
    </xf>
    <xf numFmtId="1" fontId="0" fillId="3" borderId="95" xfId="6" applyNumberFormat="1" applyFont="1" applyFill="1" applyBorder="1" applyAlignment="1" applyProtection="1">
      <alignment horizontal="center" vertical="center" wrapText="1"/>
      <protection locked="0"/>
    </xf>
    <xf numFmtId="171" fontId="10" fillId="14" borderId="178" xfId="0" applyNumberFormat="1" applyFont="1" applyFill="1" applyBorder="1" applyAlignment="1">
      <alignment wrapText="1"/>
    </xf>
    <xf numFmtId="171" fontId="10" fillId="14" borderId="179" xfId="0" applyNumberFormat="1" applyFont="1" applyFill="1" applyBorder="1" applyAlignment="1">
      <alignment wrapText="1"/>
    </xf>
    <xf numFmtId="171" fontId="10" fillId="14" borderId="177" xfId="0" applyNumberFormat="1" applyFont="1" applyFill="1" applyBorder="1" applyAlignment="1">
      <alignment wrapText="1"/>
    </xf>
    <xf numFmtId="0" fontId="16" fillId="4" borderId="42" xfId="1" applyNumberFormat="1" applyFont="1" applyFill="1" applyBorder="1" applyAlignment="1" applyProtection="1">
      <alignment horizontal="center" vertical="center" wrapText="1"/>
    </xf>
    <xf numFmtId="171" fontId="16" fillId="17" borderId="0" xfId="0" applyNumberFormat="1" applyFont="1" applyFill="1" applyAlignment="1">
      <alignment horizontal="center" vertical="center" wrapText="1"/>
    </xf>
    <xf numFmtId="0" fontId="14" fillId="3" borderId="13" xfId="0" applyFont="1" applyFill="1" applyBorder="1" applyAlignment="1" applyProtection="1">
      <alignment vertical="center" wrapText="1"/>
      <protection locked="0"/>
    </xf>
    <xf numFmtId="49" fontId="14" fillId="3" borderId="8" xfId="0" applyNumberFormat="1" applyFont="1" applyFill="1" applyBorder="1" applyAlignment="1" applyProtection="1">
      <alignment vertical="center" wrapText="1"/>
      <protection locked="0"/>
    </xf>
    <xf numFmtId="171" fontId="14" fillId="3" borderId="70" xfId="0" applyNumberFormat="1" applyFont="1" applyFill="1" applyBorder="1" applyAlignment="1" applyProtection="1">
      <alignment vertical="center" wrapText="1"/>
      <protection locked="0"/>
    </xf>
    <xf numFmtId="171" fontId="14" fillId="3" borderId="13" xfId="0" applyNumberFormat="1" applyFont="1" applyFill="1" applyBorder="1" applyAlignment="1" applyProtection="1">
      <alignment vertical="center" wrapText="1"/>
      <protection locked="0"/>
    </xf>
    <xf numFmtId="171" fontId="10" fillId="14" borderId="181" xfId="0" applyNumberFormat="1" applyFont="1" applyFill="1" applyBorder="1" applyAlignment="1">
      <alignment horizontal="right" vertical="center" wrapText="1"/>
    </xf>
    <xf numFmtId="171" fontId="14" fillId="3" borderId="73" xfId="0" applyNumberFormat="1" applyFont="1" applyFill="1" applyBorder="1" applyAlignment="1" applyProtection="1">
      <alignment vertical="center" wrapText="1"/>
      <protection locked="0"/>
    </xf>
    <xf numFmtId="171" fontId="14" fillId="14" borderId="13" xfId="0" applyNumberFormat="1" applyFont="1" applyFill="1" applyBorder="1" applyAlignment="1" applyProtection="1">
      <alignment vertical="center" wrapText="1"/>
      <protection locked="0"/>
    </xf>
    <xf numFmtId="171" fontId="14" fillId="3" borderId="76" xfId="0" applyNumberFormat="1" applyFont="1" applyFill="1" applyBorder="1" applyAlignment="1">
      <alignment vertical="center" wrapText="1"/>
    </xf>
    <xf numFmtId="171" fontId="14" fillId="3" borderId="13" xfId="0" applyNumberFormat="1" applyFont="1" applyFill="1" applyBorder="1" applyAlignment="1">
      <alignment vertical="center" wrapText="1"/>
    </xf>
    <xf numFmtId="171" fontId="14" fillId="14" borderId="182" xfId="0" applyNumberFormat="1" applyFont="1" applyFill="1" applyBorder="1" applyAlignment="1">
      <alignment horizontal="right" vertical="center" wrapText="1"/>
    </xf>
    <xf numFmtId="171" fontId="10" fillId="14" borderId="183" xfId="0" applyNumberFormat="1" applyFont="1" applyFill="1" applyBorder="1" applyAlignment="1">
      <alignment horizontal="right" vertical="center" wrapText="1"/>
    </xf>
    <xf numFmtId="0" fontId="16" fillId="4" borderId="184" xfId="0" applyFont="1" applyFill="1" applyBorder="1" applyAlignment="1">
      <alignment horizontal="center" vertical="center" wrapText="1"/>
    </xf>
    <xf numFmtId="0" fontId="10" fillId="7" borderId="38" xfId="0" applyFont="1" applyFill="1" applyBorder="1" applyAlignment="1">
      <alignment horizontal="center" vertical="center" wrapText="1"/>
    </xf>
    <xf numFmtId="0" fontId="10" fillId="7" borderId="48" xfId="2" applyFont="1" applyFill="1" applyBorder="1" applyAlignment="1">
      <alignment horizontal="center" vertical="center" wrapText="1"/>
    </xf>
    <xf numFmtId="0" fontId="10" fillId="7" borderId="49" xfId="0" applyFont="1" applyFill="1" applyBorder="1" applyAlignment="1">
      <alignment horizontal="center" vertical="center" wrapText="1"/>
    </xf>
    <xf numFmtId="0" fontId="29" fillId="7" borderId="10" xfId="2" applyFont="1" applyFill="1" applyBorder="1" applyAlignment="1">
      <alignment horizontal="center" vertical="center" wrapText="1"/>
    </xf>
    <xf numFmtId="0" fontId="29" fillId="7" borderId="90" xfId="2" applyFont="1" applyFill="1" applyBorder="1" applyAlignment="1">
      <alignment horizontal="center" vertical="center" wrapText="1"/>
    </xf>
    <xf numFmtId="0" fontId="16" fillId="4" borderId="42" xfId="0" applyFont="1" applyFill="1" applyBorder="1" applyAlignment="1">
      <alignment horizontal="center" vertical="center" wrapText="1"/>
    </xf>
    <xf numFmtId="0" fontId="14" fillId="3" borderId="40" xfId="0" applyFont="1" applyFill="1" applyBorder="1" applyAlignment="1" applyProtection="1">
      <alignment horizontal="center" vertical="center" wrapText="1"/>
      <protection locked="0"/>
    </xf>
    <xf numFmtId="0" fontId="10" fillId="10" borderId="49" xfId="0" applyFont="1" applyFill="1" applyBorder="1" applyAlignment="1">
      <alignment horizontal="center" vertical="center" wrapText="1"/>
    </xf>
    <xf numFmtId="0" fontId="29" fillId="10" borderId="90" xfId="2" applyFont="1" applyFill="1" applyBorder="1" applyAlignment="1">
      <alignment horizontal="center" vertical="center" wrapText="1"/>
    </xf>
    <xf numFmtId="171" fontId="10" fillId="14" borderId="178" xfId="0" applyNumberFormat="1" applyFont="1" applyFill="1" applyBorder="1" applyAlignment="1">
      <alignment horizontal="center" wrapText="1"/>
    </xf>
    <xf numFmtId="171" fontId="10" fillId="14" borderId="185" xfId="0" applyNumberFormat="1" applyFont="1" applyFill="1" applyBorder="1" applyAlignment="1">
      <alignment horizontal="center" wrapText="1"/>
    </xf>
    <xf numFmtId="171" fontId="10" fillId="14" borderId="186" xfId="0" applyNumberFormat="1" applyFont="1" applyFill="1" applyBorder="1" applyAlignment="1">
      <alignment horizontal="center" wrapText="1"/>
    </xf>
    <xf numFmtId="171" fontId="16" fillId="10" borderId="95" xfId="0" applyNumberFormat="1" applyFont="1" applyFill="1" applyBorder="1" applyAlignment="1">
      <alignment horizontal="center" vertical="center" wrapText="1"/>
    </xf>
    <xf numFmtId="0" fontId="21" fillId="28" borderId="118" xfId="0" applyFont="1" applyFill="1" applyBorder="1" applyAlignment="1">
      <alignment horizontal="center" vertical="center" wrapText="1"/>
    </xf>
    <xf numFmtId="0" fontId="21" fillId="28" borderId="174" xfId="0" applyFont="1" applyFill="1" applyBorder="1" applyAlignment="1">
      <alignment horizontal="center" vertical="center" wrapText="1"/>
    </xf>
    <xf numFmtId="0" fontId="21" fillId="28" borderId="171" xfId="0" applyFont="1" applyFill="1" applyBorder="1" applyAlignment="1">
      <alignment horizontal="center" vertical="center" wrapText="1"/>
    </xf>
    <xf numFmtId="0" fontId="10" fillId="10" borderId="48" xfId="0" applyFont="1" applyFill="1" applyBorder="1" applyAlignment="1">
      <alignment horizontal="center" vertical="center" wrapText="1"/>
    </xf>
    <xf numFmtId="171" fontId="17" fillId="14" borderId="183" xfId="0" applyNumberFormat="1" applyFont="1" applyFill="1" applyBorder="1" applyAlignment="1">
      <alignment horizontal="center" vertical="center" wrapText="1"/>
    </xf>
    <xf numFmtId="0" fontId="29" fillId="10" borderId="10" xfId="0" applyFont="1" applyFill="1" applyBorder="1" applyAlignment="1">
      <alignment horizontal="center" vertical="center" wrapText="1"/>
    </xf>
    <xf numFmtId="0" fontId="16" fillId="14" borderId="187" xfId="0" applyFont="1" applyFill="1" applyBorder="1" applyAlignment="1">
      <alignment horizontal="center" vertical="center" wrapText="1"/>
    </xf>
    <xf numFmtId="0" fontId="16" fillId="14" borderId="188" xfId="0" applyFont="1" applyFill="1" applyBorder="1" applyAlignment="1">
      <alignment horizontal="center" vertical="center" wrapText="1"/>
    </xf>
    <xf numFmtId="0" fontId="16" fillId="14" borderId="183" xfId="0" applyFont="1" applyFill="1" applyBorder="1" applyAlignment="1">
      <alignment horizontal="center" vertical="center" wrapText="1"/>
    </xf>
    <xf numFmtId="171" fontId="14" fillId="14" borderId="70" xfId="0" applyNumberFormat="1" applyFont="1" applyFill="1" applyBorder="1" applyAlignment="1" applyProtection="1">
      <alignment horizontal="center" vertical="center" wrapText="1"/>
      <protection locked="0"/>
    </xf>
    <xf numFmtId="171" fontId="16" fillId="14" borderId="183" xfId="0" applyNumberFormat="1" applyFont="1" applyFill="1" applyBorder="1" applyAlignment="1">
      <alignment horizontal="center" vertical="center" wrapText="1"/>
    </xf>
    <xf numFmtId="171" fontId="10" fillId="14" borderId="181" xfId="0" applyNumberFormat="1" applyFont="1" applyFill="1" applyBorder="1" applyAlignment="1">
      <alignment horizontal="center" vertical="center" wrapText="1"/>
    </xf>
    <xf numFmtId="171" fontId="14" fillId="14" borderId="182" xfId="0" applyNumberFormat="1" applyFont="1" applyFill="1" applyBorder="1" applyAlignment="1">
      <alignment horizontal="center" vertical="center" wrapText="1"/>
    </xf>
    <xf numFmtId="171" fontId="14" fillId="14" borderId="183" xfId="0" applyNumberFormat="1" applyFont="1" applyFill="1" applyBorder="1" applyAlignment="1">
      <alignment horizontal="center" vertical="center" wrapText="1"/>
    </xf>
    <xf numFmtId="0" fontId="14" fillId="0" borderId="183" xfId="0" applyFont="1" applyBorder="1" applyAlignment="1">
      <alignment horizontal="center" vertical="center" wrapText="1"/>
    </xf>
    <xf numFmtId="171" fontId="10" fillId="14" borderId="111" xfId="0" applyNumberFormat="1" applyFont="1" applyFill="1" applyBorder="1" applyAlignment="1">
      <alignment horizontal="right" vertical="center" wrapText="1"/>
    </xf>
    <xf numFmtId="171" fontId="10" fillId="14" borderId="6" xfId="0" applyNumberFormat="1" applyFont="1" applyFill="1" applyBorder="1" applyAlignment="1">
      <alignment horizontal="right" vertical="center" wrapText="1"/>
    </xf>
    <xf numFmtId="171" fontId="10" fillId="14" borderId="25" xfId="0" applyNumberFormat="1" applyFont="1" applyFill="1" applyBorder="1" applyAlignment="1">
      <alignment horizontal="right" vertical="center" wrapText="1"/>
    </xf>
    <xf numFmtId="171" fontId="0" fillId="14" borderId="190" xfId="6" applyNumberFormat="1" applyFont="1" applyFill="1" applyBorder="1" applyAlignment="1" applyProtection="1">
      <alignment horizontal="center" vertical="center" wrapText="1"/>
    </xf>
    <xf numFmtId="171" fontId="14" fillId="14" borderId="111" xfId="2" applyNumberFormat="1" applyFont="1" applyFill="1" applyBorder="1" applyAlignment="1">
      <alignment horizontal="center" vertical="center" wrapText="1"/>
    </xf>
    <xf numFmtId="171" fontId="0" fillId="14" borderId="191" xfId="0" applyNumberFormat="1" applyFill="1" applyBorder="1" applyAlignment="1">
      <alignment horizontal="center" vertical="center" wrapText="1"/>
    </xf>
    <xf numFmtId="171" fontId="0" fillId="14" borderId="3" xfId="0" applyNumberFormat="1" applyFill="1" applyBorder="1" applyAlignment="1">
      <alignment horizontal="center" vertical="center" wrapText="1"/>
    </xf>
    <xf numFmtId="0" fontId="35" fillId="0" borderId="0" xfId="0" applyFont="1" applyAlignment="1">
      <alignment horizontal="center" vertical="center" wrapText="1"/>
    </xf>
    <xf numFmtId="171" fontId="35" fillId="0" borderId="0" xfId="0" applyNumberFormat="1" applyFont="1" applyAlignment="1">
      <alignment horizontal="right" vertical="center" wrapText="1"/>
    </xf>
    <xf numFmtId="0" fontId="14" fillId="3" borderId="31" xfId="0" applyFont="1" applyFill="1" applyBorder="1" applyAlignment="1" applyProtection="1">
      <alignment horizontal="center" vertical="center" wrapText="1"/>
      <protection locked="0"/>
    </xf>
    <xf numFmtId="0" fontId="14" fillId="14" borderId="27" xfId="0" applyFont="1" applyFill="1" applyBorder="1" applyAlignment="1">
      <alignment horizontal="center" vertical="center" wrapText="1"/>
    </xf>
    <xf numFmtId="171" fontId="7" fillId="14" borderId="45" xfId="0" applyNumberFormat="1" applyFont="1" applyFill="1" applyBorder="1" applyAlignment="1">
      <alignment horizontal="center" vertical="center"/>
    </xf>
    <xf numFmtId="0" fontId="14" fillId="22" borderId="141" xfId="0" applyFont="1" applyFill="1" applyBorder="1" applyAlignment="1" applyProtection="1">
      <alignment horizontal="center" vertical="center" wrapText="1"/>
      <protection hidden="1"/>
    </xf>
    <xf numFmtId="171" fontId="13" fillId="3" borderId="0" xfId="0" applyNumberFormat="1" applyFont="1" applyFill="1" applyAlignment="1">
      <alignment horizontal="center" vertical="center" wrapText="1"/>
    </xf>
    <xf numFmtId="165" fontId="0" fillId="3" borderId="0" xfId="0" applyNumberFormat="1" applyFill="1" applyAlignment="1" applyProtection="1">
      <alignment horizontal="center" vertical="center"/>
      <protection hidden="1"/>
    </xf>
    <xf numFmtId="0" fontId="14" fillId="22" borderId="67" xfId="0" applyFont="1" applyFill="1" applyBorder="1" applyAlignment="1" applyProtection="1">
      <alignment horizontal="center" vertical="center" wrapText="1"/>
      <protection hidden="1"/>
    </xf>
    <xf numFmtId="0" fontId="64" fillId="23" borderId="129" xfId="0" applyFont="1" applyFill="1" applyBorder="1" applyAlignment="1" applyProtection="1">
      <alignment horizontal="center" vertical="center" wrapText="1"/>
      <protection hidden="1"/>
    </xf>
    <xf numFmtId="0" fontId="14" fillId="14" borderId="26" xfId="0" applyFont="1" applyFill="1" applyBorder="1" applyAlignment="1">
      <alignment horizontal="center" vertical="center" wrapText="1"/>
    </xf>
    <xf numFmtId="0" fontId="14" fillId="14" borderId="12" xfId="0" applyFont="1" applyFill="1" applyBorder="1" applyAlignment="1">
      <alignment horizontal="center" vertical="center" wrapText="1"/>
    </xf>
    <xf numFmtId="0" fontId="13" fillId="3" borderId="0" xfId="0" applyFont="1" applyFill="1" applyAlignment="1">
      <alignment vertical="center" wrapText="1"/>
    </xf>
    <xf numFmtId="0" fontId="35" fillId="3" borderId="0" xfId="0" applyFont="1" applyFill="1" applyAlignment="1">
      <alignment horizontal="center" vertical="center" wrapText="1"/>
    </xf>
    <xf numFmtId="171" fontId="35" fillId="3" borderId="0" xfId="0" applyNumberFormat="1" applyFont="1" applyFill="1" applyAlignment="1">
      <alignment horizontal="right" vertical="center" wrapText="1"/>
    </xf>
    <xf numFmtId="0" fontId="18" fillId="0" borderId="0" xfId="0" applyFont="1" applyAlignment="1">
      <alignment vertical="center"/>
    </xf>
    <xf numFmtId="0" fontId="27" fillId="3" borderId="0" xfId="0" applyFont="1" applyFill="1" applyAlignment="1" applyProtection="1">
      <alignment vertical="center" wrapText="1"/>
      <protection hidden="1"/>
    </xf>
    <xf numFmtId="0" fontId="73" fillId="3" borderId="0" xfId="0" applyFont="1" applyFill="1" applyAlignment="1" applyProtection="1">
      <alignment vertical="center" wrapText="1"/>
      <protection hidden="1"/>
    </xf>
    <xf numFmtId="0" fontId="0" fillId="0" borderId="0" xfId="0" applyAlignment="1">
      <alignment horizontal="center" vertical="center"/>
    </xf>
    <xf numFmtId="0" fontId="12" fillId="3" borderId="0" xfId="0" applyFont="1" applyFill="1" applyAlignment="1">
      <alignment horizontal="left" vertical="center" wrapText="1"/>
    </xf>
    <xf numFmtId="0" fontId="21" fillId="11" borderId="58" xfId="0" applyFont="1" applyFill="1" applyBorder="1" applyAlignment="1">
      <alignment horizontal="center" vertical="center" wrapText="1"/>
    </xf>
    <xf numFmtId="165" fontId="58" fillId="3" borderId="0" xfId="0" applyNumberFormat="1" applyFont="1" applyFill="1" applyAlignment="1">
      <alignment horizontal="center" vertical="center"/>
    </xf>
    <xf numFmtId="0" fontId="13" fillId="3" borderId="0" xfId="0" applyFont="1" applyFill="1" applyAlignment="1" applyProtection="1">
      <alignment vertical="center"/>
      <protection locked="0"/>
    </xf>
    <xf numFmtId="0" fontId="5" fillId="3" borderId="0" xfId="0" applyFont="1" applyFill="1" applyAlignment="1">
      <alignment horizontal="center" vertical="center" wrapText="1"/>
    </xf>
    <xf numFmtId="0" fontId="25" fillId="3" borderId="0" xfId="0" applyFont="1" applyFill="1" applyAlignment="1">
      <alignment horizontal="center" vertical="center" wrapText="1"/>
    </xf>
    <xf numFmtId="171" fontId="0" fillId="3" borderId="0" xfId="0" applyNumberFormat="1" applyFill="1" applyAlignment="1">
      <alignment vertical="center"/>
    </xf>
    <xf numFmtId="9" fontId="0" fillId="3" borderId="0" xfId="1" applyFont="1" applyFill="1" applyBorder="1" applyAlignment="1" applyProtection="1">
      <alignment horizontal="center" vertical="center"/>
    </xf>
    <xf numFmtId="171" fontId="0" fillId="3" borderId="0" xfId="0" applyNumberFormat="1" applyFill="1" applyAlignment="1">
      <alignment horizontal="center" vertical="center"/>
    </xf>
    <xf numFmtId="165" fontId="7" fillId="3" borderId="0" xfId="0" applyNumberFormat="1" applyFont="1" applyFill="1" applyAlignment="1">
      <alignment vertical="center"/>
    </xf>
    <xf numFmtId="171" fontId="7" fillId="3" borderId="0" xfId="1" applyNumberFormat="1" applyFont="1" applyFill="1" applyBorder="1" applyAlignment="1" applyProtection="1">
      <alignment horizontal="center" vertical="center"/>
    </xf>
    <xf numFmtId="171" fontId="7" fillId="3" borderId="0" xfId="0" applyNumberFormat="1" applyFont="1" applyFill="1" applyAlignment="1">
      <alignment vertical="center"/>
    </xf>
    <xf numFmtId="9" fontId="7" fillId="3" borderId="0" xfId="1" applyFont="1" applyFill="1" applyBorder="1" applyAlignment="1" applyProtection="1">
      <alignment horizontal="center" vertical="center"/>
    </xf>
    <xf numFmtId="0" fontId="80" fillId="0" borderId="0" xfId="0"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7" fillId="3" borderId="0" xfId="0" applyFont="1" applyFill="1" applyAlignment="1" applyProtection="1">
      <alignment horizontal="center" vertical="center" wrapText="1"/>
      <protection hidden="1"/>
    </xf>
    <xf numFmtId="10" fontId="0" fillId="3" borderId="0" xfId="0" applyNumberFormat="1" applyFill="1" applyAlignment="1">
      <alignment vertical="center"/>
    </xf>
    <xf numFmtId="171" fontId="2" fillId="14" borderId="6" xfId="1" applyNumberFormat="1" applyFont="1" applyFill="1" applyBorder="1" applyAlignment="1">
      <alignment horizontal="center" vertical="center"/>
    </xf>
    <xf numFmtId="0" fontId="10" fillId="10" borderId="2" xfId="0" applyFont="1" applyFill="1" applyBorder="1" applyAlignment="1">
      <alignment horizontal="center" vertical="center" wrapText="1"/>
    </xf>
    <xf numFmtId="166" fontId="78" fillId="25" borderId="176" xfId="0" applyNumberFormat="1" applyFont="1" applyFill="1" applyBorder="1" applyAlignment="1">
      <alignment horizontal="center" vertical="center"/>
    </xf>
    <xf numFmtId="0" fontId="84" fillId="0" borderId="0" xfId="0" applyFont="1"/>
    <xf numFmtId="0" fontId="84" fillId="0" borderId="0" xfId="0" applyFont="1" applyAlignment="1">
      <alignment vertical="center"/>
    </xf>
    <xf numFmtId="0" fontId="76" fillId="10" borderId="101" xfId="0" applyFont="1" applyFill="1" applyBorder="1" applyAlignment="1">
      <alignment horizontal="center" vertical="center" wrapText="1"/>
    </xf>
    <xf numFmtId="0" fontId="76" fillId="10" borderId="95" xfId="0" applyFont="1" applyFill="1" applyBorder="1" applyAlignment="1">
      <alignment horizontal="center" vertical="center" wrapText="1"/>
    </xf>
    <xf numFmtId="0" fontId="76" fillId="29" borderId="95" xfId="0" applyFont="1" applyFill="1" applyBorder="1" applyAlignment="1">
      <alignment horizontal="center" vertical="center" wrapText="1"/>
    </xf>
    <xf numFmtId="0" fontId="76" fillId="29" borderId="102" xfId="0" applyFont="1" applyFill="1" applyBorder="1" applyAlignment="1">
      <alignment horizontal="center" vertical="center" wrapText="1"/>
    </xf>
    <xf numFmtId="166" fontId="89" fillId="25" borderId="112" xfId="0" applyNumberFormat="1" applyFont="1" applyFill="1" applyBorder="1" applyAlignment="1">
      <alignment horizontal="center" vertical="center"/>
    </xf>
    <xf numFmtId="0" fontId="82" fillId="0" borderId="0" xfId="0" applyFont="1" applyAlignment="1" applyProtection="1">
      <alignment horizontal="center" vertical="center"/>
      <protection locked="0"/>
    </xf>
    <xf numFmtId="0" fontId="83" fillId="0" borderId="0" xfId="0" applyFont="1" applyAlignment="1" applyProtection="1">
      <alignment horizontal="center" vertical="center"/>
      <protection locked="0"/>
    </xf>
    <xf numFmtId="0" fontId="63" fillId="0" borderId="0" xfId="0" applyFont="1" applyAlignment="1">
      <alignment horizontal="left" vertical="center" wrapText="1"/>
    </xf>
    <xf numFmtId="0" fontId="90" fillId="0" borderId="0" xfId="0" applyFont="1" applyAlignment="1">
      <alignment horizontal="center" vertical="center" wrapText="1"/>
    </xf>
    <xf numFmtId="9" fontId="90" fillId="0" borderId="0" xfId="1" applyFont="1" applyAlignment="1">
      <alignment horizontal="center" vertical="center" wrapText="1"/>
    </xf>
    <xf numFmtId="0" fontId="13" fillId="0" borderId="0" xfId="0" applyFont="1" applyAlignment="1">
      <alignment horizontal="left" vertical="center" wrapText="1"/>
    </xf>
    <xf numFmtId="0" fontId="0" fillId="0" borderId="0" xfId="0" applyAlignment="1">
      <alignment vertical="center" wrapText="1"/>
    </xf>
    <xf numFmtId="9" fontId="0" fillId="0" borderId="0" xfId="1" applyFont="1" applyAlignment="1">
      <alignment vertical="center" wrapText="1"/>
    </xf>
    <xf numFmtId="0" fontId="46" fillId="32" borderId="0" xfId="0" applyFont="1" applyFill="1" applyAlignment="1">
      <alignment horizontal="left" vertical="center" wrapText="1"/>
    </xf>
    <xf numFmtId="9" fontId="46" fillId="32" borderId="0" xfId="1" applyFont="1" applyFill="1" applyBorder="1" applyAlignment="1">
      <alignment horizontal="left" vertical="center" wrapText="1"/>
    </xf>
    <xf numFmtId="0" fontId="13" fillId="0" borderId="0" xfId="0" applyFont="1" applyAlignment="1">
      <alignment horizontal="center" vertical="center" wrapText="1"/>
    </xf>
    <xf numFmtId="9" fontId="13" fillId="0" borderId="0" xfId="1" applyFont="1" applyAlignment="1">
      <alignment horizontal="center" vertical="center" wrapText="1"/>
    </xf>
    <xf numFmtId="0" fontId="40" fillId="2" borderId="6" xfId="0" applyFont="1" applyFill="1" applyBorder="1" applyAlignment="1">
      <alignment horizontal="center" vertical="center" wrapText="1"/>
    </xf>
    <xf numFmtId="0" fontId="40" fillId="9" borderId="6" xfId="0" applyFont="1" applyFill="1" applyBorder="1" applyAlignment="1" applyProtection="1">
      <alignment vertical="center" wrapText="1"/>
      <protection locked="0"/>
    </xf>
    <xf numFmtId="0" fontId="40" fillId="30" borderId="0" xfId="0" applyFont="1" applyFill="1" applyAlignment="1" applyProtection="1">
      <alignment horizontal="center" vertical="center" wrapText="1"/>
      <protection locked="0"/>
    </xf>
    <xf numFmtId="0" fontId="40" fillId="30" borderId="38" xfId="0" applyFont="1" applyFill="1" applyBorder="1" applyAlignment="1" applyProtection="1">
      <alignment horizontal="center" vertical="center" wrapText="1"/>
      <protection locked="0"/>
    </xf>
    <xf numFmtId="0" fontId="92" fillId="0" borderId="64" xfId="0" applyFont="1" applyBorder="1" applyAlignment="1">
      <alignment vertical="center" wrapText="1"/>
    </xf>
    <xf numFmtId="0" fontId="92" fillId="0" borderId="0" xfId="0" applyFont="1" applyAlignment="1">
      <alignment vertical="center" wrapText="1"/>
    </xf>
    <xf numFmtId="9" fontId="92" fillId="0" borderId="0" xfId="1" applyFont="1" applyBorder="1" applyAlignment="1">
      <alignment vertical="center" wrapText="1"/>
    </xf>
    <xf numFmtId="0" fontId="92" fillId="0" borderId="38" xfId="0" applyFont="1" applyBorder="1" applyAlignment="1">
      <alignment vertical="center" wrapText="1"/>
    </xf>
    <xf numFmtId="9" fontId="0" fillId="0" borderId="0" xfId="1" applyFont="1"/>
    <xf numFmtId="20" fontId="45" fillId="3" borderId="0" xfId="0" applyNumberFormat="1" applyFont="1" applyFill="1" applyAlignment="1">
      <alignment vertical="center" wrapText="1"/>
    </xf>
    <xf numFmtId="0" fontId="45" fillId="0" borderId="0" xfId="0" applyFont="1" applyAlignment="1">
      <alignment vertical="center" wrapText="1"/>
    </xf>
    <xf numFmtId="0" fontId="13" fillId="8" borderId="187" xfId="0" applyFont="1" applyFill="1" applyBorder="1" applyAlignment="1">
      <alignment vertical="center" wrapText="1"/>
    </xf>
    <xf numFmtId="9" fontId="13" fillId="14" borderId="180" xfId="1" applyFont="1" applyFill="1" applyBorder="1" applyAlignment="1">
      <alignment vertical="center" wrapText="1"/>
    </xf>
    <xf numFmtId="171" fontId="13" fillId="0" borderId="0" xfId="0" applyNumberFormat="1" applyFont="1" applyAlignment="1">
      <alignment vertical="center" wrapText="1"/>
    </xf>
    <xf numFmtId="20" fontId="18" fillId="3" borderId="0" xfId="0" applyNumberFormat="1" applyFont="1" applyFill="1" applyAlignment="1">
      <alignment vertical="center" wrapText="1"/>
    </xf>
    <xf numFmtId="171" fontId="13" fillId="14" borderId="180" xfId="0" applyNumberFormat="1" applyFont="1" applyFill="1" applyBorder="1" applyAlignment="1">
      <alignment vertical="center" wrapText="1"/>
    </xf>
    <xf numFmtId="9" fontId="13" fillId="0" borderId="0" xfId="1" applyFont="1" applyFill="1" applyBorder="1" applyAlignment="1">
      <alignment vertical="center" wrapText="1"/>
    </xf>
    <xf numFmtId="0" fontId="93" fillId="8" borderId="187" xfId="0" applyFont="1" applyFill="1" applyBorder="1" applyAlignment="1">
      <alignment horizontal="right" vertical="center" wrapText="1"/>
    </xf>
    <xf numFmtId="171" fontId="93" fillId="14" borderId="180" xfId="0" applyNumberFormat="1" applyFont="1" applyFill="1" applyBorder="1" applyAlignment="1">
      <alignment vertical="center" wrapText="1"/>
    </xf>
    <xf numFmtId="0" fontId="40" fillId="18" borderId="210" xfId="0" applyFont="1" applyFill="1" applyBorder="1" applyAlignment="1" applyProtection="1">
      <alignment horizontal="right" vertical="center" wrapText="1"/>
      <protection hidden="1"/>
    </xf>
    <xf numFmtId="171" fontId="13" fillId="18" borderId="211" xfId="0" applyNumberFormat="1" applyFont="1" applyFill="1" applyBorder="1" applyAlignment="1">
      <alignment vertical="center" wrapText="1"/>
    </xf>
    <xf numFmtId="167" fontId="13" fillId="18" borderId="19" xfId="6" applyFont="1" applyFill="1" applyBorder="1" applyAlignment="1">
      <alignment horizontal="center" vertical="center" wrapText="1"/>
    </xf>
    <xf numFmtId="171" fontId="13" fillId="18" borderId="212" xfId="0" applyNumberFormat="1" applyFont="1" applyFill="1" applyBorder="1" applyAlignment="1">
      <alignment horizontal="right" vertical="center" wrapText="1"/>
    </xf>
    <xf numFmtId="20" fontId="63" fillId="0" borderId="0" xfId="0" applyNumberFormat="1" applyFont="1" applyAlignment="1">
      <alignment vertical="center" wrapText="1"/>
    </xf>
    <xf numFmtId="20" fontId="13" fillId="0" borderId="0" xfId="0" applyNumberFormat="1" applyFont="1" applyAlignment="1">
      <alignment vertical="center" wrapText="1"/>
    </xf>
    <xf numFmtId="20" fontId="13" fillId="3" borderId="0" xfId="0" applyNumberFormat="1" applyFont="1" applyFill="1" applyAlignment="1">
      <alignment vertical="center" wrapText="1"/>
    </xf>
    <xf numFmtId="20" fontId="40" fillId="18" borderId="213" xfId="0" applyNumberFormat="1" applyFont="1" applyFill="1" applyBorder="1" applyAlignment="1" applyProtection="1">
      <alignment horizontal="right" vertical="center" wrapText="1"/>
      <protection hidden="1"/>
    </xf>
    <xf numFmtId="9" fontId="0" fillId="0" borderId="0" xfId="1" applyFont="1" applyBorder="1"/>
    <xf numFmtId="0" fontId="40" fillId="0" borderId="0" xfId="0" applyFont="1" applyAlignment="1" applyProtection="1">
      <alignment horizontal="center" vertical="center" wrapText="1"/>
      <protection hidden="1"/>
    </xf>
    <xf numFmtId="0" fontId="58" fillId="14" borderId="6" xfId="0" applyFont="1" applyFill="1" applyBorder="1" applyAlignment="1">
      <alignment horizontal="center" vertical="center" wrapText="1"/>
    </xf>
    <xf numFmtId="9" fontId="58" fillId="14" borderId="6" xfId="1" applyFont="1" applyFill="1" applyBorder="1" applyAlignment="1">
      <alignment horizontal="center" vertical="center" wrapText="1"/>
    </xf>
    <xf numFmtId="0" fontId="45" fillId="3" borderId="0" xfId="0" applyFont="1" applyFill="1" applyAlignment="1">
      <alignment vertical="center" wrapText="1"/>
    </xf>
    <xf numFmtId="0" fontId="0" fillId="3" borderId="0" xfId="0" applyFill="1" applyAlignment="1">
      <alignment vertical="center" wrapText="1"/>
    </xf>
    <xf numFmtId="0" fontId="18" fillId="3" borderId="0" xfId="0" applyFont="1" applyFill="1" applyAlignment="1">
      <alignment vertical="center" wrapText="1"/>
    </xf>
    <xf numFmtId="0" fontId="18" fillId="3" borderId="0" xfId="0" applyFont="1" applyFill="1" applyAlignment="1">
      <alignment horizontal="center" vertical="center" wrapText="1"/>
    </xf>
    <xf numFmtId="0" fontId="26" fillId="3" borderId="0" xfId="0" applyFont="1" applyFill="1" applyAlignment="1">
      <alignment vertical="center" wrapText="1"/>
    </xf>
    <xf numFmtId="0" fontId="26" fillId="3" borderId="0" xfId="0" applyFont="1" applyFill="1" applyAlignment="1">
      <alignment horizontal="center" vertical="center" wrapText="1"/>
    </xf>
    <xf numFmtId="171" fontId="26" fillId="3" borderId="0" xfId="6" applyNumberFormat="1" applyFont="1" applyFill="1" applyBorder="1" applyAlignment="1">
      <alignment horizontal="center" vertical="center" wrapText="1"/>
    </xf>
    <xf numFmtId="0" fontId="94" fillId="3" borderId="0" xfId="0" applyFont="1" applyFill="1" applyAlignment="1">
      <alignment horizontal="center" vertical="center" wrapText="1"/>
    </xf>
    <xf numFmtId="0" fontId="94" fillId="3" borderId="0" xfId="0" applyFont="1" applyFill="1" applyAlignment="1">
      <alignment vertical="center" wrapText="1"/>
    </xf>
    <xf numFmtId="171" fontId="94" fillId="3" borderId="0" xfId="6" applyNumberFormat="1" applyFont="1" applyFill="1" applyBorder="1" applyAlignment="1">
      <alignment horizontal="center" vertical="center" wrapText="1"/>
    </xf>
    <xf numFmtId="9" fontId="18" fillId="3" borderId="0" xfId="1" applyFont="1" applyFill="1" applyBorder="1" applyAlignment="1">
      <alignment horizontal="center" vertical="center" wrapText="1"/>
    </xf>
    <xf numFmtId="9" fontId="0" fillId="3" borderId="0" xfId="1" applyFont="1" applyFill="1" applyBorder="1" applyAlignment="1">
      <alignment vertical="center" wrapText="1"/>
    </xf>
    <xf numFmtId="171" fontId="94" fillId="3" borderId="0" xfId="0" applyNumberFormat="1" applyFont="1" applyFill="1" applyAlignment="1">
      <alignment horizontal="center" vertical="center" wrapText="1"/>
    </xf>
    <xf numFmtId="171" fontId="13" fillId="3" borderId="0" xfId="6" applyNumberFormat="1" applyFont="1" applyFill="1" applyBorder="1" applyAlignment="1">
      <alignment horizontal="center" vertical="center" wrapText="1"/>
    </xf>
    <xf numFmtId="9" fontId="0" fillId="3" borderId="0" xfId="1" applyFont="1" applyFill="1" applyBorder="1"/>
    <xf numFmtId="167" fontId="13" fillId="3" borderId="0" xfId="6" applyFont="1" applyFill="1" applyBorder="1" applyAlignment="1">
      <alignment vertical="center" wrapText="1"/>
    </xf>
    <xf numFmtId="171" fontId="13" fillId="3" borderId="0" xfId="0" applyNumberFormat="1" applyFont="1" applyFill="1" applyAlignment="1">
      <alignment horizontal="right" vertical="center" wrapText="1"/>
    </xf>
    <xf numFmtId="20" fontId="63" fillId="30" borderId="0" xfId="0" applyNumberFormat="1" applyFont="1" applyFill="1" applyAlignment="1">
      <alignment horizontal="right" vertical="center" wrapText="1"/>
    </xf>
    <xf numFmtId="167" fontId="13" fillId="3" borderId="0" xfId="6" applyFont="1" applyFill="1" applyBorder="1" applyAlignment="1">
      <alignment horizontal="center" vertical="center" wrapText="1"/>
    </xf>
    <xf numFmtId="165" fontId="13" fillId="14" borderId="6" xfId="6" applyNumberFormat="1" applyFont="1" applyFill="1" applyBorder="1" applyAlignment="1">
      <alignment vertical="center" wrapText="1"/>
    </xf>
    <xf numFmtId="167" fontId="13" fillId="14" borderId="6" xfId="6" applyFont="1" applyFill="1" applyBorder="1" applyAlignment="1">
      <alignment vertical="center" wrapText="1"/>
    </xf>
    <xf numFmtId="20" fontId="18" fillId="11" borderId="6" xfId="0" applyNumberFormat="1" applyFont="1" applyFill="1" applyBorder="1" applyAlignment="1">
      <alignment horizontal="center" vertical="center" wrapText="1"/>
    </xf>
    <xf numFmtId="20" fontId="13" fillId="2" borderId="6" xfId="0" applyNumberFormat="1" applyFont="1" applyFill="1" applyBorder="1" applyAlignment="1">
      <alignment vertical="center" wrapText="1"/>
    </xf>
    <xf numFmtId="20" fontId="63" fillId="36" borderId="6" xfId="0" applyNumberFormat="1" applyFont="1" applyFill="1" applyBorder="1" applyAlignment="1">
      <alignment horizontal="right" vertical="center" wrapText="1"/>
    </xf>
    <xf numFmtId="167" fontId="13" fillId="18" borderId="6" xfId="6" applyFont="1" applyFill="1" applyBorder="1" applyAlignment="1">
      <alignment horizontal="center" vertical="center" wrapText="1"/>
    </xf>
    <xf numFmtId="171" fontId="13" fillId="18" borderId="6" xfId="0" applyNumberFormat="1" applyFont="1" applyFill="1" applyBorder="1" applyAlignment="1">
      <alignment horizontal="right" vertical="center" wrapText="1"/>
    </xf>
    <xf numFmtId="167" fontId="13" fillId="2" borderId="6" xfId="6" applyFont="1" applyFill="1" applyBorder="1" applyAlignment="1">
      <alignment vertical="center" wrapText="1"/>
    </xf>
    <xf numFmtId="171" fontId="13" fillId="2" borderId="6" xfId="0" applyNumberFormat="1" applyFont="1" applyFill="1" applyBorder="1" applyAlignment="1">
      <alignment horizontal="right" vertical="center" wrapText="1"/>
    </xf>
    <xf numFmtId="0" fontId="8" fillId="14" borderId="113" xfId="0" applyFont="1" applyFill="1" applyBorder="1" applyAlignment="1">
      <alignment horizontal="center" vertical="center" wrapText="1"/>
    </xf>
    <xf numFmtId="171" fontId="8" fillId="14" borderId="140" xfId="0" applyNumberFormat="1" applyFont="1" applyFill="1" applyBorder="1" applyAlignment="1">
      <alignment horizontal="center" vertical="center" wrapText="1"/>
    </xf>
    <xf numFmtId="0" fontId="28" fillId="26" borderId="142" xfId="0" applyFont="1" applyFill="1" applyBorder="1" applyAlignment="1" applyProtection="1">
      <alignment horizontal="center" vertical="center" wrapText="1"/>
      <protection hidden="1"/>
    </xf>
    <xf numFmtId="0" fontId="28" fillId="26" borderId="29" xfId="0" applyFont="1" applyFill="1" applyBorder="1" applyAlignment="1" applyProtection="1">
      <alignment horizontal="center" vertical="center" wrapText="1"/>
      <protection hidden="1"/>
    </xf>
    <xf numFmtId="165" fontId="94" fillId="24" borderId="62" xfId="0" applyNumberFormat="1" applyFont="1" applyFill="1" applyBorder="1" applyAlignment="1" applyProtection="1">
      <alignment horizontal="center" vertical="center"/>
      <protection hidden="1"/>
    </xf>
    <xf numFmtId="0" fontId="28" fillId="26" borderId="168" xfId="0" applyFont="1" applyFill="1" applyBorder="1" applyAlignment="1" applyProtection="1">
      <alignment horizontal="center" vertical="center" wrapText="1"/>
      <protection hidden="1"/>
    </xf>
    <xf numFmtId="171" fontId="96" fillId="14" borderId="140" xfId="0" applyNumberFormat="1" applyFont="1" applyFill="1" applyBorder="1" applyAlignment="1">
      <alignment horizontal="center" vertical="center" wrapText="1"/>
    </xf>
    <xf numFmtId="171" fontId="0" fillId="3" borderId="0" xfId="1" applyNumberFormat="1" applyFont="1" applyFill="1" applyBorder="1" applyAlignment="1" applyProtection="1">
      <alignment horizontal="center" vertical="center"/>
      <protection locked="0"/>
    </xf>
    <xf numFmtId="165" fontId="7" fillId="3" borderId="0" xfId="0" applyNumberFormat="1" applyFont="1" applyFill="1" applyAlignment="1">
      <alignment horizontal="center" vertical="center"/>
    </xf>
    <xf numFmtId="0" fontId="7" fillId="3" borderId="0" xfId="0" applyFont="1" applyFill="1" applyAlignment="1">
      <alignment horizontal="center" vertical="center"/>
    </xf>
    <xf numFmtId="171" fontId="7" fillId="3" borderId="0" xfId="0" applyNumberFormat="1" applyFont="1" applyFill="1" applyAlignment="1">
      <alignment horizontal="center" vertical="center"/>
    </xf>
    <xf numFmtId="171" fontId="14" fillId="14" borderId="26" xfId="6" applyNumberFormat="1" applyFont="1" applyFill="1" applyBorder="1" applyAlignment="1">
      <alignment horizontal="center" vertical="center" wrapText="1"/>
    </xf>
    <xf numFmtId="171" fontId="14" fillId="14" borderId="12" xfId="6" applyNumberFormat="1" applyFont="1" applyFill="1" applyBorder="1" applyAlignment="1">
      <alignment horizontal="center" vertical="center" wrapText="1"/>
    </xf>
    <xf numFmtId="171" fontId="14" fillId="14" borderId="19" xfId="6" applyNumberFormat="1" applyFont="1" applyFill="1" applyBorder="1" applyAlignment="1">
      <alignment horizontal="center" vertical="center" wrapText="1"/>
    </xf>
    <xf numFmtId="171" fontId="14" fillId="14" borderId="95" xfId="7" applyNumberFormat="1" applyFont="1" applyFill="1" applyBorder="1" applyAlignment="1" applyProtection="1">
      <alignment horizontal="right" vertical="center" wrapText="1"/>
    </xf>
    <xf numFmtId="0" fontId="14" fillId="14" borderId="19" xfId="0" applyFont="1" applyFill="1" applyBorder="1" applyAlignment="1">
      <alignment horizontal="center" vertical="center" wrapText="1"/>
    </xf>
    <xf numFmtId="0" fontId="14" fillId="14" borderId="24" xfId="0" applyFont="1" applyFill="1" applyBorder="1" applyAlignment="1">
      <alignment horizontal="center" vertical="center" wrapText="1"/>
    </xf>
    <xf numFmtId="0" fontId="14" fillId="14" borderId="15" xfId="0" applyFont="1" applyFill="1" applyBorder="1" applyAlignment="1">
      <alignment horizontal="center" vertical="center" wrapText="1"/>
    </xf>
    <xf numFmtId="171" fontId="10" fillId="14" borderId="110" xfId="0" applyNumberFormat="1" applyFont="1" applyFill="1" applyBorder="1" applyAlignment="1">
      <alignment horizontal="right" vertical="center" wrapText="1"/>
    </xf>
    <xf numFmtId="171" fontId="10" fillId="14" borderId="214" xfId="0" applyNumberFormat="1" applyFont="1" applyFill="1" applyBorder="1" applyAlignment="1">
      <alignment horizontal="right" vertical="center" wrapText="1"/>
    </xf>
    <xf numFmtId="171" fontId="0" fillId="14" borderId="95" xfId="6" applyNumberFormat="1" applyFont="1" applyFill="1" applyBorder="1" applyAlignment="1" applyProtection="1">
      <alignment horizontal="center" vertical="center" wrapText="1"/>
    </xf>
    <xf numFmtId="1" fontId="0" fillId="0" borderId="88" xfId="6" applyNumberFormat="1" applyFont="1" applyFill="1" applyBorder="1" applyAlignment="1" applyProtection="1">
      <alignment horizontal="center" vertical="center" wrapText="1"/>
      <protection locked="0"/>
    </xf>
    <xf numFmtId="171" fontId="0" fillId="14" borderId="215" xfId="6" applyNumberFormat="1" applyFont="1" applyFill="1" applyBorder="1" applyAlignment="1" applyProtection="1">
      <alignment horizontal="center" vertical="center" wrapText="1"/>
    </xf>
    <xf numFmtId="10" fontId="14" fillId="3" borderId="6" xfId="1" applyNumberFormat="1" applyFont="1" applyFill="1" applyBorder="1" applyAlignment="1" applyProtection="1">
      <alignment horizontal="center" vertical="center" wrapText="1"/>
      <protection locked="0"/>
    </xf>
    <xf numFmtId="10" fontId="14" fillId="3" borderId="60" xfId="1" applyNumberFormat="1" applyFont="1" applyFill="1" applyBorder="1" applyAlignment="1" applyProtection="1">
      <alignment horizontal="center" vertical="center" wrapText="1"/>
      <protection locked="0"/>
    </xf>
    <xf numFmtId="171" fontId="10" fillId="14" borderId="6" xfId="3" applyNumberFormat="1" applyFont="1" applyFill="1" applyBorder="1" applyAlignment="1" applyProtection="1">
      <alignment horizontal="center" vertical="center" wrapText="1"/>
    </xf>
    <xf numFmtId="171" fontId="10" fillId="14" borderId="60" xfId="3" applyNumberFormat="1" applyFont="1" applyFill="1" applyBorder="1" applyAlignment="1" applyProtection="1">
      <alignment horizontal="center" vertical="center" wrapText="1"/>
    </xf>
    <xf numFmtId="171" fontId="10" fillId="14" borderId="0" xfId="0" applyNumberFormat="1" applyFont="1" applyFill="1" applyAlignment="1">
      <alignment horizontal="center" wrapText="1"/>
    </xf>
    <xf numFmtId="171" fontId="17" fillId="4" borderId="92" xfId="0" applyNumberFormat="1" applyFont="1" applyFill="1" applyBorder="1" applyAlignment="1">
      <alignment horizontal="center" vertical="center" wrapText="1"/>
    </xf>
    <xf numFmtId="171" fontId="17" fillId="14" borderId="110" xfId="0" applyNumberFormat="1" applyFont="1" applyFill="1" applyBorder="1" applyAlignment="1">
      <alignment horizontal="center" vertical="center" wrapText="1"/>
    </xf>
    <xf numFmtId="171" fontId="17" fillId="14" borderId="214" xfId="0" applyNumberFormat="1" applyFont="1" applyFill="1" applyBorder="1" applyAlignment="1">
      <alignment horizontal="center" vertical="center" wrapText="1"/>
    </xf>
    <xf numFmtId="171" fontId="16" fillId="10" borderId="101" xfId="0" applyNumberFormat="1" applyFont="1" applyFill="1" applyBorder="1" applyAlignment="1">
      <alignment horizontal="center" vertical="center" wrapText="1"/>
    </xf>
    <xf numFmtId="171" fontId="16" fillId="10" borderId="102" xfId="0" applyNumberFormat="1" applyFont="1" applyFill="1" applyBorder="1" applyAlignment="1">
      <alignment horizontal="center" vertical="center" wrapText="1"/>
    </xf>
    <xf numFmtId="171" fontId="0" fillId="14" borderId="102" xfId="6" applyNumberFormat="1" applyFont="1" applyFill="1" applyBorder="1" applyAlignment="1" applyProtection="1">
      <alignment horizontal="center" vertical="center" wrapText="1"/>
    </xf>
    <xf numFmtId="1" fontId="17" fillId="14" borderId="95" xfId="0" applyNumberFormat="1" applyFont="1" applyFill="1" applyBorder="1" applyAlignment="1">
      <alignment horizontal="center" vertical="center" wrapText="1"/>
    </xf>
    <xf numFmtId="171" fontId="16" fillId="14" borderId="101" xfId="0" applyNumberFormat="1" applyFont="1" applyFill="1" applyBorder="1" applyAlignment="1">
      <alignment horizontal="center" vertical="center" wrapText="1"/>
    </xf>
    <xf numFmtId="0" fontId="10" fillId="10" borderId="119" xfId="0" applyFont="1" applyFill="1" applyBorder="1" applyAlignment="1">
      <alignment horizontal="center" vertical="center" wrapText="1"/>
    </xf>
    <xf numFmtId="0" fontId="10" fillId="10" borderId="120" xfId="0" applyFont="1" applyFill="1" applyBorder="1" applyAlignment="1">
      <alignment horizontal="center" vertical="center" wrapText="1"/>
    </xf>
    <xf numFmtId="171" fontId="10" fillId="10" borderId="122" xfId="0" applyNumberFormat="1" applyFont="1" applyFill="1" applyBorder="1" applyAlignment="1">
      <alignment horizontal="center" vertical="center" wrapText="1"/>
    </xf>
    <xf numFmtId="0" fontId="10" fillId="10" borderId="160" xfId="0" applyFont="1" applyFill="1" applyBorder="1" applyAlignment="1">
      <alignment horizontal="center" vertical="center" wrapText="1"/>
    </xf>
    <xf numFmtId="0" fontId="29" fillId="10" borderId="137" xfId="0" applyFont="1" applyFill="1" applyBorder="1" applyAlignment="1">
      <alignment horizontal="center" vertical="center" wrapText="1"/>
    </xf>
    <xf numFmtId="0" fontId="0" fillId="0" borderId="95" xfId="0" applyBorder="1" applyAlignment="1">
      <alignment horizontal="left" vertical="center" wrapText="1"/>
    </xf>
    <xf numFmtId="49" fontId="0" fillId="0" borderId="95" xfId="0" applyNumberFormat="1" applyBorder="1" applyAlignment="1">
      <alignment horizontal="left" vertical="center" wrapText="1"/>
    </xf>
    <xf numFmtId="0" fontId="0" fillId="6" borderId="95" xfId="0" applyFill="1" applyBorder="1" applyAlignment="1">
      <alignment horizontal="center" vertical="center" wrapText="1"/>
    </xf>
    <xf numFmtId="0" fontId="10" fillId="7" borderId="189" xfId="0" applyFont="1" applyFill="1" applyBorder="1" applyAlignment="1">
      <alignment horizontal="center" vertical="center" wrapText="1"/>
    </xf>
    <xf numFmtId="0" fontId="29" fillId="7" borderId="110" xfId="0" applyFont="1" applyFill="1" applyBorder="1" applyAlignment="1">
      <alignment horizontal="center" vertical="center" wrapText="1"/>
    </xf>
    <xf numFmtId="0" fontId="16" fillId="7" borderId="95" xfId="0" applyFont="1" applyFill="1" applyBorder="1" applyAlignment="1">
      <alignment horizontal="center" vertical="center" wrapText="1"/>
    </xf>
    <xf numFmtId="0" fontId="17" fillId="32" borderId="88" xfId="0" applyFont="1" applyFill="1" applyBorder="1" applyAlignment="1">
      <alignment horizontal="center" vertical="center" wrapText="1"/>
    </xf>
    <xf numFmtId="0" fontId="29" fillId="7" borderId="101" xfId="0" applyFont="1" applyFill="1" applyBorder="1" applyAlignment="1">
      <alignment horizontal="center" vertical="center" wrapText="1"/>
    </xf>
    <xf numFmtId="0" fontId="16" fillId="7" borderId="102" xfId="0" applyFont="1" applyFill="1" applyBorder="1" applyAlignment="1">
      <alignment horizontal="center" vertical="center" wrapText="1"/>
    </xf>
    <xf numFmtId="0" fontId="10" fillId="7" borderId="216" xfId="0" applyFont="1" applyFill="1" applyBorder="1" applyAlignment="1">
      <alignment horizontal="center" vertical="center" wrapText="1"/>
    </xf>
    <xf numFmtId="0" fontId="10" fillId="7" borderId="217" xfId="0" applyFont="1" applyFill="1" applyBorder="1" applyAlignment="1">
      <alignment horizontal="center" vertical="center" wrapText="1"/>
    </xf>
    <xf numFmtId="0" fontId="21" fillId="11" borderId="171" xfId="0" applyFont="1" applyFill="1" applyBorder="1" applyAlignment="1">
      <alignment horizontal="center" vertical="center" wrapText="1"/>
    </xf>
    <xf numFmtId="171" fontId="10" fillId="0" borderId="101" xfId="0" applyNumberFormat="1" applyFont="1" applyBorder="1" applyAlignment="1">
      <alignment horizontal="center" vertical="center" wrapText="1"/>
    </xf>
    <xf numFmtId="0" fontId="14" fillId="14" borderId="95" xfId="0" applyFont="1" applyFill="1" applyBorder="1" applyAlignment="1" applyProtection="1">
      <alignment horizontal="center" vertical="center" wrapText="1"/>
      <protection locked="0"/>
    </xf>
    <xf numFmtId="0" fontId="100" fillId="34" borderId="197" xfId="0" applyFont="1" applyFill="1" applyBorder="1" applyAlignment="1">
      <alignment horizontal="center" vertical="center" wrapText="1"/>
    </xf>
    <xf numFmtId="0" fontId="100" fillId="31" borderId="9" xfId="0" applyFont="1" applyFill="1" applyBorder="1" applyAlignment="1">
      <alignment horizontal="center" vertical="center" wrapText="1"/>
    </xf>
    <xf numFmtId="0" fontId="103" fillId="34" borderId="199" xfId="0" applyFont="1" applyFill="1" applyBorder="1" applyAlignment="1">
      <alignment horizontal="center" vertical="center" wrapText="1"/>
    </xf>
    <xf numFmtId="0" fontId="103" fillId="31" borderId="42" xfId="0" applyFont="1" applyFill="1" applyBorder="1" applyAlignment="1">
      <alignment horizontal="center" vertical="center" wrapText="1"/>
    </xf>
    <xf numFmtId="0" fontId="37" fillId="23" borderId="166" xfId="0" applyFont="1" applyFill="1" applyBorder="1" applyAlignment="1" applyProtection="1">
      <alignment horizontal="center" vertical="center" wrapText="1"/>
      <protection hidden="1"/>
    </xf>
    <xf numFmtId="0" fontId="37" fillId="7" borderId="4" xfId="0" applyFont="1" applyFill="1" applyBorder="1" applyAlignment="1">
      <alignment horizontal="center" vertical="center" wrapText="1"/>
    </xf>
    <xf numFmtId="0" fontId="37" fillId="7" borderId="25" xfId="0" applyFont="1" applyFill="1" applyBorder="1" applyAlignment="1">
      <alignment horizontal="center" vertical="center" wrapText="1"/>
    </xf>
    <xf numFmtId="165" fontId="26" fillId="14" borderId="95" xfId="0" quotePrefix="1" applyNumberFormat="1" applyFont="1" applyFill="1" applyBorder="1" applyAlignment="1">
      <alignment horizontal="center" vertical="center"/>
    </xf>
    <xf numFmtId="165" fontId="26" fillId="14" borderId="6" xfId="0" applyNumberFormat="1" applyFont="1" applyFill="1" applyBorder="1" applyAlignment="1">
      <alignment horizontal="center" vertical="center"/>
    </xf>
    <xf numFmtId="10" fontId="26" fillId="14" borderId="6" xfId="1" applyNumberFormat="1" applyFont="1" applyFill="1" applyBorder="1" applyAlignment="1" applyProtection="1">
      <alignment horizontal="center" vertical="center"/>
    </xf>
    <xf numFmtId="165" fontId="26" fillId="14" borderId="95" xfId="0" applyNumberFormat="1" applyFont="1" applyFill="1" applyBorder="1" applyAlignment="1">
      <alignment horizontal="center" vertical="center"/>
    </xf>
    <xf numFmtId="171" fontId="26" fillId="14" borderId="95" xfId="0" applyNumberFormat="1" applyFont="1" applyFill="1" applyBorder="1" applyAlignment="1">
      <alignment horizontal="center" vertical="center"/>
    </xf>
    <xf numFmtId="171" fontId="26" fillId="14" borderId="95" xfId="6" applyNumberFormat="1" applyFont="1" applyFill="1" applyBorder="1" applyAlignment="1">
      <alignment horizontal="center" vertical="center"/>
    </xf>
    <xf numFmtId="9" fontId="26" fillId="14" borderId="95" xfId="1" applyFont="1" applyFill="1" applyBorder="1" applyAlignment="1" applyProtection="1">
      <alignment horizontal="center" vertical="center"/>
    </xf>
    <xf numFmtId="0" fontId="28" fillId="14" borderId="12" xfId="0" applyFont="1" applyFill="1" applyBorder="1" applyAlignment="1">
      <alignment horizontal="center" vertical="center" wrapText="1"/>
    </xf>
    <xf numFmtId="0" fontId="28" fillId="14" borderId="57" xfId="0" applyFont="1" applyFill="1" applyBorder="1" applyAlignment="1">
      <alignment horizontal="center" vertical="center" wrapText="1"/>
    </xf>
    <xf numFmtId="0" fontId="28" fillId="14" borderId="52" xfId="0" applyFont="1" applyFill="1" applyBorder="1" applyAlignment="1">
      <alignment horizontal="center" vertical="center" wrapText="1"/>
    </xf>
    <xf numFmtId="0" fontId="26" fillId="0" borderId="0" xfId="0" applyFont="1" applyAlignment="1">
      <alignment horizontal="center" vertical="center"/>
    </xf>
    <xf numFmtId="0" fontId="8" fillId="4" borderId="18" xfId="0" applyFont="1" applyFill="1" applyBorder="1" applyAlignment="1">
      <alignment horizontal="center" vertical="center"/>
    </xf>
    <xf numFmtId="165" fontId="8" fillId="4" borderId="60" xfId="0" quotePrefix="1" applyNumberFormat="1" applyFont="1" applyFill="1" applyBorder="1" applyAlignment="1">
      <alignment horizontal="center" vertical="center"/>
    </xf>
    <xf numFmtId="9" fontId="26" fillId="4" borderId="60" xfId="1" applyFont="1" applyFill="1" applyBorder="1" applyAlignment="1" applyProtection="1">
      <alignment horizontal="center" vertical="center"/>
    </xf>
    <xf numFmtId="165" fontId="8" fillId="4" borderId="44" xfId="0" applyNumberFormat="1" applyFont="1" applyFill="1" applyBorder="1" applyAlignment="1">
      <alignment horizontal="center" vertical="center"/>
    </xf>
    <xf numFmtId="0" fontId="8" fillId="3" borderId="0" xfId="0" applyFont="1" applyFill="1" applyAlignment="1" applyProtection="1">
      <alignment horizontal="center" vertical="center"/>
      <protection locked="0"/>
    </xf>
    <xf numFmtId="165" fontId="26" fillId="14" borderId="112" xfId="0" quotePrefix="1" applyNumberFormat="1" applyFont="1" applyFill="1" applyBorder="1" applyAlignment="1">
      <alignment horizontal="center" vertical="center"/>
    </xf>
    <xf numFmtId="165" fontId="26" fillId="14" borderId="3" xfId="0" applyNumberFormat="1" applyFont="1" applyFill="1" applyBorder="1" applyAlignment="1">
      <alignment horizontal="center" vertical="center"/>
    </xf>
    <xf numFmtId="10" fontId="26" fillId="14" borderId="3" xfId="1" applyNumberFormat="1" applyFont="1" applyFill="1" applyBorder="1" applyAlignment="1" applyProtection="1">
      <alignment horizontal="center" vertical="center"/>
    </xf>
    <xf numFmtId="165" fontId="26" fillId="14" borderId="112" xfId="0" applyNumberFormat="1" applyFont="1" applyFill="1" applyBorder="1" applyAlignment="1">
      <alignment horizontal="center" vertical="center"/>
    </xf>
    <xf numFmtId="171" fontId="26" fillId="14" borderId="3" xfId="0" applyNumberFormat="1" applyFont="1" applyFill="1" applyBorder="1" applyAlignment="1">
      <alignment horizontal="center" vertical="center"/>
    </xf>
    <xf numFmtId="171" fontId="26" fillId="14" borderId="112" xfId="0" applyNumberFormat="1" applyFont="1" applyFill="1" applyBorder="1" applyAlignment="1">
      <alignment horizontal="center" vertical="center"/>
    </xf>
    <xf numFmtId="171" fontId="26" fillId="14" borderId="112" xfId="1" applyNumberFormat="1" applyFont="1" applyFill="1" applyBorder="1" applyAlignment="1" applyProtection="1">
      <alignment horizontal="center" vertical="center"/>
    </xf>
    <xf numFmtId="171" fontId="26" fillId="14" borderId="112" xfId="6" applyNumberFormat="1" applyFont="1" applyFill="1" applyBorder="1" applyAlignment="1">
      <alignment horizontal="center" vertical="center"/>
    </xf>
    <xf numFmtId="9" fontId="26" fillId="14" borderId="112" xfId="1" applyFont="1" applyFill="1" applyBorder="1" applyAlignment="1" applyProtection="1">
      <alignment horizontal="center" vertical="center"/>
    </xf>
    <xf numFmtId="0" fontId="37" fillId="7" borderId="5" xfId="0" applyFont="1" applyFill="1" applyBorder="1" applyAlignment="1">
      <alignment horizontal="center" vertical="center" wrapText="1"/>
    </xf>
    <xf numFmtId="0" fontId="104" fillId="7" borderId="25" xfId="0" applyFont="1" applyFill="1" applyBorder="1" applyAlignment="1">
      <alignment horizontal="center" vertical="center" wrapText="1"/>
    </xf>
    <xf numFmtId="0" fontId="37" fillId="7" borderId="40" xfId="0" applyFont="1" applyFill="1" applyBorder="1" applyAlignment="1">
      <alignment horizontal="center" vertical="center" wrapText="1"/>
    </xf>
    <xf numFmtId="171" fontId="75" fillId="19" borderId="6" xfId="0" applyNumberFormat="1" applyFont="1" applyFill="1" applyBorder="1" applyAlignment="1">
      <alignment horizontal="center" vertical="center"/>
    </xf>
    <xf numFmtId="171" fontId="75" fillId="19" borderId="3" xfId="0" applyNumberFormat="1" applyFont="1" applyFill="1" applyBorder="1" applyAlignment="1">
      <alignment horizontal="center" vertical="center"/>
    </xf>
    <xf numFmtId="171" fontId="26" fillId="14" borderId="112" xfId="1" applyNumberFormat="1" applyFont="1" applyFill="1" applyBorder="1" applyAlignment="1">
      <alignment horizontal="center" vertical="center"/>
    </xf>
    <xf numFmtId="165" fontId="0" fillId="0" borderId="0" xfId="0" applyNumberFormat="1"/>
    <xf numFmtId="10" fontId="26" fillId="14" borderId="59" xfId="1" applyNumberFormat="1" applyFont="1" applyFill="1" applyBorder="1" applyAlignment="1">
      <alignment horizontal="center" vertical="center"/>
    </xf>
    <xf numFmtId="10" fontId="26" fillId="14" borderId="52" xfId="0" applyNumberFormat="1" applyFont="1" applyFill="1" applyBorder="1" applyAlignment="1" applyProtection="1">
      <alignment horizontal="center" vertical="center"/>
      <protection locked="0"/>
    </xf>
    <xf numFmtId="9" fontId="0" fillId="0" borderId="6" xfId="1" applyFont="1" applyBorder="1" applyAlignment="1">
      <alignment horizontal="center" vertical="center"/>
    </xf>
    <xf numFmtId="171" fontId="0" fillId="14" borderId="6" xfId="0" applyNumberFormat="1" applyFill="1" applyBorder="1" applyAlignment="1">
      <alignment horizontal="center" vertical="center"/>
    </xf>
    <xf numFmtId="165" fontId="0" fillId="14" borderId="6" xfId="0" quotePrefix="1" applyNumberFormat="1" applyFill="1" applyBorder="1" applyAlignment="1">
      <alignment horizontal="right" vertical="center"/>
    </xf>
    <xf numFmtId="10" fontId="0" fillId="14" borderId="6" xfId="0" applyNumberFormat="1" applyFill="1" applyBorder="1" applyAlignment="1">
      <alignment vertical="center"/>
    </xf>
    <xf numFmtId="165" fontId="0" fillId="14" borderId="4" xfId="0" quotePrefix="1" applyNumberFormat="1" applyFill="1" applyBorder="1" applyAlignment="1">
      <alignment horizontal="right" vertical="center"/>
    </xf>
    <xf numFmtId="10" fontId="0" fillId="14" borderId="4" xfId="1" quotePrefix="1" applyNumberFormat="1" applyFont="1" applyFill="1" applyBorder="1" applyAlignment="1">
      <alignment horizontal="center" vertical="center"/>
    </xf>
    <xf numFmtId="10" fontId="0" fillId="14" borderId="4" xfId="0" applyNumberFormat="1" applyFill="1" applyBorder="1" applyAlignment="1">
      <alignment vertical="center"/>
    </xf>
    <xf numFmtId="165" fontId="0" fillId="14" borderId="25" xfId="0" quotePrefix="1" applyNumberFormat="1" applyFill="1" applyBorder="1" applyAlignment="1">
      <alignment horizontal="right" vertical="center"/>
    </xf>
    <xf numFmtId="165" fontId="0" fillId="14" borderId="60" xfId="0" quotePrefix="1" applyNumberFormat="1" applyFill="1" applyBorder="1" applyAlignment="1">
      <alignment horizontal="right" vertical="center"/>
    </xf>
    <xf numFmtId="10" fontId="0" fillId="14" borderId="60" xfId="1" quotePrefix="1" applyNumberFormat="1" applyFont="1" applyFill="1" applyBorder="1" applyAlignment="1">
      <alignment horizontal="center" vertical="center"/>
    </xf>
    <xf numFmtId="9" fontId="26" fillId="4" borderId="46" xfId="1" applyFont="1" applyFill="1" applyBorder="1" applyAlignment="1" applyProtection="1">
      <alignment horizontal="center" vertical="center"/>
    </xf>
    <xf numFmtId="171" fontId="26" fillId="14" borderId="3" xfId="1" applyNumberFormat="1" applyFont="1" applyFill="1" applyBorder="1" applyAlignment="1">
      <alignment horizontal="center" vertical="center"/>
    </xf>
    <xf numFmtId="0" fontId="10" fillId="10" borderId="5" xfId="0" applyFont="1" applyFill="1" applyBorder="1" applyAlignment="1">
      <alignment horizontal="center" vertical="center" wrapText="1"/>
    </xf>
    <xf numFmtId="0" fontId="25" fillId="10" borderId="47" xfId="0" applyFont="1" applyFill="1" applyBorder="1" applyAlignment="1">
      <alignment horizontal="center" vertical="center" wrapText="1"/>
    </xf>
    <xf numFmtId="0" fontId="7" fillId="0" borderId="18" xfId="0" applyFont="1" applyBorder="1" applyAlignment="1">
      <alignment vertical="center"/>
    </xf>
    <xf numFmtId="9" fontId="7" fillId="4" borderId="20" xfId="1" applyFont="1" applyFill="1" applyBorder="1" applyAlignment="1">
      <alignment horizontal="center" vertical="center"/>
    </xf>
    <xf numFmtId="0" fontId="18" fillId="16" borderId="18" xfId="0" applyFont="1" applyFill="1" applyBorder="1" applyAlignment="1">
      <alignment horizontal="center" vertical="center"/>
    </xf>
    <xf numFmtId="171" fontId="105" fillId="14" borderId="12" xfId="0" applyNumberFormat="1" applyFont="1" applyFill="1" applyBorder="1" applyAlignment="1">
      <alignment vertical="center" wrapText="1"/>
    </xf>
    <xf numFmtId="171" fontId="105" fillId="14" borderId="43" xfId="0" applyNumberFormat="1" applyFont="1" applyFill="1" applyBorder="1" applyAlignment="1">
      <alignment vertical="center" wrapText="1"/>
    </xf>
    <xf numFmtId="171" fontId="105" fillId="14" borderId="50" xfId="0" applyNumberFormat="1" applyFont="1" applyFill="1" applyBorder="1" applyAlignment="1">
      <alignment vertical="center" wrapText="1"/>
    </xf>
    <xf numFmtId="165" fontId="18" fillId="14" borderId="57" xfId="0" applyNumberFormat="1" applyFont="1" applyFill="1" applyBorder="1" applyAlignment="1">
      <alignment horizontal="right" vertical="center"/>
    </xf>
    <xf numFmtId="165" fontId="18" fillId="14" borderId="11" xfId="0" applyNumberFormat="1" applyFont="1" applyFill="1" applyBorder="1" applyAlignment="1">
      <alignment horizontal="right" vertical="center"/>
    </xf>
    <xf numFmtId="171" fontId="105" fillId="14" borderId="64" xfId="0" applyNumberFormat="1" applyFont="1" applyFill="1" applyBorder="1" applyAlignment="1">
      <alignment vertical="center" wrapText="1"/>
    </xf>
    <xf numFmtId="171" fontId="105" fillId="14" borderId="16" xfId="0" applyNumberFormat="1" applyFont="1" applyFill="1" applyBorder="1" applyAlignment="1">
      <alignment vertical="center" wrapText="1"/>
    </xf>
    <xf numFmtId="171" fontId="106" fillId="16" borderId="55" xfId="0" applyNumberFormat="1" applyFont="1" applyFill="1" applyBorder="1" applyAlignment="1">
      <alignment horizontal="right" vertical="center" wrapText="1"/>
    </xf>
    <xf numFmtId="165" fontId="106" fillId="16" borderId="21" xfId="0" applyNumberFormat="1" applyFont="1" applyFill="1" applyBorder="1" applyAlignment="1">
      <alignment horizontal="right" vertical="center" wrapText="1"/>
    </xf>
    <xf numFmtId="171" fontId="106" fillId="16" borderId="58" xfId="0" applyNumberFormat="1" applyFont="1" applyFill="1" applyBorder="1" applyAlignment="1">
      <alignment horizontal="right" vertical="center" wrapText="1"/>
    </xf>
    <xf numFmtId="171" fontId="106" fillId="15" borderId="52" xfId="0" applyNumberFormat="1" applyFont="1" applyFill="1" applyBorder="1" applyAlignment="1">
      <alignment horizontal="right" vertical="center" wrapText="1"/>
    </xf>
    <xf numFmtId="171" fontId="106" fillId="15" borderId="12" xfId="0" applyNumberFormat="1" applyFont="1" applyFill="1" applyBorder="1" applyAlignment="1">
      <alignment horizontal="right" vertical="center" wrapText="1"/>
    </xf>
    <xf numFmtId="171" fontId="106" fillId="15" borderId="30" xfId="0" applyNumberFormat="1" applyFont="1" applyFill="1" applyBorder="1" applyAlignment="1">
      <alignment horizontal="right" vertical="center" wrapText="1"/>
    </xf>
    <xf numFmtId="171" fontId="106" fillId="15" borderId="57" xfId="0" applyNumberFormat="1" applyFont="1" applyFill="1" applyBorder="1" applyAlignment="1">
      <alignment horizontal="right" vertical="center" wrapText="1"/>
    </xf>
    <xf numFmtId="171" fontId="106" fillId="15" borderId="29" xfId="0" applyNumberFormat="1" applyFont="1" applyFill="1" applyBorder="1" applyAlignment="1">
      <alignment horizontal="right" vertical="center" wrapText="1"/>
    </xf>
    <xf numFmtId="0" fontId="7" fillId="14" borderId="103" xfId="0" applyFont="1" applyFill="1" applyBorder="1"/>
    <xf numFmtId="171" fontId="7" fillId="14" borderId="106" xfId="6" applyNumberFormat="1" applyFont="1" applyFill="1" applyBorder="1" applyProtection="1"/>
    <xf numFmtId="1" fontId="14" fillId="3" borderId="25" xfId="0" applyNumberFormat="1" applyFont="1" applyFill="1" applyBorder="1" applyAlignment="1" applyProtection="1">
      <alignment horizontal="center" vertical="center" wrapText="1"/>
      <protection locked="0"/>
    </xf>
    <xf numFmtId="171" fontId="0" fillId="3" borderId="25" xfId="6" applyNumberFormat="1" applyFont="1" applyFill="1" applyBorder="1" applyAlignment="1" applyProtection="1">
      <alignment horizontal="right" vertical="center" wrapText="1"/>
      <protection locked="0"/>
    </xf>
    <xf numFmtId="171" fontId="16" fillId="14" borderId="25" xfId="1" applyNumberFormat="1" applyFont="1" applyFill="1" applyBorder="1" applyAlignment="1" applyProtection="1">
      <alignment horizontal="right" vertical="center" wrapText="1"/>
    </xf>
    <xf numFmtId="0" fontId="14" fillId="22" borderId="225" xfId="0" applyFont="1" applyFill="1" applyBorder="1" applyAlignment="1" applyProtection="1">
      <alignment horizontal="center" vertical="center" wrapText="1"/>
      <protection hidden="1"/>
    </xf>
    <xf numFmtId="165" fontId="65" fillId="24" borderId="66" xfId="0" applyNumberFormat="1" applyFont="1" applyFill="1" applyBorder="1" applyAlignment="1" applyProtection="1">
      <alignment horizontal="center" vertical="center"/>
      <protection hidden="1"/>
    </xf>
    <xf numFmtId="165" fontId="65" fillId="24" borderId="23" xfId="0" applyNumberFormat="1" applyFont="1" applyFill="1" applyBorder="1" applyAlignment="1" applyProtection="1">
      <alignment horizontal="center" vertical="center"/>
      <protection hidden="1"/>
    </xf>
    <xf numFmtId="0" fontId="14" fillId="22" borderId="188" xfId="0" applyFont="1" applyFill="1" applyBorder="1" applyAlignment="1" applyProtection="1">
      <alignment horizontal="center" vertical="center" wrapText="1"/>
      <protection hidden="1"/>
    </xf>
    <xf numFmtId="165" fontId="65" fillId="24" borderId="226" xfId="0" applyNumberFormat="1" applyFont="1" applyFill="1" applyBorder="1" applyAlignment="1" applyProtection="1">
      <alignment horizontal="center" vertical="center"/>
      <protection hidden="1"/>
    </xf>
    <xf numFmtId="165" fontId="65" fillId="24" borderId="227" xfId="0" applyNumberFormat="1" applyFont="1" applyFill="1" applyBorder="1" applyAlignment="1" applyProtection="1">
      <alignment horizontal="center" vertical="center"/>
      <protection hidden="1"/>
    </xf>
    <xf numFmtId="0" fontId="87" fillId="10" borderId="228" xfId="0" applyFont="1" applyFill="1" applyBorder="1" applyAlignment="1">
      <alignment horizontal="center" vertical="center" wrapText="1"/>
    </xf>
    <xf numFmtId="0" fontId="76" fillId="10" borderId="113" xfId="0" applyFont="1" applyFill="1" applyBorder="1" applyAlignment="1">
      <alignment horizontal="center" vertical="center" wrapText="1"/>
    </xf>
    <xf numFmtId="0" fontId="76" fillId="29" borderId="113" xfId="0" applyFont="1" applyFill="1" applyBorder="1" applyAlignment="1">
      <alignment horizontal="center" vertical="center" wrapText="1"/>
    </xf>
    <xf numFmtId="0" fontId="76" fillId="29" borderId="224" xfId="0" applyFont="1" applyFill="1" applyBorder="1" applyAlignment="1">
      <alignment horizontal="center" vertical="center" wrapText="1"/>
    </xf>
    <xf numFmtId="171" fontId="82" fillId="0" borderId="6" xfId="0" applyNumberFormat="1" applyFont="1" applyBorder="1" applyAlignment="1" applyProtection="1">
      <alignment horizontal="center" vertical="center"/>
      <protection hidden="1"/>
    </xf>
    <xf numFmtId="171" fontId="82" fillId="0" borderId="7" xfId="0" applyNumberFormat="1" applyFont="1" applyBorder="1" applyAlignment="1" applyProtection="1">
      <alignment horizontal="center" vertical="center"/>
      <protection hidden="1"/>
    </xf>
    <xf numFmtId="171" fontId="82" fillId="0" borderId="25" xfId="0" applyNumberFormat="1" applyFont="1" applyBorder="1" applyAlignment="1" applyProtection="1">
      <alignment horizontal="center" vertical="center"/>
      <protection hidden="1"/>
    </xf>
    <xf numFmtId="171" fontId="82" fillId="0" borderId="40" xfId="0" applyNumberFormat="1" applyFont="1" applyBorder="1" applyAlignment="1" applyProtection="1">
      <alignment horizontal="center" vertical="center"/>
      <protection hidden="1"/>
    </xf>
    <xf numFmtId="165" fontId="0" fillId="14" borderId="31" xfId="0" quotePrefix="1" applyNumberFormat="1" applyFill="1" applyBorder="1" applyAlignment="1">
      <alignment horizontal="right" vertical="center"/>
    </xf>
    <xf numFmtId="10" fontId="0" fillId="14" borderId="223" xfId="1" quotePrefix="1" applyNumberFormat="1" applyFont="1" applyFill="1" applyBorder="1" applyAlignment="1">
      <alignment horizontal="center" vertical="center"/>
    </xf>
    <xf numFmtId="10" fontId="0" fillId="14" borderId="12" xfId="0" applyNumberFormat="1" applyFill="1" applyBorder="1" applyAlignment="1">
      <alignment horizontal="center" vertical="center"/>
    </xf>
    <xf numFmtId="0" fontId="7" fillId="4" borderId="29" xfId="0" applyFont="1" applyFill="1" applyBorder="1" applyAlignment="1">
      <alignment vertical="center"/>
    </xf>
    <xf numFmtId="167" fontId="7" fillId="4" borderId="29" xfId="6" applyFont="1" applyFill="1" applyBorder="1" applyAlignment="1">
      <alignment vertical="center"/>
    </xf>
    <xf numFmtId="165" fontId="7" fillId="4" borderId="29" xfId="6" applyNumberFormat="1" applyFont="1" applyFill="1" applyBorder="1" applyAlignment="1">
      <alignment vertical="center"/>
    </xf>
    <xf numFmtId="171" fontId="7" fillId="4" borderId="29" xfId="0" applyNumberFormat="1" applyFont="1" applyFill="1" applyBorder="1" applyAlignment="1">
      <alignment vertical="center"/>
    </xf>
    <xf numFmtId="171" fontId="7" fillId="4" borderId="229" xfId="0" applyNumberFormat="1" applyFont="1" applyFill="1" applyBorder="1" applyAlignment="1">
      <alignment vertical="center"/>
    </xf>
    <xf numFmtId="171" fontId="82" fillId="14" borderId="221" xfId="1" applyNumberFormat="1" applyFont="1" applyFill="1" applyBorder="1" applyAlignment="1" applyProtection="1">
      <alignment horizontal="center" vertical="center"/>
      <protection hidden="1"/>
    </xf>
    <xf numFmtId="10" fontId="2" fillId="14" borderId="37" xfId="1" applyNumberFormat="1" applyFont="1" applyFill="1" applyBorder="1" applyAlignment="1">
      <alignment horizontal="center" vertical="center"/>
    </xf>
    <xf numFmtId="10" fontId="2" fillId="14" borderId="41" xfId="1" applyNumberFormat="1" applyFont="1" applyFill="1" applyBorder="1" applyAlignment="1">
      <alignment horizontal="center" vertical="center"/>
    </xf>
    <xf numFmtId="10" fontId="2" fillId="14" borderId="20" xfId="1" applyNumberFormat="1" applyFont="1" applyFill="1" applyBorder="1" applyAlignment="1">
      <alignment horizontal="center" vertical="center"/>
    </xf>
    <xf numFmtId="165" fontId="7" fillId="8" borderId="60" xfId="0" applyNumberFormat="1" applyFont="1" applyFill="1" applyBorder="1" applyAlignment="1">
      <alignment vertical="center"/>
    </xf>
    <xf numFmtId="171" fontId="7" fillId="8" borderId="60" xfId="1" applyNumberFormat="1" applyFont="1" applyFill="1" applyBorder="1" applyAlignment="1" applyProtection="1">
      <alignment horizontal="center" vertical="center"/>
    </xf>
    <xf numFmtId="0" fontId="18" fillId="14" borderId="187" xfId="0" applyFont="1" applyFill="1" applyBorder="1" applyAlignment="1" applyProtection="1">
      <alignment vertical="center" wrapText="1"/>
      <protection hidden="1"/>
    </xf>
    <xf numFmtId="171" fontId="18" fillId="14" borderId="180" xfId="0" applyNumberFormat="1" applyFont="1" applyFill="1" applyBorder="1" applyAlignment="1">
      <alignment horizontal="center" vertical="center" wrapText="1"/>
    </xf>
    <xf numFmtId="167" fontId="7" fillId="4" borderId="19" xfId="1" applyNumberFormat="1" applyFont="1" applyFill="1" applyBorder="1" applyAlignment="1">
      <alignment horizontal="center" vertical="center"/>
    </xf>
    <xf numFmtId="171" fontId="82" fillId="14" borderId="4" xfId="0" applyNumberFormat="1" applyFont="1" applyFill="1" applyBorder="1" applyAlignment="1" applyProtection="1">
      <alignment horizontal="center" vertical="center"/>
      <protection hidden="1"/>
    </xf>
    <xf numFmtId="165" fontId="2" fillId="14" borderId="31" xfId="0" applyNumberFormat="1" applyFont="1" applyFill="1" applyBorder="1" applyAlignment="1">
      <alignment horizontal="center" vertical="center"/>
    </xf>
    <xf numFmtId="171" fontId="82" fillId="14" borderId="6" xfId="0" applyNumberFormat="1" applyFont="1" applyFill="1" applyBorder="1" applyAlignment="1" applyProtection="1">
      <alignment horizontal="center" vertical="center"/>
      <protection hidden="1"/>
    </xf>
    <xf numFmtId="165" fontId="2" fillId="14" borderId="6" xfId="0" applyNumberFormat="1" applyFont="1" applyFill="1" applyBorder="1" applyAlignment="1">
      <alignment horizontal="center" vertical="center"/>
    </xf>
    <xf numFmtId="171" fontId="82" fillId="14" borderId="25" xfId="0" applyNumberFormat="1" applyFont="1" applyFill="1" applyBorder="1" applyAlignment="1" applyProtection="1">
      <alignment horizontal="center" vertical="center"/>
      <protection hidden="1"/>
    </xf>
    <xf numFmtId="165" fontId="2" fillId="14" borderId="25" xfId="0" applyNumberFormat="1" applyFont="1" applyFill="1" applyBorder="1" applyAlignment="1">
      <alignment horizontal="center" vertical="center"/>
    </xf>
    <xf numFmtId="171" fontId="0" fillId="14" borderId="4" xfId="0" applyNumberFormat="1" applyFill="1" applyBorder="1" applyAlignment="1">
      <alignment horizontal="center" vertical="center"/>
    </xf>
    <xf numFmtId="171" fontId="0" fillId="14" borderId="31" xfId="0" applyNumberFormat="1" applyFill="1" applyBorder="1" applyAlignment="1">
      <alignment horizontal="center" vertical="center"/>
    </xf>
    <xf numFmtId="10" fontId="0" fillId="14" borderId="5" xfId="1" applyNumberFormat="1" applyFont="1" applyFill="1" applyBorder="1" applyAlignment="1">
      <alignment horizontal="center" vertical="center"/>
    </xf>
    <xf numFmtId="10" fontId="0" fillId="14" borderId="7" xfId="1" applyNumberFormat="1" applyFont="1" applyFill="1" applyBorder="1" applyAlignment="1">
      <alignment horizontal="center" vertical="center"/>
    </xf>
    <xf numFmtId="171" fontId="0" fillId="14" borderId="25" xfId="0" applyNumberFormat="1" applyFill="1" applyBorder="1" applyAlignment="1">
      <alignment horizontal="center" vertical="center"/>
    </xf>
    <xf numFmtId="10" fontId="0" fillId="14" borderId="40" xfId="1" applyNumberFormat="1" applyFont="1" applyFill="1" applyBorder="1" applyAlignment="1">
      <alignment horizontal="center" vertical="center"/>
    </xf>
    <xf numFmtId="171" fontId="7" fillId="8" borderId="86" xfId="0" applyNumberFormat="1" applyFont="1" applyFill="1" applyBorder="1" applyAlignment="1">
      <alignment horizontal="center" vertical="center"/>
    </xf>
    <xf numFmtId="10" fontId="7" fillId="8" borderId="176" xfId="1" applyNumberFormat="1" applyFont="1" applyFill="1" applyBorder="1" applyAlignment="1">
      <alignment horizontal="center" vertical="center"/>
    </xf>
    <xf numFmtId="171" fontId="2" fillId="14" borderId="31" xfId="1" applyNumberFormat="1" applyFont="1" applyFill="1" applyBorder="1" applyAlignment="1">
      <alignment horizontal="center" vertical="center"/>
    </xf>
    <xf numFmtId="171" fontId="2" fillId="14" borderId="60" xfId="1" applyNumberFormat="1" applyFont="1" applyFill="1" applyBorder="1" applyAlignment="1">
      <alignment horizontal="center" vertical="center"/>
    </xf>
    <xf numFmtId="171" fontId="0" fillId="14" borderId="3" xfId="0" applyNumberFormat="1" applyFill="1" applyBorder="1" applyAlignment="1">
      <alignment horizontal="center" vertical="center"/>
    </xf>
    <xf numFmtId="0" fontId="18" fillId="11" borderId="9" xfId="0" applyFont="1" applyFill="1" applyBorder="1" applyAlignment="1">
      <alignment horizontal="center" vertical="center" wrapText="1"/>
    </xf>
    <xf numFmtId="0" fontId="18" fillId="11" borderId="4" xfId="0" applyFont="1" applyFill="1" applyBorder="1" applyAlignment="1">
      <alignment horizontal="center" vertical="center" wrapText="1"/>
    </xf>
    <xf numFmtId="0" fontId="18" fillId="11" borderId="5" xfId="0" applyFont="1" applyFill="1" applyBorder="1" applyAlignment="1">
      <alignment horizontal="center" vertical="center" wrapText="1"/>
    </xf>
    <xf numFmtId="10" fontId="0" fillId="14" borderId="6" xfId="0" applyNumberFormat="1" applyFill="1" applyBorder="1" applyAlignment="1">
      <alignment horizontal="center" vertical="center"/>
    </xf>
    <xf numFmtId="171" fontId="6" fillId="14" borderId="15" xfId="6" applyNumberFormat="1" applyFont="1" applyFill="1" applyBorder="1" applyAlignment="1" applyProtection="1">
      <alignment horizontal="right" vertical="center" wrapText="1"/>
    </xf>
    <xf numFmtId="10" fontId="5" fillId="14" borderId="45" xfId="1" applyNumberFormat="1" applyFont="1" applyFill="1" applyBorder="1" applyAlignment="1">
      <alignment horizontal="center" vertical="center" wrapText="1"/>
    </xf>
    <xf numFmtId="9" fontId="7" fillId="0" borderId="45" xfId="1" applyFont="1" applyBorder="1" applyAlignment="1">
      <alignment horizontal="center" vertical="center"/>
    </xf>
    <xf numFmtId="10" fontId="7" fillId="14" borderId="45" xfId="0" applyNumberFormat="1" applyFont="1" applyFill="1" applyBorder="1" applyAlignment="1">
      <alignment horizontal="center" vertical="center"/>
    </xf>
    <xf numFmtId="171" fontId="109" fillId="19" borderId="45" xfId="0" applyNumberFormat="1" applyFont="1" applyFill="1" applyBorder="1" applyAlignment="1">
      <alignment horizontal="center" vertical="center"/>
    </xf>
    <xf numFmtId="171" fontId="109" fillId="19" borderId="46" xfId="0" applyNumberFormat="1" applyFont="1" applyFill="1" applyBorder="1" applyAlignment="1">
      <alignment horizontal="center" vertical="center"/>
    </xf>
    <xf numFmtId="171" fontId="6" fillId="14" borderId="59" xfId="6" applyNumberFormat="1" applyFont="1" applyFill="1" applyBorder="1" applyAlignment="1" applyProtection="1">
      <alignment horizontal="right" vertical="center" wrapText="1"/>
    </xf>
    <xf numFmtId="10" fontId="6" fillId="14" borderId="3" xfId="1" applyNumberFormat="1" applyFont="1" applyFill="1" applyBorder="1" applyAlignment="1">
      <alignment horizontal="center" vertical="center" wrapText="1"/>
    </xf>
    <xf numFmtId="9" fontId="0" fillId="0" borderId="3" xfId="1" applyFont="1" applyBorder="1" applyAlignment="1">
      <alignment horizontal="center" vertical="center"/>
    </xf>
    <xf numFmtId="10" fontId="0" fillId="14" borderId="3" xfId="0" applyNumberFormat="1" applyFill="1" applyBorder="1" applyAlignment="1">
      <alignment horizontal="center" vertical="center"/>
    </xf>
    <xf numFmtId="171" fontId="75" fillId="19" borderId="33" xfId="0" applyNumberFormat="1" applyFont="1" applyFill="1" applyBorder="1" applyAlignment="1">
      <alignment horizontal="center" vertical="center"/>
    </xf>
    <xf numFmtId="0" fontId="76" fillId="20" borderId="56" xfId="0" applyFont="1" applyFill="1" applyBorder="1" applyAlignment="1">
      <alignment horizontal="center" vertical="center" wrapText="1"/>
    </xf>
    <xf numFmtId="0" fontId="76" fillId="20" borderId="45" xfId="0" applyFont="1" applyFill="1" applyBorder="1" applyAlignment="1">
      <alignment horizontal="center" vertical="center" wrapText="1"/>
    </xf>
    <xf numFmtId="0" fontId="76" fillId="7" borderId="45" xfId="0" applyFont="1" applyFill="1" applyBorder="1" applyAlignment="1">
      <alignment horizontal="center" vertical="center" wrapText="1"/>
    </xf>
    <xf numFmtId="0" fontId="76" fillId="20" borderId="46" xfId="0" applyFont="1" applyFill="1" applyBorder="1" applyAlignment="1">
      <alignment horizontal="center" vertical="center" wrapText="1"/>
    </xf>
    <xf numFmtId="171" fontId="75" fillId="0" borderId="0" xfId="0" applyNumberFormat="1" applyFont="1" applyAlignment="1">
      <alignment horizontal="center" vertical="center"/>
    </xf>
    <xf numFmtId="0" fontId="5" fillId="0" borderId="0" xfId="0" applyFont="1" applyAlignment="1">
      <alignment horizontal="left" vertical="center" wrapText="1"/>
    </xf>
    <xf numFmtId="171" fontId="78" fillId="0" borderId="0" xfId="6" applyNumberFormat="1" applyFont="1" applyFill="1" applyBorder="1" applyAlignment="1">
      <alignment horizontal="right" vertical="center"/>
    </xf>
    <xf numFmtId="10" fontId="5" fillId="0" borderId="0" xfId="1" applyNumberFormat="1" applyFont="1" applyFill="1" applyBorder="1" applyAlignment="1">
      <alignment horizontal="center" vertical="center" wrapText="1"/>
    </xf>
    <xf numFmtId="9" fontId="7" fillId="0" borderId="0" xfId="1" applyFont="1" applyFill="1" applyBorder="1" applyAlignment="1">
      <alignment horizontal="center" vertical="center"/>
    </xf>
    <xf numFmtId="171" fontId="7" fillId="0" borderId="0" xfId="0" applyNumberFormat="1" applyFont="1" applyAlignment="1">
      <alignment horizontal="center" vertical="center"/>
    </xf>
    <xf numFmtId="10" fontId="7" fillId="0" borderId="0" xfId="0" applyNumberFormat="1" applyFont="1" applyAlignment="1">
      <alignment horizontal="center" vertical="center"/>
    </xf>
    <xf numFmtId="171" fontId="109" fillId="0" borderId="0" xfId="0" applyNumberFormat="1" applyFont="1" applyAlignment="1">
      <alignment horizontal="center" vertical="center"/>
    </xf>
    <xf numFmtId="0" fontId="76" fillId="40" borderId="45" xfId="0" applyFont="1" applyFill="1" applyBorder="1" applyAlignment="1">
      <alignment horizontal="center" vertical="center" wrapText="1"/>
    </xf>
    <xf numFmtId="0" fontId="76" fillId="10" borderId="45" xfId="0" applyFont="1" applyFill="1" applyBorder="1" applyAlignment="1">
      <alignment horizontal="center" vertical="center" wrapText="1"/>
    </xf>
    <xf numFmtId="0" fontId="6" fillId="7" borderId="41" xfId="0" applyFont="1" applyFill="1" applyBorder="1" applyAlignment="1">
      <alignment horizontal="center" vertical="center" wrapText="1"/>
    </xf>
    <xf numFmtId="0" fontId="6" fillId="7" borderId="90" xfId="0" applyFont="1" applyFill="1" applyBorder="1" applyAlignment="1">
      <alignment horizontal="center" vertical="center" wrapText="1"/>
    </xf>
    <xf numFmtId="0" fontId="76" fillId="20" borderId="58" xfId="0" applyFont="1" applyFill="1" applyBorder="1" applyAlignment="1">
      <alignment horizontal="center" vertical="center" wrapText="1"/>
    </xf>
    <xf numFmtId="0" fontId="76" fillId="20" borderId="232" xfId="0" applyFont="1" applyFill="1" applyBorder="1" applyAlignment="1">
      <alignment horizontal="center" vertical="center" wrapText="1"/>
    </xf>
    <xf numFmtId="0" fontId="5" fillId="41" borderId="6" xfId="0" applyFont="1" applyFill="1" applyBorder="1" applyAlignment="1">
      <alignment horizontal="center" vertical="center" wrapText="1"/>
    </xf>
    <xf numFmtId="171" fontId="7" fillId="41" borderId="6" xfId="0" applyNumberFormat="1" applyFont="1" applyFill="1" applyBorder="1" applyAlignment="1">
      <alignment horizontal="center"/>
    </xf>
    <xf numFmtId="0" fontId="76" fillId="40" borderId="58" xfId="0" applyFont="1" applyFill="1" applyBorder="1" applyAlignment="1">
      <alignment horizontal="center" vertical="center" wrapText="1"/>
    </xf>
    <xf numFmtId="0" fontId="76" fillId="40" borderId="56" xfId="0" applyFont="1" applyFill="1" applyBorder="1" applyAlignment="1">
      <alignment horizontal="center" vertical="center" wrapText="1"/>
    </xf>
    <xf numFmtId="0" fontId="76" fillId="40" borderId="232" xfId="0" applyFont="1" applyFill="1" applyBorder="1" applyAlignment="1">
      <alignment horizontal="center" vertical="center" wrapText="1"/>
    </xf>
    <xf numFmtId="0" fontId="6" fillId="28" borderId="41" xfId="0" applyFont="1" applyFill="1" applyBorder="1" applyAlignment="1">
      <alignment horizontal="center" vertical="center" wrapText="1"/>
    </xf>
    <xf numFmtId="0" fontId="6" fillId="28" borderId="90" xfId="0" applyFont="1" applyFill="1" applyBorder="1" applyAlignment="1">
      <alignment horizontal="center" vertical="center" wrapText="1"/>
    </xf>
    <xf numFmtId="171" fontId="0" fillId="14" borderId="24" xfId="0" applyNumberFormat="1" applyFill="1" applyBorder="1" applyAlignment="1">
      <alignment vertical="center"/>
    </xf>
    <xf numFmtId="171" fontId="0" fillId="14" borderId="15" xfId="0" applyNumberFormat="1" applyFill="1" applyBorder="1" applyAlignment="1">
      <alignment vertical="center"/>
    </xf>
    <xf numFmtId="171" fontId="0" fillId="14" borderId="233" xfId="0" applyNumberFormat="1" applyFill="1" applyBorder="1" applyAlignment="1">
      <alignment vertical="center"/>
    </xf>
    <xf numFmtId="9" fontId="7" fillId="4" borderId="29" xfId="1" applyFont="1" applyFill="1" applyBorder="1" applyAlignment="1">
      <alignment horizontal="center" vertical="center"/>
    </xf>
    <xf numFmtId="10" fontId="0" fillId="14" borderId="25" xfId="0" applyNumberFormat="1" applyFill="1" applyBorder="1" applyAlignment="1">
      <alignment vertical="center"/>
    </xf>
    <xf numFmtId="171" fontId="0" fillId="14" borderId="13" xfId="0" applyNumberFormat="1" applyFill="1" applyBorder="1" applyAlignment="1">
      <alignment vertical="center"/>
    </xf>
    <xf numFmtId="0" fontId="58" fillId="14" borderId="6" xfId="6" applyNumberFormat="1" applyFont="1" applyFill="1" applyBorder="1" applyAlignment="1">
      <alignment horizontal="center" vertical="center" wrapText="1"/>
    </xf>
    <xf numFmtId="10" fontId="58" fillId="14" borderId="6" xfId="0" applyNumberFormat="1" applyFont="1" applyFill="1" applyBorder="1" applyAlignment="1">
      <alignment horizontal="center" vertical="center" wrapText="1"/>
    </xf>
    <xf numFmtId="0" fontId="13" fillId="14" borderId="10" xfId="0" applyFont="1" applyFill="1" applyBorder="1" applyAlignment="1">
      <alignment horizontal="center" vertical="center" wrapText="1"/>
    </xf>
    <xf numFmtId="171" fontId="58" fillId="14" borderId="7" xfId="0" applyNumberFormat="1" applyFont="1" applyFill="1" applyBorder="1" applyAlignment="1">
      <alignment horizontal="center" vertical="center" wrapText="1"/>
    </xf>
    <xf numFmtId="171" fontId="13" fillId="14" borderId="7" xfId="6" applyNumberFormat="1" applyFont="1" applyFill="1" applyBorder="1" applyAlignment="1">
      <alignment horizontal="center" vertical="center" wrapText="1"/>
    </xf>
    <xf numFmtId="171" fontId="58" fillId="14" borderId="7" xfId="6" applyNumberFormat="1" applyFont="1" applyFill="1" applyBorder="1" applyAlignment="1">
      <alignment horizontal="center" vertical="center" wrapText="1"/>
    </xf>
    <xf numFmtId="0" fontId="58" fillId="14" borderId="25" xfId="0" applyFont="1" applyFill="1" applyBorder="1" applyAlignment="1">
      <alignment horizontal="center" vertical="center" wrapText="1"/>
    </xf>
    <xf numFmtId="171" fontId="13" fillId="14" borderId="40" xfId="6" applyNumberFormat="1" applyFont="1" applyFill="1" applyBorder="1" applyAlignment="1">
      <alignment horizontal="center" vertical="center" wrapText="1"/>
    </xf>
    <xf numFmtId="9" fontId="18" fillId="11" borderId="4" xfId="1" applyFont="1" applyFill="1" applyBorder="1" applyAlignment="1">
      <alignment horizontal="center" vertical="center" wrapText="1"/>
    </xf>
    <xf numFmtId="0" fontId="13" fillId="14" borderId="27" xfId="0" applyFont="1" applyFill="1" applyBorder="1" applyAlignment="1">
      <alignment horizontal="center" vertical="center" wrapText="1"/>
    </xf>
    <xf numFmtId="0" fontId="37" fillId="7" borderId="31" xfId="0" applyFont="1" applyFill="1" applyBorder="1" applyAlignment="1">
      <alignment horizontal="center" vertical="center" wrapText="1"/>
    </xf>
    <xf numFmtId="165" fontId="29" fillId="3" borderId="0" xfId="0" applyNumberFormat="1" applyFont="1" applyFill="1" applyAlignment="1">
      <alignment horizontal="center" vertical="center" wrapText="1"/>
    </xf>
    <xf numFmtId="171" fontId="26" fillId="14" borderId="235" xfId="0" applyNumberFormat="1" applyFont="1" applyFill="1" applyBorder="1" applyAlignment="1">
      <alignment vertical="center" wrapText="1"/>
    </xf>
    <xf numFmtId="171" fontId="26" fillId="14" borderId="7" xfId="0" applyNumberFormat="1" applyFont="1" applyFill="1" applyBorder="1" applyAlignment="1">
      <alignment vertical="center" wrapText="1"/>
    </xf>
    <xf numFmtId="165" fontId="8" fillId="4" borderId="40" xfId="0" applyNumberFormat="1" applyFont="1" applyFill="1" applyBorder="1" applyAlignment="1">
      <alignment horizontal="right" vertical="center"/>
    </xf>
    <xf numFmtId="171" fontId="26" fillId="14" borderId="49" xfId="0" applyNumberFormat="1" applyFont="1" applyFill="1" applyBorder="1" applyAlignment="1">
      <alignment vertical="center" wrapText="1"/>
    </xf>
    <xf numFmtId="171" fontId="35" fillId="16" borderId="58" xfId="0" applyNumberFormat="1" applyFont="1" applyFill="1" applyBorder="1" applyAlignment="1">
      <alignment horizontal="right" vertical="center" wrapText="1"/>
    </xf>
    <xf numFmtId="171" fontId="35" fillId="15" borderId="33" xfId="0" applyNumberFormat="1" applyFont="1" applyFill="1" applyBorder="1" applyAlignment="1">
      <alignment horizontal="right" vertical="center" wrapText="1"/>
    </xf>
    <xf numFmtId="171" fontId="35" fillId="15" borderId="7" xfId="0" applyNumberFormat="1" applyFont="1" applyFill="1" applyBorder="1" applyAlignment="1">
      <alignment horizontal="right" vertical="center" wrapText="1"/>
    </xf>
    <xf numFmtId="171" fontId="35" fillId="15" borderId="40" xfId="0" applyNumberFormat="1" applyFont="1" applyFill="1" applyBorder="1" applyAlignment="1">
      <alignment horizontal="right" vertical="center" wrapText="1"/>
    </xf>
    <xf numFmtId="171" fontId="0" fillId="0" borderId="0" xfId="0" applyNumberFormat="1"/>
    <xf numFmtId="171" fontId="75" fillId="19" borderId="2" xfId="0" applyNumberFormat="1" applyFont="1" applyFill="1" applyBorder="1" applyAlignment="1">
      <alignment horizontal="center" vertical="center"/>
    </xf>
    <xf numFmtId="171" fontId="75" fillId="19" borderId="45" xfId="0" applyNumberFormat="1" applyFont="1" applyFill="1" applyBorder="1" applyAlignment="1">
      <alignment horizontal="center" vertical="center"/>
    </xf>
    <xf numFmtId="166" fontId="0" fillId="0" borderId="0" xfId="0" applyNumberFormat="1"/>
    <xf numFmtId="10" fontId="7" fillId="14" borderId="56" xfId="0" applyNumberFormat="1" applyFont="1" applyFill="1" applyBorder="1" applyAlignment="1">
      <alignment horizontal="center" vertical="center"/>
    </xf>
    <xf numFmtId="10" fontId="0" fillId="14" borderId="52" xfId="0" applyNumberFormat="1" applyFill="1" applyBorder="1" applyAlignment="1">
      <alignment horizontal="center" vertical="center"/>
    </xf>
    <xf numFmtId="10" fontId="0" fillId="14" borderId="14" xfId="0" applyNumberFormat="1" applyFill="1" applyBorder="1" applyAlignment="1">
      <alignment horizontal="center" vertical="center"/>
    </xf>
    <xf numFmtId="171" fontId="75" fillId="19" borderId="59" xfId="0" applyNumberFormat="1" applyFont="1" applyFill="1" applyBorder="1" applyAlignment="1">
      <alignment horizontal="center" vertical="center"/>
    </xf>
    <xf numFmtId="171" fontId="0" fillId="3" borderId="0" xfId="0" applyNumberFormat="1" applyFill="1"/>
    <xf numFmtId="171" fontId="109" fillId="19" borderId="55" xfId="0" applyNumberFormat="1" applyFont="1" applyFill="1" applyBorder="1" applyAlignment="1">
      <alignment horizontal="center" vertical="center"/>
    </xf>
    <xf numFmtId="171" fontId="75" fillId="19" borderId="46" xfId="0" applyNumberFormat="1" applyFont="1" applyFill="1" applyBorder="1" applyAlignment="1">
      <alignment horizontal="center" vertical="center"/>
    </xf>
    <xf numFmtId="171" fontId="109" fillId="19" borderId="60" xfId="0" applyNumberFormat="1" applyFont="1" applyFill="1" applyBorder="1" applyAlignment="1">
      <alignment horizontal="center" vertical="center"/>
    </xf>
    <xf numFmtId="171" fontId="6" fillId="14" borderId="9" xfId="6" applyNumberFormat="1" applyFont="1" applyFill="1" applyBorder="1" applyAlignment="1" applyProtection="1">
      <alignment horizontal="right" vertical="center" wrapText="1"/>
    </xf>
    <xf numFmtId="10" fontId="6" fillId="14" borderId="4" xfId="1" applyNumberFormat="1" applyFont="1" applyFill="1" applyBorder="1" applyAlignment="1">
      <alignment horizontal="center" vertical="center" wrapText="1"/>
    </xf>
    <xf numFmtId="9" fontId="0" fillId="0" borderId="4" xfId="1" applyFont="1" applyBorder="1" applyAlignment="1">
      <alignment horizontal="center" vertical="center"/>
    </xf>
    <xf numFmtId="171" fontId="75" fillId="19" borderId="4" xfId="0" applyNumberFormat="1" applyFont="1" applyFill="1" applyBorder="1" applyAlignment="1">
      <alignment horizontal="center" vertical="center"/>
    </xf>
    <xf numFmtId="171" fontId="75" fillId="19" borderId="5" xfId="0" applyNumberFormat="1" applyFont="1" applyFill="1" applyBorder="1" applyAlignment="1">
      <alignment horizontal="center" vertical="center"/>
    </xf>
    <xf numFmtId="171" fontId="6" fillId="14" borderId="10" xfId="6" applyNumberFormat="1" applyFont="1" applyFill="1" applyBorder="1" applyAlignment="1" applyProtection="1">
      <alignment horizontal="right" vertical="center" wrapText="1"/>
    </xf>
    <xf numFmtId="171" fontId="6" fillId="14" borderId="27" xfId="6" applyNumberFormat="1" applyFont="1" applyFill="1" applyBorder="1" applyAlignment="1" applyProtection="1">
      <alignment horizontal="right" vertical="center" wrapText="1"/>
    </xf>
    <xf numFmtId="9" fontId="0" fillId="0" borderId="25" xfId="1" applyFont="1" applyBorder="1" applyAlignment="1">
      <alignment horizontal="center" vertical="center"/>
    </xf>
    <xf numFmtId="171" fontId="75" fillId="19" borderId="25" xfId="0" applyNumberFormat="1"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14" xfId="0" applyFont="1" applyFill="1" applyBorder="1" applyAlignment="1">
      <alignment horizontal="center" vertical="center" wrapText="1"/>
    </xf>
    <xf numFmtId="0" fontId="76" fillId="20" borderId="66" xfId="0" applyFont="1" applyFill="1" applyBorder="1" applyAlignment="1">
      <alignment horizontal="center" vertical="center" wrapText="1"/>
    </xf>
    <xf numFmtId="0" fontId="76" fillId="20" borderId="31" xfId="0" applyFont="1" applyFill="1" applyBorder="1" applyAlignment="1">
      <alignment horizontal="center" vertical="center" wrapText="1"/>
    </xf>
    <xf numFmtId="0" fontId="76" fillId="7" borderId="31" xfId="0" applyFont="1" applyFill="1" applyBorder="1" applyAlignment="1">
      <alignment horizontal="center" vertical="center" wrapText="1"/>
    </xf>
    <xf numFmtId="0" fontId="76" fillId="20" borderId="32" xfId="0" applyFont="1" applyFill="1" applyBorder="1" applyAlignment="1">
      <alignment horizontal="center" vertical="center" wrapText="1"/>
    </xf>
    <xf numFmtId="10" fontId="6" fillId="14" borderId="6" xfId="1" applyNumberFormat="1" applyFont="1" applyFill="1" applyBorder="1" applyAlignment="1">
      <alignment horizontal="center" vertical="center" wrapText="1"/>
    </xf>
    <xf numFmtId="10" fontId="0" fillId="14" borderId="4" xfId="0" applyNumberFormat="1" applyFill="1" applyBorder="1" applyAlignment="1">
      <alignment horizontal="center" vertical="center"/>
    </xf>
    <xf numFmtId="171" fontId="75" fillId="19" borderId="7" xfId="0" applyNumberFormat="1" applyFont="1" applyFill="1" applyBorder="1" applyAlignment="1">
      <alignment horizontal="center" vertical="center"/>
    </xf>
    <xf numFmtId="10" fontId="6" fillId="14" borderId="25" xfId="1" applyNumberFormat="1" applyFont="1" applyFill="1" applyBorder="1" applyAlignment="1">
      <alignment horizontal="center" vertical="center" wrapText="1"/>
    </xf>
    <xf numFmtId="10" fontId="0" fillId="14" borderId="25" xfId="0" applyNumberFormat="1" applyFill="1" applyBorder="1" applyAlignment="1">
      <alignment horizontal="center" vertical="center"/>
    </xf>
    <xf numFmtId="171" fontId="75" fillId="19" borderId="40" xfId="0" applyNumberFormat="1" applyFont="1" applyFill="1" applyBorder="1" applyAlignment="1">
      <alignment horizontal="center" vertical="center"/>
    </xf>
    <xf numFmtId="0" fontId="6" fillId="7" borderId="88" xfId="0" applyFont="1" applyFill="1" applyBorder="1" applyAlignment="1">
      <alignment horizontal="center" vertical="center" wrapText="1"/>
    </xf>
    <xf numFmtId="171" fontId="6" fillId="14" borderId="42" xfId="6" applyNumberFormat="1" applyFont="1" applyFill="1" applyBorder="1" applyAlignment="1" applyProtection="1">
      <alignment horizontal="right" vertical="center" wrapText="1"/>
    </xf>
    <xf numFmtId="10" fontId="6" fillId="14" borderId="2" xfId="1" applyNumberFormat="1" applyFont="1" applyFill="1" applyBorder="1" applyAlignment="1">
      <alignment horizontal="center" vertical="center" wrapText="1"/>
    </xf>
    <xf numFmtId="9" fontId="0" fillId="0" borderId="2" xfId="1" applyFont="1" applyBorder="1" applyAlignment="1">
      <alignment horizontal="center" vertical="center"/>
    </xf>
    <xf numFmtId="10" fontId="0" fillId="14" borderId="2" xfId="0" applyNumberFormat="1" applyFill="1" applyBorder="1" applyAlignment="1">
      <alignment horizontal="center" vertical="center"/>
    </xf>
    <xf numFmtId="171" fontId="75" fillId="19" borderId="47" xfId="0" applyNumberFormat="1" applyFont="1" applyFill="1" applyBorder="1" applyAlignment="1">
      <alignment horizontal="center" vertical="center"/>
    </xf>
    <xf numFmtId="10" fontId="5" fillId="14" borderId="60" xfId="1" applyNumberFormat="1" applyFont="1" applyFill="1" applyBorder="1" applyAlignment="1">
      <alignment horizontal="center" vertical="center" wrapText="1"/>
    </xf>
    <xf numFmtId="9" fontId="7" fillId="0" borderId="60" xfId="1" applyFont="1" applyBorder="1" applyAlignment="1">
      <alignment horizontal="center" vertical="center"/>
    </xf>
    <xf numFmtId="171" fontId="7" fillId="14" borderId="60" xfId="0" applyNumberFormat="1" applyFont="1" applyFill="1" applyBorder="1" applyAlignment="1">
      <alignment horizontal="center" vertical="center"/>
    </xf>
    <xf numFmtId="0" fontId="7" fillId="0" borderId="0" xfId="0" applyFont="1" applyAlignment="1">
      <alignment horizontal="center"/>
    </xf>
    <xf numFmtId="0" fontId="5" fillId="19" borderId="44" xfId="0" applyFont="1" applyFill="1" applyBorder="1" applyAlignment="1">
      <alignment horizontal="center" vertical="center" wrapText="1"/>
    </xf>
    <xf numFmtId="171" fontId="78" fillId="19" borderId="45" xfId="6" applyNumberFormat="1" applyFont="1" applyFill="1" applyBorder="1" applyAlignment="1">
      <alignment horizontal="center" vertical="center"/>
    </xf>
    <xf numFmtId="0" fontId="7" fillId="0" borderId="45" xfId="0" applyFont="1" applyBorder="1" applyAlignment="1">
      <alignment horizontal="center"/>
    </xf>
    <xf numFmtId="0" fontId="5" fillId="19" borderId="54" xfId="0" applyFont="1" applyFill="1" applyBorder="1" applyAlignment="1">
      <alignment horizontal="center" vertical="center" wrapText="1"/>
    </xf>
    <xf numFmtId="171" fontId="78" fillId="19" borderId="44" xfId="6" applyNumberFormat="1" applyFont="1" applyFill="1" applyBorder="1" applyAlignment="1">
      <alignment horizontal="center" vertical="center"/>
    </xf>
    <xf numFmtId="0" fontId="0" fillId="0" borderId="45" xfId="0" applyBorder="1" applyAlignment="1">
      <alignment horizontal="center"/>
    </xf>
    <xf numFmtId="0" fontId="5" fillId="19" borderId="176" xfId="0" applyFont="1" applyFill="1" applyBorder="1" applyAlignment="1">
      <alignment horizontal="center" vertical="center" wrapText="1"/>
    </xf>
    <xf numFmtId="171" fontId="78" fillId="19" borderId="56" xfId="6" applyNumberFormat="1" applyFont="1" applyFill="1" applyBorder="1" applyAlignment="1">
      <alignment horizontal="center" vertical="center"/>
    </xf>
    <xf numFmtId="171" fontId="109" fillId="19" borderId="44" xfId="0" applyNumberFormat="1" applyFont="1" applyFill="1" applyBorder="1" applyAlignment="1">
      <alignment horizontal="center" vertical="center"/>
    </xf>
    <xf numFmtId="171" fontId="109" fillId="19" borderId="3" xfId="0" applyNumberFormat="1" applyFont="1" applyFill="1" applyBorder="1" applyAlignment="1">
      <alignment horizontal="center" vertical="center"/>
    </xf>
    <xf numFmtId="171" fontId="109" fillId="19" borderId="33" xfId="0" applyNumberFormat="1" applyFont="1" applyFill="1" applyBorder="1" applyAlignment="1">
      <alignment horizontal="center" vertical="center"/>
    </xf>
    <xf numFmtId="171" fontId="78" fillId="19" borderId="60" xfId="6" applyNumberFormat="1" applyFont="1" applyFill="1" applyBorder="1" applyAlignment="1">
      <alignment horizontal="center" vertical="center"/>
    </xf>
    <xf numFmtId="10" fontId="7" fillId="14" borderId="60" xfId="0" applyNumberFormat="1" applyFont="1" applyFill="1" applyBorder="1" applyAlignment="1">
      <alignment horizontal="center" vertical="center"/>
    </xf>
    <xf numFmtId="0" fontId="7" fillId="0" borderId="60" xfId="0" applyFont="1" applyBorder="1" applyAlignment="1">
      <alignment horizontal="center"/>
    </xf>
    <xf numFmtId="171" fontId="109" fillId="19" borderId="61" xfId="0" applyNumberFormat="1" applyFont="1" applyFill="1" applyBorder="1" applyAlignment="1">
      <alignment horizontal="center" vertical="center"/>
    </xf>
    <xf numFmtId="171" fontId="75" fillId="19" borderId="67" xfId="0" applyNumberFormat="1" applyFont="1" applyFill="1" applyBorder="1" applyAlignment="1">
      <alignment horizontal="center" vertical="center"/>
    </xf>
    <xf numFmtId="171" fontId="75" fillId="19" borderId="49" xfId="0" applyNumberFormat="1" applyFont="1" applyFill="1" applyBorder="1" applyAlignment="1">
      <alignment horizontal="center" vertical="center"/>
    </xf>
    <xf numFmtId="171" fontId="65" fillId="19" borderId="59" xfId="0" applyNumberFormat="1" applyFont="1" applyFill="1" applyBorder="1" applyAlignment="1">
      <alignment horizontal="center" vertical="center"/>
    </xf>
    <xf numFmtId="0" fontId="6" fillId="28" borderId="1" xfId="0" applyFont="1" applyFill="1" applyBorder="1" applyAlignment="1">
      <alignment horizontal="center" vertical="center" wrapText="1"/>
    </xf>
    <xf numFmtId="0" fontId="6" fillId="28" borderId="14" xfId="0" applyFont="1" applyFill="1" applyBorder="1" applyAlignment="1">
      <alignment horizontal="center" vertical="center" wrapText="1"/>
    </xf>
    <xf numFmtId="0" fontId="76" fillId="40" borderId="66" xfId="0" applyFont="1" applyFill="1" applyBorder="1" applyAlignment="1">
      <alignment horizontal="center" vertical="center" wrapText="1"/>
    </xf>
    <xf numFmtId="0" fontId="76" fillId="40" borderId="31" xfId="0" applyFont="1" applyFill="1" applyBorder="1" applyAlignment="1">
      <alignment horizontal="center" vertical="center" wrapText="1"/>
    </xf>
    <xf numFmtId="0" fontId="76" fillId="10" borderId="31" xfId="0" applyFont="1" applyFill="1" applyBorder="1" applyAlignment="1">
      <alignment horizontal="center" vertical="center" wrapText="1"/>
    </xf>
    <xf numFmtId="171" fontId="65" fillId="19" borderId="6" xfId="0" applyNumberFormat="1" applyFont="1" applyFill="1" applyBorder="1" applyAlignment="1">
      <alignment horizontal="center" vertical="center"/>
    </xf>
    <xf numFmtId="171" fontId="65" fillId="19" borderId="4" xfId="0" applyNumberFormat="1" applyFont="1" applyFill="1" applyBorder="1" applyAlignment="1">
      <alignment horizontal="center" vertical="center"/>
    </xf>
    <xf numFmtId="171" fontId="65" fillId="19" borderId="2" xfId="0" applyNumberFormat="1" applyFont="1" applyFill="1" applyBorder="1" applyAlignment="1">
      <alignment horizontal="center" vertical="center"/>
    </xf>
    <xf numFmtId="171" fontId="111" fillId="19" borderId="45" xfId="0" applyNumberFormat="1" applyFont="1" applyFill="1" applyBorder="1" applyAlignment="1">
      <alignment horizontal="center" vertical="center"/>
    </xf>
    <xf numFmtId="171" fontId="6" fillId="14" borderId="63" xfId="6" applyNumberFormat="1" applyFont="1" applyFill="1" applyBorder="1" applyAlignment="1" applyProtection="1">
      <alignment horizontal="right" vertical="center" wrapText="1"/>
    </xf>
    <xf numFmtId="10" fontId="6" fillId="14" borderId="67" xfId="1" applyNumberFormat="1" applyFont="1" applyFill="1" applyBorder="1" applyAlignment="1">
      <alignment horizontal="center" vertical="center" wrapText="1"/>
    </xf>
    <xf numFmtId="171" fontId="0" fillId="14" borderId="67" xfId="0" applyNumberFormat="1" applyFill="1" applyBorder="1" applyAlignment="1">
      <alignment horizontal="center" vertical="center"/>
    </xf>
    <xf numFmtId="171" fontId="65" fillId="19" borderId="38" xfId="0" applyNumberFormat="1" applyFont="1" applyFill="1" applyBorder="1" applyAlignment="1">
      <alignment horizontal="center" vertical="center"/>
    </xf>
    <xf numFmtId="10" fontId="6" fillId="14" borderId="45" xfId="1" applyNumberFormat="1" applyFont="1" applyFill="1" applyBorder="1" applyAlignment="1">
      <alignment horizontal="center" vertical="center" wrapText="1"/>
    </xf>
    <xf numFmtId="165" fontId="94" fillId="24" borderId="6" xfId="0" applyNumberFormat="1" applyFont="1" applyFill="1" applyBorder="1" applyAlignment="1" applyProtection="1">
      <alignment horizontal="center" vertical="center"/>
      <protection hidden="1"/>
    </xf>
    <xf numFmtId="165" fontId="94" fillId="24" borderId="7" xfId="0" applyNumberFormat="1" applyFont="1" applyFill="1" applyBorder="1" applyAlignment="1" applyProtection="1">
      <alignment horizontal="center" vertical="center"/>
      <protection hidden="1"/>
    </xf>
    <xf numFmtId="165" fontId="94" fillId="24" borderId="25" xfId="0" applyNumberFormat="1" applyFont="1" applyFill="1" applyBorder="1" applyAlignment="1" applyProtection="1">
      <alignment horizontal="center" vertical="center"/>
      <protection hidden="1"/>
    </xf>
    <xf numFmtId="165" fontId="94" fillId="24" borderId="40" xfId="0" applyNumberFormat="1" applyFont="1" applyFill="1" applyBorder="1" applyAlignment="1" applyProtection="1">
      <alignment horizontal="center" vertical="center"/>
      <protection hidden="1"/>
    </xf>
    <xf numFmtId="165" fontId="94" fillId="24" borderId="15" xfId="0" applyNumberFormat="1" applyFont="1" applyFill="1" applyBorder="1" applyAlignment="1" applyProtection="1">
      <alignment horizontal="center" vertical="center"/>
      <protection hidden="1"/>
    </xf>
    <xf numFmtId="165" fontId="94" fillId="24" borderId="13" xfId="0" applyNumberFormat="1" applyFont="1" applyFill="1" applyBorder="1" applyAlignment="1" applyProtection="1">
      <alignment horizontal="center" vertical="center"/>
      <protection hidden="1"/>
    </xf>
    <xf numFmtId="0" fontId="37" fillId="26" borderId="30" xfId="0" applyFont="1" applyFill="1" applyBorder="1" applyAlignment="1" applyProtection="1">
      <alignment horizontal="center" vertical="center" wrapText="1"/>
      <protection hidden="1"/>
    </xf>
    <xf numFmtId="0" fontId="37" fillId="26" borderId="65" xfId="0" applyFont="1" applyFill="1" applyBorder="1" applyAlignment="1" applyProtection="1">
      <alignment horizontal="center" vertical="center" wrapText="1"/>
      <protection hidden="1"/>
    </xf>
    <xf numFmtId="0" fontId="37" fillId="26" borderId="236" xfId="0" applyFont="1" applyFill="1" applyBorder="1" applyAlignment="1" applyProtection="1">
      <alignment horizontal="center" vertical="center" wrapText="1"/>
      <protection hidden="1"/>
    </xf>
    <xf numFmtId="0" fontId="37" fillId="26" borderId="5" xfId="0" applyFont="1" applyFill="1" applyBorder="1" applyAlignment="1" applyProtection="1">
      <alignment horizontal="center" vertical="center" wrapText="1"/>
      <protection hidden="1"/>
    </xf>
    <xf numFmtId="0" fontId="37" fillId="23" borderId="40" xfId="0" applyFont="1" applyFill="1" applyBorder="1" applyAlignment="1" applyProtection="1">
      <alignment horizontal="center" wrapText="1"/>
      <protection hidden="1"/>
    </xf>
    <xf numFmtId="165" fontId="94" fillId="24" borderId="59" xfId="0" applyNumberFormat="1" applyFont="1" applyFill="1" applyBorder="1" applyAlignment="1" applyProtection="1">
      <alignment horizontal="center" vertical="center"/>
      <protection hidden="1"/>
    </xf>
    <xf numFmtId="165" fontId="94" fillId="24" borderId="3" xfId="0" applyNumberFormat="1" applyFont="1" applyFill="1" applyBorder="1" applyAlignment="1" applyProtection="1">
      <alignment horizontal="center" vertical="center"/>
      <protection hidden="1"/>
    </xf>
    <xf numFmtId="165" fontId="94" fillId="24" borderId="33" xfId="0" applyNumberFormat="1" applyFont="1" applyFill="1" applyBorder="1" applyAlignment="1" applyProtection="1">
      <alignment horizontal="center" vertical="center"/>
      <protection hidden="1"/>
    </xf>
    <xf numFmtId="0" fontId="37" fillId="26" borderId="232" xfId="0" applyFont="1" applyFill="1" applyBorder="1" applyAlignment="1" applyProtection="1">
      <alignment horizontal="center" vertical="center" wrapText="1"/>
      <protection hidden="1"/>
    </xf>
    <xf numFmtId="165" fontId="94" fillId="24" borderId="56" xfId="0" applyNumberFormat="1" applyFont="1" applyFill="1" applyBorder="1" applyAlignment="1" applyProtection="1">
      <alignment horizontal="center" vertical="center"/>
      <protection hidden="1"/>
    </xf>
    <xf numFmtId="165" fontId="94" fillId="24" borderId="58" xfId="0" applyNumberFormat="1" applyFont="1" applyFill="1" applyBorder="1" applyAlignment="1" applyProtection="1">
      <alignment horizontal="center" vertical="center"/>
      <protection hidden="1"/>
    </xf>
    <xf numFmtId="171" fontId="75" fillId="19" borderId="15" xfId="0" applyNumberFormat="1" applyFont="1" applyFill="1" applyBorder="1" applyAlignment="1">
      <alignment horizontal="center" vertical="center"/>
    </xf>
    <xf numFmtId="171" fontId="75" fillId="19" borderId="13" xfId="0" applyNumberFormat="1" applyFont="1" applyFill="1" applyBorder="1" applyAlignment="1">
      <alignment horizontal="center" vertical="center"/>
    </xf>
    <xf numFmtId="0" fontId="8" fillId="10" borderId="30" xfId="0" applyFont="1" applyFill="1" applyBorder="1" applyAlignment="1">
      <alignment horizontal="center"/>
    </xf>
    <xf numFmtId="0" fontId="8" fillId="10" borderId="65" xfId="0" applyFont="1" applyFill="1" applyBorder="1" applyAlignment="1">
      <alignment horizontal="center"/>
    </xf>
    <xf numFmtId="0" fontId="8" fillId="10" borderId="236" xfId="0" applyFont="1" applyFill="1" applyBorder="1" applyAlignment="1">
      <alignment horizontal="center"/>
    </xf>
    <xf numFmtId="0" fontId="8" fillId="10" borderId="232" xfId="0" applyFont="1" applyFill="1" applyBorder="1" applyAlignment="1">
      <alignment horizontal="center" vertical="center"/>
    </xf>
    <xf numFmtId="0" fontId="8" fillId="10" borderId="24" xfId="0" applyFont="1" applyFill="1" applyBorder="1" applyAlignment="1">
      <alignment horizontal="center" vertical="center" wrapText="1"/>
    </xf>
    <xf numFmtId="0" fontId="8" fillId="10" borderId="4" xfId="0" applyFont="1" applyFill="1" applyBorder="1" applyAlignment="1">
      <alignment horizontal="center" vertical="center" wrapText="1"/>
    </xf>
    <xf numFmtId="0" fontId="8" fillId="10" borderId="5" xfId="0" applyFont="1" applyFill="1" applyBorder="1" applyAlignment="1">
      <alignment horizontal="center" vertical="center" wrapText="1"/>
    </xf>
    <xf numFmtId="171" fontId="8" fillId="44" borderId="13" xfId="0" applyNumberFormat="1" applyFont="1" applyFill="1" applyBorder="1" applyAlignment="1">
      <alignment horizontal="center" vertical="center"/>
    </xf>
    <xf numFmtId="171" fontId="8" fillId="44" borderId="25" xfId="0" applyNumberFormat="1" applyFont="1" applyFill="1" applyBorder="1" applyAlignment="1">
      <alignment horizontal="center" vertical="center"/>
    </xf>
    <xf numFmtId="171" fontId="8" fillId="44" borderId="40" xfId="0" applyNumberFormat="1" applyFont="1" applyFill="1" applyBorder="1" applyAlignment="1">
      <alignment horizontal="center" vertical="center"/>
    </xf>
    <xf numFmtId="171" fontId="82" fillId="14" borderId="6" xfId="1" applyNumberFormat="1" applyFont="1" applyFill="1" applyBorder="1" applyAlignment="1" applyProtection="1">
      <alignment horizontal="center" vertical="center"/>
      <protection hidden="1"/>
    </xf>
    <xf numFmtId="171" fontId="82" fillId="14" borderId="3" xfId="1" applyNumberFormat="1" applyFont="1" applyFill="1" applyBorder="1" applyAlignment="1" applyProtection="1">
      <alignment horizontal="center" vertical="center"/>
      <protection hidden="1"/>
    </xf>
    <xf numFmtId="171" fontId="82" fillId="14" borderId="25" xfId="1" applyNumberFormat="1" applyFont="1" applyFill="1" applyBorder="1" applyAlignment="1" applyProtection="1">
      <alignment horizontal="center" vertical="center"/>
      <protection hidden="1"/>
    </xf>
    <xf numFmtId="171" fontId="82" fillId="14" borderId="230" xfId="1" applyNumberFormat="1" applyFont="1" applyFill="1" applyBorder="1" applyAlignment="1" applyProtection="1">
      <alignment horizontal="center" vertical="center"/>
      <protection hidden="1"/>
    </xf>
    <xf numFmtId="0" fontId="76" fillId="20" borderId="20" xfId="0" applyFont="1" applyFill="1" applyBorder="1" applyAlignment="1">
      <alignment horizontal="center" vertical="center" wrapText="1"/>
    </xf>
    <xf numFmtId="0" fontId="76" fillId="20" borderId="38" xfId="0" applyFont="1" applyFill="1" applyBorder="1" applyAlignment="1">
      <alignment horizontal="center" vertical="center" wrapText="1"/>
    </xf>
    <xf numFmtId="0" fontId="76" fillId="20" borderId="67" xfId="0" applyFont="1" applyFill="1" applyBorder="1" applyAlignment="1">
      <alignment horizontal="center" vertical="center" wrapText="1"/>
    </xf>
    <xf numFmtId="0" fontId="76" fillId="20" borderId="60" xfId="0" applyFont="1" applyFill="1" applyBorder="1" applyAlignment="1">
      <alignment horizontal="center" vertical="center" wrapText="1"/>
    </xf>
    <xf numFmtId="0" fontId="76" fillId="7" borderId="67" xfId="0" applyFont="1" applyFill="1" applyBorder="1" applyAlignment="1">
      <alignment horizontal="center" vertical="center" wrapText="1"/>
    </xf>
    <xf numFmtId="0" fontId="37" fillId="7" borderId="67" xfId="0" applyFont="1" applyFill="1" applyBorder="1" applyAlignment="1">
      <alignment horizontal="center" vertical="center" wrapText="1"/>
    </xf>
    <xf numFmtId="0" fontId="76" fillId="20" borderId="49" xfId="0" applyFont="1" applyFill="1" applyBorder="1" applyAlignment="1">
      <alignment horizontal="center" vertical="center" wrapText="1"/>
    </xf>
    <xf numFmtId="10" fontId="0" fillId="14" borderId="31" xfId="1" quotePrefix="1" applyNumberFormat="1" applyFont="1" applyFill="1" applyBorder="1" applyAlignment="1">
      <alignment horizontal="center" vertical="center"/>
    </xf>
    <xf numFmtId="10" fontId="0" fillId="14" borderId="3" xfId="1" quotePrefix="1" applyNumberFormat="1" applyFont="1" applyFill="1" applyBorder="1" applyAlignment="1">
      <alignment horizontal="center" vertical="center"/>
    </xf>
    <xf numFmtId="10" fontId="0" fillId="14" borderId="6" xfId="1" quotePrefix="1" applyNumberFormat="1" applyFont="1" applyFill="1" applyBorder="1" applyAlignment="1">
      <alignment horizontal="center" vertical="center"/>
    </xf>
    <xf numFmtId="10" fontId="0" fillId="14" borderId="25" xfId="1" quotePrefix="1" applyNumberFormat="1" applyFont="1" applyFill="1" applyBorder="1" applyAlignment="1">
      <alignment horizontal="center" vertical="center"/>
    </xf>
    <xf numFmtId="171" fontId="75" fillId="19" borderId="31" xfId="0" applyNumberFormat="1" applyFont="1" applyFill="1" applyBorder="1" applyAlignment="1">
      <alignment horizontal="center" vertical="center"/>
    </xf>
    <xf numFmtId="164" fontId="0" fillId="0" borderId="0" xfId="0" applyNumberFormat="1"/>
    <xf numFmtId="171" fontId="7" fillId="0" borderId="0" xfId="0" applyNumberFormat="1" applyFont="1" applyAlignment="1">
      <alignment horizontal="center"/>
    </xf>
    <xf numFmtId="171" fontId="0" fillId="0" borderId="0" xfId="0" applyNumberFormat="1" applyAlignment="1">
      <alignment horizontal="center"/>
    </xf>
    <xf numFmtId="171" fontId="14" fillId="0" borderId="67" xfId="7" applyNumberFormat="1" applyFont="1" applyFill="1" applyBorder="1" applyAlignment="1" applyProtection="1">
      <alignment horizontal="right" vertical="center" wrapText="1"/>
    </xf>
    <xf numFmtId="2" fontId="16" fillId="4" borderId="25" xfId="2" applyNumberFormat="1" applyFont="1" applyFill="1" applyBorder="1" applyAlignment="1">
      <alignment horizontal="right" vertical="center" wrapText="1"/>
    </xf>
    <xf numFmtId="171" fontId="10" fillId="14" borderId="31" xfId="3" applyNumberFormat="1" applyFont="1" applyFill="1" applyBorder="1" applyAlignment="1" applyProtection="1">
      <alignment horizontal="right" vertical="center" wrapText="1"/>
    </xf>
    <xf numFmtId="2" fontId="14" fillId="14" borderId="6" xfId="0" applyNumberFormat="1" applyFont="1" applyFill="1" applyBorder="1" applyAlignment="1">
      <alignment horizontal="center" vertical="center" wrapText="1"/>
    </xf>
    <xf numFmtId="2" fontId="14" fillId="18" borderId="6" xfId="0" applyNumberFormat="1" applyFont="1" applyFill="1" applyBorder="1" applyAlignment="1">
      <alignment horizontal="center" vertical="center" wrapText="1"/>
    </xf>
    <xf numFmtId="9" fontId="14" fillId="14" borderId="6" xfId="1" applyFont="1" applyFill="1" applyBorder="1" applyAlignment="1">
      <alignment horizontal="center" vertical="center" wrapText="1"/>
    </xf>
    <xf numFmtId="9" fontId="0" fillId="0" borderId="0" xfId="1" applyFont="1" applyAlignment="1">
      <alignment wrapText="1"/>
    </xf>
    <xf numFmtId="9" fontId="10" fillId="10" borderId="31" xfId="1" applyFont="1" applyFill="1" applyBorder="1" applyAlignment="1">
      <alignment horizontal="center" vertical="center" wrapText="1"/>
    </xf>
    <xf numFmtId="9" fontId="29" fillId="10" borderId="6" xfId="1" applyFont="1" applyFill="1" applyBorder="1" applyAlignment="1">
      <alignment horizontal="center" vertical="center" wrapText="1"/>
    </xf>
    <xf numFmtId="9" fontId="10" fillId="0" borderId="0" xfId="1" applyFont="1"/>
    <xf numFmtId="9" fontId="7" fillId="3" borderId="0" xfId="1" applyFont="1" applyFill="1"/>
    <xf numFmtId="165" fontId="14" fillId="14" borderId="31" xfId="0" applyNumberFormat="1" applyFont="1" applyFill="1" applyBorder="1" applyAlignment="1">
      <alignment horizontal="center" vertical="center" wrapText="1"/>
    </xf>
    <xf numFmtId="0" fontId="14" fillId="14" borderId="2" xfId="0" quotePrefix="1" applyFont="1" applyFill="1" applyBorder="1" applyAlignment="1">
      <alignment horizontal="center" vertical="center" wrapText="1"/>
    </xf>
    <xf numFmtId="0" fontId="14" fillId="14" borderId="6" xfId="0" quotePrefix="1" applyFont="1" applyFill="1" applyBorder="1" applyAlignment="1">
      <alignment horizontal="center" vertical="center" wrapText="1"/>
    </xf>
    <xf numFmtId="0" fontId="9" fillId="14" borderId="2" xfId="0" quotePrefix="1" applyFont="1" applyFill="1" applyBorder="1" applyAlignment="1">
      <alignment horizontal="center" vertical="center" wrapText="1"/>
    </xf>
    <xf numFmtId="2" fontId="16" fillId="14" borderId="2" xfId="0" quotePrefix="1" applyNumberFormat="1" applyFont="1" applyFill="1" applyBorder="1" applyAlignment="1">
      <alignment horizontal="center" vertical="center" wrapText="1"/>
    </xf>
    <xf numFmtId="171" fontId="112" fillId="0" borderId="201" xfId="0" applyNumberFormat="1" applyFont="1" applyBorder="1" applyAlignment="1" applyProtection="1">
      <alignment horizontal="center" vertical="center"/>
      <protection locked="0"/>
    </xf>
    <xf numFmtId="0" fontId="113" fillId="0" borderId="7" xfId="0" applyFont="1" applyBorder="1" applyAlignment="1" applyProtection="1">
      <alignment horizontal="center" vertical="center"/>
      <protection locked="0"/>
    </xf>
    <xf numFmtId="171" fontId="112" fillId="0" borderId="10" xfId="0" applyNumberFormat="1" applyFont="1" applyBorder="1" applyAlignment="1" applyProtection="1">
      <alignment horizontal="center" vertical="center"/>
      <protection locked="0"/>
    </xf>
    <xf numFmtId="0" fontId="112" fillId="0" borderId="6" xfId="0" applyFont="1" applyBorder="1" applyAlignment="1" applyProtection="1">
      <alignment horizontal="center" vertical="center"/>
      <protection locked="0"/>
    </xf>
    <xf numFmtId="0" fontId="113" fillId="0" borderId="202" xfId="0" applyFont="1" applyBorder="1" applyAlignment="1" applyProtection="1">
      <alignment horizontal="center" vertical="center"/>
      <protection locked="0"/>
    </xf>
    <xf numFmtId="171" fontId="112" fillId="0" borderId="203" xfId="0" applyNumberFormat="1" applyFont="1" applyBorder="1" applyAlignment="1" applyProtection="1">
      <alignment horizontal="center" vertical="center"/>
      <protection locked="0"/>
    </xf>
    <xf numFmtId="0" fontId="112" fillId="0" borderId="204" xfId="0" applyFont="1" applyBorder="1" applyAlignment="1" applyProtection="1">
      <alignment horizontal="center" vertical="center"/>
      <protection locked="0"/>
    </xf>
    <xf numFmtId="0" fontId="113" fillId="0" borderId="205" xfId="0" applyFont="1" applyBorder="1" applyAlignment="1" applyProtection="1">
      <alignment horizontal="center" vertical="center"/>
      <protection locked="0"/>
    </xf>
    <xf numFmtId="171" fontId="112" fillId="0" borderId="206" xfId="0" applyNumberFormat="1" applyFont="1" applyBorder="1" applyAlignment="1" applyProtection="1">
      <alignment horizontal="center" vertical="center"/>
      <protection locked="0"/>
    </xf>
    <xf numFmtId="0" fontId="113" fillId="0" borderId="207" xfId="0" applyFont="1" applyBorder="1" applyAlignment="1" applyProtection="1">
      <alignment horizontal="center" vertical="center"/>
      <protection locked="0"/>
    </xf>
    <xf numFmtId="171" fontId="112" fillId="0" borderId="15" xfId="0" applyNumberFormat="1" applyFont="1" applyBorder="1" applyAlignment="1" applyProtection="1">
      <alignment horizontal="center" vertical="center"/>
      <protection locked="0"/>
    </xf>
    <xf numFmtId="171" fontId="112" fillId="0" borderId="6" xfId="0" applyNumberFormat="1" applyFont="1" applyBorder="1" applyAlignment="1" applyProtection="1">
      <alignment horizontal="center" vertical="center"/>
      <protection locked="0"/>
    </xf>
    <xf numFmtId="1" fontId="14" fillId="0" borderId="6" xfId="0" applyNumberFormat="1" applyFont="1" applyBorder="1" applyAlignment="1">
      <alignment horizontal="center" vertical="center" wrapText="1"/>
    </xf>
    <xf numFmtId="1" fontId="14" fillId="0" borderId="6" xfId="7" applyNumberFormat="1" applyFont="1" applyFill="1" applyBorder="1" applyAlignment="1" applyProtection="1">
      <alignment horizontal="right" vertical="center" wrapText="1"/>
    </xf>
    <xf numFmtId="0" fontId="0" fillId="0" borderId="25" xfId="0" applyBorder="1"/>
    <xf numFmtId="171" fontId="82" fillId="0" borderId="0" xfId="0" applyNumberFormat="1" applyFont="1" applyAlignment="1" applyProtection="1">
      <alignment horizontal="center" vertical="center"/>
      <protection hidden="1"/>
    </xf>
    <xf numFmtId="0" fontId="16" fillId="10" borderId="6" xfId="0" applyFont="1" applyFill="1" applyBorder="1" applyAlignment="1">
      <alignment horizontal="center" vertical="center" wrapText="1"/>
    </xf>
    <xf numFmtId="0" fontId="37" fillId="0" borderId="0" xfId="0" applyFont="1" applyAlignment="1">
      <alignment horizontal="left" vertical="center" wrapText="1"/>
    </xf>
    <xf numFmtId="0" fontId="14" fillId="0" borderId="6" xfId="0" applyFont="1" applyBorder="1" applyAlignment="1" applyProtection="1">
      <alignment horizontal="center" vertical="center" wrapText="1"/>
      <protection locked="0"/>
    </xf>
    <xf numFmtId="171" fontId="17" fillId="14" borderId="6" xfId="0" applyNumberFormat="1" applyFont="1" applyFill="1" applyBorder="1" applyAlignment="1">
      <alignment horizontal="right" vertical="center" wrapText="1"/>
    </xf>
    <xf numFmtId="171" fontId="14" fillId="14" borderId="6" xfId="0" applyNumberFormat="1" applyFont="1" applyFill="1" applyBorder="1" applyAlignment="1">
      <alignment horizontal="center" vertical="center" wrapText="1"/>
    </xf>
    <xf numFmtId="0" fontId="14" fillId="0" borderId="6" xfId="0" applyFont="1" applyBorder="1" applyAlignment="1">
      <alignment wrapText="1"/>
    </xf>
    <xf numFmtId="171" fontId="14" fillId="0" borderId="6" xfId="0" applyNumberFormat="1" applyFont="1" applyBorder="1" applyAlignment="1">
      <alignment horizontal="right" vertical="center" wrapText="1"/>
    </xf>
    <xf numFmtId="0" fontId="14" fillId="2" borderId="238"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0" borderId="25" xfId="0" applyFont="1" applyBorder="1" applyAlignment="1" applyProtection="1">
      <alignment horizontal="center" vertical="center" wrapText="1"/>
      <protection locked="0"/>
    </xf>
    <xf numFmtId="2" fontId="14" fillId="3" borderId="25" xfId="0" applyNumberFormat="1" applyFont="1" applyFill="1" applyBorder="1" applyAlignment="1" applyProtection="1">
      <alignment horizontal="center" vertical="center" wrapText="1"/>
      <protection locked="0"/>
    </xf>
    <xf numFmtId="171" fontId="14" fillId="3" borderId="25" xfId="0" applyNumberFormat="1" applyFont="1" applyFill="1" applyBorder="1" applyAlignment="1" applyProtection="1">
      <alignment horizontal="right" vertical="center" wrapText="1"/>
      <protection locked="0"/>
    </xf>
    <xf numFmtId="171" fontId="14" fillId="14" borderId="25" xfId="0" applyNumberFormat="1" applyFont="1" applyFill="1" applyBorder="1" applyAlignment="1">
      <alignment horizontal="right" vertical="center" wrapText="1"/>
    </xf>
    <xf numFmtId="171" fontId="14" fillId="0" borderId="25" xfId="0" applyNumberFormat="1" applyFont="1" applyBorder="1" applyAlignment="1">
      <alignment horizontal="right" vertical="center" wrapText="1"/>
    </xf>
    <xf numFmtId="171" fontId="17" fillId="14" borderId="25" xfId="0" applyNumberFormat="1" applyFont="1" applyFill="1" applyBorder="1" applyAlignment="1">
      <alignment horizontal="right" vertical="center" wrapText="1"/>
    </xf>
    <xf numFmtId="0" fontId="14" fillId="0" borderId="57" xfId="0" applyFont="1" applyBorder="1" applyAlignment="1" applyProtection="1">
      <alignment horizontal="center" vertical="center" wrapText="1"/>
      <protection locked="0"/>
    </xf>
    <xf numFmtId="0" fontId="10" fillId="10" borderId="9" xfId="2" applyFont="1" applyFill="1" applyBorder="1" applyAlignment="1">
      <alignment horizontal="center" vertical="center" wrapText="1"/>
    </xf>
    <xf numFmtId="171" fontId="17" fillId="14" borderId="7" xfId="0" applyNumberFormat="1" applyFont="1" applyFill="1" applyBorder="1" applyAlignment="1">
      <alignment horizontal="right" vertical="center" wrapText="1"/>
    </xf>
    <xf numFmtId="0" fontId="14" fillId="14" borderId="25" xfId="0" applyFont="1" applyFill="1" applyBorder="1" applyAlignment="1">
      <alignment horizontal="center" vertical="center" wrapText="1"/>
    </xf>
    <xf numFmtId="171" fontId="14" fillId="14" borderId="25" xfId="0" applyNumberFormat="1" applyFont="1" applyFill="1" applyBorder="1" applyAlignment="1">
      <alignment horizontal="center" vertical="center" wrapText="1"/>
    </xf>
    <xf numFmtId="0" fontId="16" fillId="0" borderId="25" xfId="0" applyFont="1" applyBorder="1" applyAlignment="1">
      <alignment horizontal="center" vertical="center" wrapText="1"/>
    </xf>
    <xf numFmtId="0" fontId="14" fillId="3" borderId="25" xfId="0" applyFont="1" applyFill="1" applyBorder="1" applyAlignment="1">
      <alignment horizontal="center" vertical="center" wrapText="1"/>
    </xf>
    <xf numFmtId="0" fontId="10" fillId="14" borderId="25" xfId="0" applyFont="1" applyFill="1" applyBorder="1" applyAlignment="1">
      <alignment horizontal="center" vertical="center" wrapText="1"/>
    </xf>
    <xf numFmtId="171" fontId="17" fillId="14" borderId="40" xfId="0" applyNumberFormat="1" applyFont="1" applyFill="1" applyBorder="1" applyAlignment="1">
      <alignment horizontal="right" vertical="center" wrapText="1"/>
    </xf>
    <xf numFmtId="0" fontId="10" fillId="45" borderId="6" xfId="0" applyFont="1" applyFill="1" applyBorder="1" applyAlignment="1">
      <alignment horizontal="center" vertical="center" wrapText="1"/>
    </xf>
    <xf numFmtId="0" fontId="115" fillId="7" borderId="3" xfId="0" applyFont="1" applyFill="1" applyBorder="1" applyAlignment="1">
      <alignment horizontal="center" vertical="center" wrapText="1"/>
    </xf>
    <xf numFmtId="0" fontId="16" fillId="7" borderId="3" xfId="0" applyFont="1" applyFill="1" applyBorder="1" applyAlignment="1">
      <alignment horizontal="center" vertical="center" wrapText="1"/>
    </xf>
    <xf numFmtId="171" fontId="10" fillId="19" borderId="6" xfId="0" applyNumberFormat="1" applyFont="1" applyFill="1" applyBorder="1" applyAlignment="1">
      <alignment horizontal="center" vertical="center" wrapText="1"/>
    </xf>
    <xf numFmtId="171" fontId="29" fillId="10" borderId="6" xfId="2" applyNumberFormat="1" applyFont="1" applyFill="1" applyBorder="1" applyAlignment="1">
      <alignment horizontal="center" vertical="center" wrapText="1"/>
    </xf>
    <xf numFmtId="9" fontId="23" fillId="0" borderId="0" xfId="1" applyFont="1"/>
    <xf numFmtId="49" fontId="16" fillId="4" borderId="67" xfId="2" applyNumberFormat="1" applyFont="1" applyFill="1" applyBorder="1" applyAlignment="1">
      <alignment horizontal="center" vertical="center" wrapText="1"/>
    </xf>
    <xf numFmtId="9" fontId="16" fillId="4" borderId="67" xfId="2" applyNumberFormat="1" applyFont="1" applyFill="1" applyBorder="1" applyAlignment="1">
      <alignment horizontal="center" vertical="center" wrapText="1"/>
    </xf>
    <xf numFmtId="49" fontId="16" fillId="4" borderId="92" xfId="2" applyNumberFormat="1" applyFont="1" applyFill="1" applyBorder="1" applyAlignment="1">
      <alignment horizontal="center" vertical="center" wrapText="1"/>
    </xf>
    <xf numFmtId="49" fontId="16" fillId="8" borderId="2" xfId="2" applyNumberFormat="1" applyFont="1" applyFill="1" applyBorder="1" applyAlignment="1">
      <alignment horizontal="center" vertical="center" wrapText="1"/>
    </xf>
    <xf numFmtId="171" fontId="16" fillId="4" borderId="67" xfId="1" applyNumberFormat="1" applyFont="1" applyFill="1" applyBorder="1" applyAlignment="1" applyProtection="1">
      <alignment horizontal="right" vertical="center" wrapText="1"/>
    </xf>
    <xf numFmtId="49" fontId="16" fillId="4" borderId="64" xfId="1" applyNumberFormat="1" applyFont="1" applyFill="1" applyBorder="1" applyAlignment="1" applyProtection="1">
      <alignment horizontal="center" vertical="center" wrapText="1"/>
    </xf>
    <xf numFmtId="0" fontId="16" fillId="4" borderId="47" xfId="0" applyFont="1" applyFill="1" applyBorder="1" applyAlignment="1">
      <alignment horizontal="center" vertical="center" wrapText="1"/>
    </xf>
    <xf numFmtId="171" fontId="7" fillId="14" borderId="106" xfId="0" applyNumberFormat="1" applyFont="1" applyFill="1" applyBorder="1"/>
    <xf numFmtId="0" fontId="10" fillId="14" borderId="103" xfId="0" applyFont="1" applyFill="1" applyBorder="1"/>
    <xf numFmtId="171" fontId="10" fillId="14" borderId="106" xfId="6" applyNumberFormat="1" applyFont="1" applyFill="1" applyBorder="1" applyProtection="1"/>
    <xf numFmtId="4" fontId="14" fillId="14" borderId="6" xfId="2" applyNumberFormat="1" applyFont="1" applyFill="1" applyBorder="1" applyAlignment="1" applyProtection="1">
      <alignment horizontal="center" vertical="center" wrapText="1"/>
      <protection locked="0"/>
    </xf>
    <xf numFmtId="0" fontId="0" fillId="14" borderId="6" xfId="0" applyFill="1" applyBorder="1" applyAlignment="1">
      <alignment horizontal="center" vertical="center" wrapText="1"/>
    </xf>
    <xf numFmtId="9" fontId="0" fillId="14" borderId="6" xfId="1" applyFont="1" applyFill="1" applyBorder="1" applyAlignment="1">
      <alignment horizontal="center" vertical="center" wrapText="1"/>
    </xf>
    <xf numFmtId="171" fontId="0" fillId="14" borderId="6" xfId="0" applyNumberFormat="1" applyFill="1" applyBorder="1" applyAlignment="1">
      <alignment horizontal="center" vertical="center" wrapText="1"/>
    </xf>
    <xf numFmtId="0" fontId="14" fillId="0" borderId="6" xfId="0" applyFont="1" applyBorder="1" applyAlignment="1">
      <alignment horizontal="center" vertical="center" wrapText="1"/>
    </xf>
    <xf numFmtId="0" fontId="9" fillId="0" borderId="6" xfId="0" applyFont="1" applyBorder="1" applyAlignment="1">
      <alignment horizontal="center" vertical="center" wrapText="1"/>
    </xf>
    <xf numFmtId="0" fontId="9" fillId="14" borderId="6" xfId="0" applyFont="1" applyFill="1" applyBorder="1" applyAlignment="1">
      <alignment horizontal="center" vertical="center" wrapText="1"/>
    </xf>
    <xf numFmtId="0" fontId="0" fillId="3" borderId="6" xfId="0" applyFill="1" applyBorder="1" applyAlignment="1" applyProtection="1">
      <alignment horizontal="center" wrapText="1"/>
      <protection locked="0"/>
    </xf>
    <xf numFmtId="4" fontId="14" fillId="14" borderId="25" xfId="2" applyNumberFormat="1" applyFont="1" applyFill="1" applyBorder="1" applyAlignment="1" applyProtection="1">
      <alignment horizontal="center" vertical="center" wrapText="1"/>
      <protection locked="0"/>
    </xf>
    <xf numFmtId="0" fontId="0" fillId="3" borderId="25" xfId="0" applyFill="1" applyBorder="1" applyAlignment="1" applyProtection="1">
      <alignment horizontal="center" wrapText="1"/>
      <protection locked="0"/>
    </xf>
    <xf numFmtId="10" fontId="14" fillId="0" borderId="12" xfId="0" applyNumberFormat="1" applyFont="1" applyBorder="1" applyAlignment="1" applyProtection="1">
      <alignment horizontal="center" vertical="center" wrapText="1"/>
      <protection locked="0"/>
    </xf>
    <xf numFmtId="9" fontId="10" fillId="10" borderId="4" xfId="1" applyFont="1" applyFill="1" applyBorder="1" applyAlignment="1">
      <alignment horizontal="center" vertical="center" wrapText="1"/>
    </xf>
    <xf numFmtId="0" fontId="10" fillId="10" borderId="26" xfId="0" applyFont="1" applyFill="1" applyBorder="1" applyAlignment="1">
      <alignment horizontal="center" vertical="center" wrapText="1"/>
    </xf>
    <xf numFmtId="171" fontId="10" fillId="10" borderId="4" xfId="0" applyNumberFormat="1" applyFont="1" applyFill="1" applyBorder="1" applyAlignment="1">
      <alignment horizontal="center" vertical="center" wrapText="1"/>
    </xf>
    <xf numFmtId="0" fontId="0" fillId="14" borderId="10" xfId="0" applyFill="1" applyBorder="1" applyAlignment="1">
      <alignment horizontal="center" vertical="center" wrapText="1"/>
    </xf>
    <xf numFmtId="171" fontId="10" fillId="14" borderId="7" xfId="6" applyNumberFormat="1" applyFont="1" applyFill="1" applyBorder="1" applyAlignment="1">
      <alignment horizontal="center" vertical="center" wrapText="1"/>
    </xf>
    <xf numFmtId="0" fontId="0" fillId="14" borderId="27" xfId="0" applyFill="1" applyBorder="1" applyAlignment="1">
      <alignment horizontal="center" vertical="center" wrapText="1"/>
    </xf>
    <xf numFmtId="0" fontId="0" fillId="14" borderId="25" xfId="0" applyFill="1" applyBorder="1" applyAlignment="1">
      <alignment horizontal="center" vertical="center" wrapText="1"/>
    </xf>
    <xf numFmtId="9" fontId="0" fillId="14" borderId="25" xfId="1" applyFont="1" applyFill="1" applyBorder="1" applyAlignment="1">
      <alignment horizontal="center" vertical="center" wrapText="1"/>
    </xf>
    <xf numFmtId="171" fontId="0" fillId="14" borderId="25" xfId="0" applyNumberFormat="1" applyFill="1" applyBorder="1" applyAlignment="1">
      <alignment horizontal="center" vertical="center" wrapText="1"/>
    </xf>
    <xf numFmtId="0" fontId="14" fillId="0" borderId="25" xfId="0" applyFont="1" applyBorder="1" applyAlignment="1">
      <alignment horizontal="center" vertical="center" wrapText="1"/>
    </xf>
    <xf numFmtId="171" fontId="10" fillId="19" borderId="25" xfId="0" applyNumberFormat="1" applyFont="1" applyFill="1" applyBorder="1" applyAlignment="1">
      <alignment horizontal="center" vertical="center" wrapText="1"/>
    </xf>
    <xf numFmtId="0" fontId="9" fillId="0" borderId="25" xfId="0" applyFont="1" applyBorder="1" applyAlignment="1">
      <alignment horizontal="center" vertical="center" wrapText="1"/>
    </xf>
    <xf numFmtId="0" fontId="9" fillId="14" borderId="25" xfId="0" applyFont="1" applyFill="1" applyBorder="1" applyAlignment="1">
      <alignment horizontal="center" vertical="center" wrapText="1"/>
    </xf>
    <xf numFmtId="171" fontId="10" fillId="14" borderId="40" xfId="6" applyNumberFormat="1" applyFont="1" applyFill="1" applyBorder="1" applyAlignment="1">
      <alignment horizontal="center" vertical="center" wrapText="1"/>
    </xf>
    <xf numFmtId="0" fontId="29" fillId="10" borderId="42" xfId="2" applyFont="1" applyFill="1" applyBorder="1" applyAlignment="1">
      <alignment horizontal="center" vertical="center" wrapText="1"/>
    </xf>
    <xf numFmtId="0" fontId="16" fillId="10" borderId="67" xfId="0" applyFont="1" applyFill="1" applyBorder="1" applyAlignment="1">
      <alignment horizontal="center" vertical="center" wrapText="1"/>
    </xf>
    <xf numFmtId="0" fontId="29" fillId="10" borderId="47" xfId="0" applyFont="1" applyFill="1" applyBorder="1" applyAlignment="1">
      <alignment horizontal="center" vertical="center" wrapText="1"/>
    </xf>
    <xf numFmtId="49" fontId="16" fillId="4" borderId="31" xfId="0" applyNumberFormat="1" applyFont="1" applyFill="1" applyBorder="1" applyAlignment="1">
      <alignment horizontal="center" vertical="center" wrapText="1"/>
    </xf>
    <xf numFmtId="9" fontId="14" fillId="3" borderId="4" xfId="0" applyNumberFormat="1" applyFont="1" applyFill="1" applyBorder="1" applyAlignment="1" applyProtection="1">
      <alignment horizontal="center" vertical="center" wrapText="1"/>
      <protection locked="0"/>
    </xf>
    <xf numFmtId="49" fontId="14" fillId="3" borderId="4" xfId="0" applyNumberFormat="1" applyFont="1" applyFill="1" applyBorder="1" applyAlignment="1" applyProtection="1">
      <alignment horizontal="center" vertical="center" wrapText="1"/>
      <protection locked="0"/>
    </xf>
    <xf numFmtId="4" fontId="14" fillId="14" borderId="4" xfId="2" applyNumberFormat="1" applyFont="1" applyFill="1" applyBorder="1" applyAlignment="1" applyProtection="1">
      <alignment horizontal="center" vertical="center" wrapText="1"/>
      <protection locked="0"/>
    </xf>
    <xf numFmtId="171" fontId="14" fillId="3" borderId="4" xfId="6" applyNumberFormat="1" applyFont="1" applyFill="1" applyBorder="1" applyAlignment="1" applyProtection="1">
      <alignment horizontal="right" vertical="center" wrapText="1"/>
      <protection locked="0"/>
    </xf>
    <xf numFmtId="0" fontId="14" fillId="0" borderId="26" xfId="0" applyFont="1" applyBorder="1" applyAlignment="1" applyProtection="1">
      <alignment horizontal="center" vertical="center" wrapText="1"/>
      <protection locked="0"/>
    </xf>
    <xf numFmtId="0" fontId="0" fillId="14" borderId="9" xfId="0" applyFill="1" applyBorder="1" applyAlignment="1">
      <alignment horizontal="center" vertical="center" wrapText="1"/>
    </xf>
    <xf numFmtId="0" fontId="0" fillId="14" borderId="4" xfId="0" applyFill="1" applyBorder="1" applyAlignment="1">
      <alignment horizontal="center" vertical="center" wrapText="1"/>
    </xf>
    <xf numFmtId="9" fontId="0" fillId="14" borderId="4" xfId="1" applyFont="1" applyFill="1" applyBorder="1" applyAlignment="1">
      <alignment horizontal="center" vertical="center" wrapText="1"/>
    </xf>
    <xf numFmtId="171" fontId="0" fillId="14" borderId="4" xfId="0" applyNumberFormat="1" applyFill="1" applyBorder="1" applyAlignment="1">
      <alignment horizontal="center" vertical="center" wrapText="1"/>
    </xf>
    <xf numFmtId="0" fontId="14" fillId="0" borderId="4" xfId="0" applyFont="1" applyBorder="1" applyAlignment="1">
      <alignment horizontal="center" vertical="center" wrapText="1"/>
    </xf>
    <xf numFmtId="171" fontId="10" fillId="19" borderId="4" xfId="0" applyNumberFormat="1" applyFont="1" applyFill="1" applyBorder="1" applyAlignment="1">
      <alignment horizontal="center" vertical="center" wrapText="1"/>
    </xf>
    <xf numFmtId="0" fontId="9" fillId="0" borderId="4" xfId="0" applyFont="1" applyBorder="1" applyAlignment="1">
      <alignment horizontal="center" vertical="center" wrapText="1"/>
    </xf>
    <xf numFmtId="0" fontId="9" fillId="14" borderId="4" xfId="0" applyFont="1" applyFill="1" applyBorder="1" applyAlignment="1">
      <alignment horizontal="center" vertical="center" wrapText="1"/>
    </xf>
    <xf numFmtId="171" fontId="10" fillId="14" borderId="5" xfId="6" applyNumberFormat="1" applyFont="1" applyFill="1" applyBorder="1" applyAlignment="1" applyProtection="1">
      <alignment horizontal="center" vertical="center" wrapText="1"/>
    </xf>
    <xf numFmtId="0" fontId="16" fillId="4" borderId="48" xfId="2" applyFont="1" applyFill="1" applyBorder="1" applyAlignment="1">
      <alignment horizontal="center" vertical="center" wrapText="1"/>
    </xf>
    <xf numFmtId="0" fontId="16" fillId="4" borderId="67" xfId="2" applyFont="1" applyFill="1" applyBorder="1" applyAlignment="1">
      <alignment horizontal="center" vertical="center" wrapText="1"/>
    </xf>
    <xf numFmtId="49" fontId="16" fillId="4" borderId="67" xfId="0" applyNumberFormat="1" applyFont="1" applyFill="1" applyBorder="1" applyAlignment="1">
      <alignment horizontal="center" vertical="center" wrapText="1"/>
    </xf>
    <xf numFmtId="9" fontId="16" fillId="4" borderId="67" xfId="1" applyFont="1" applyFill="1" applyBorder="1" applyAlignment="1" applyProtection="1">
      <alignment horizontal="center" vertical="center" wrapText="1"/>
    </xf>
    <xf numFmtId="1" fontId="16" fillId="4" borderId="67" xfId="2" applyNumberFormat="1" applyFont="1" applyFill="1" applyBorder="1" applyAlignment="1">
      <alignment horizontal="center" vertical="center" wrapText="1"/>
    </xf>
    <xf numFmtId="0" fontId="16" fillId="4" borderId="38" xfId="0" applyFont="1" applyFill="1" applyBorder="1" applyAlignment="1">
      <alignment horizontal="center" vertical="center" wrapText="1"/>
    </xf>
    <xf numFmtId="171" fontId="10" fillId="46" borderId="222" xfId="0" applyNumberFormat="1" applyFont="1" applyFill="1" applyBorder="1" applyAlignment="1">
      <alignment horizontal="center" vertical="center" wrapText="1"/>
    </xf>
    <xf numFmtId="0" fontId="9" fillId="4" borderId="67" xfId="0" applyFont="1" applyFill="1" applyBorder="1" applyAlignment="1">
      <alignment horizontal="center" vertical="center" wrapText="1"/>
    </xf>
    <xf numFmtId="171" fontId="38" fillId="4" borderId="49" xfId="0" applyNumberFormat="1" applyFont="1" applyFill="1" applyBorder="1" applyAlignment="1">
      <alignment horizontal="right" vertical="center" wrapText="1"/>
    </xf>
    <xf numFmtId="0" fontId="115" fillId="10" borderId="6" xfId="0" applyFont="1" applyFill="1" applyBorder="1" applyAlignment="1">
      <alignment horizontal="center" vertical="center" wrapText="1"/>
    </xf>
    <xf numFmtId="0" fontId="14" fillId="3" borderId="36" xfId="0" applyFont="1" applyFill="1" applyBorder="1" applyAlignment="1" applyProtection="1">
      <alignment horizontal="center" vertical="center" wrapText="1"/>
      <protection locked="0"/>
    </xf>
    <xf numFmtId="0" fontId="16" fillId="7" borderId="2" xfId="0" applyFont="1" applyFill="1" applyBorder="1" applyAlignment="1" applyProtection="1">
      <alignment horizontal="center" vertical="center" wrapText="1"/>
      <protection locked="0"/>
    </xf>
    <xf numFmtId="0" fontId="16" fillId="10" borderId="2" xfId="0" applyFont="1" applyFill="1" applyBorder="1" applyAlignment="1" applyProtection="1">
      <alignment horizontal="center" vertical="center" wrapText="1"/>
      <protection locked="0"/>
    </xf>
    <xf numFmtId="171" fontId="10" fillId="14" borderId="104" xfId="0" applyNumberFormat="1" applyFont="1" applyFill="1" applyBorder="1" applyAlignment="1">
      <alignment wrapText="1"/>
    </xf>
    <xf numFmtId="171" fontId="10" fillId="14" borderId="106" xfId="0" applyNumberFormat="1" applyFont="1" applyFill="1" applyBorder="1" applyAlignment="1">
      <alignment wrapText="1"/>
    </xf>
    <xf numFmtId="0" fontId="14" fillId="2" borderId="11" xfId="0" applyFont="1" applyFill="1" applyBorder="1" applyAlignment="1">
      <alignment horizontal="center" vertical="center" wrapText="1"/>
    </xf>
    <xf numFmtId="0" fontId="114" fillId="0" borderId="6" xfId="0" applyFont="1" applyBorder="1" applyAlignment="1">
      <alignment horizontal="center" vertical="center"/>
    </xf>
    <xf numFmtId="0" fontId="29" fillId="7" borderId="42" xfId="2" applyFont="1" applyFill="1" applyBorder="1" applyAlignment="1">
      <alignment horizontal="center" vertical="center" wrapText="1"/>
    </xf>
    <xf numFmtId="0" fontId="22" fillId="7" borderId="92" xfId="0" applyFont="1" applyFill="1" applyBorder="1" applyAlignment="1">
      <alignment horizontal="center" vertical="center" wrapText="1"/>
    </xf>
    <xf numFmtId="0" fontId="22" fillId="7" borderId="2" xfId="0" applyFont="1" applyFill="1" applyBorder="1" applyAlignment="1">
      <alignment horizontal="center" vertical="center" wrapText="1"/>
    </xf>
    <xf numFmtId="0" fontId="116" fillId="7" borderId="2" xfId="0" applyFont="1" applyFill="1" applyBorder="1" applyAlignment="1">
      <alignment horizontal="center" vertical="center" wrapText="1"/>
    </xf>
    <xf numFmtId="0" fontId="29" fillId="7" borderId="2" xfId="0" applyFont="1" applyFill="1" applyBorder="1" applyAlignment="1">
      <alignment horizontal="center" vertical="center" wrapText="1"/>
    </xf>
    <xf numFmtId="0" fontId="16" fillId="7" borderId="2" xfId="0" applyFont="1" applyFill="1" applyBorder="1" applyAlignment="1">
      <alignment horizontal="center" vertical="center" wrapText="1"/>
    </xf>
    <xf numFmtId="49" fontId="16" fillId="4" borderId="54" xfId="0" applyNumberFormat="1" applyFont="1" applyFill="1" applyBorder="1" applyAlignment="1">
      <alignment horizontal="center" vertical="center" wrapText="1"/>
    </xf>
    <xf numFmtId="49" fontId="16" fillId="4" borderId="68" xfId="0" applyNumberFormat="1" applyFont="1" applyFill="1" applyBorder="1" applyAlignment="1">
      <alignment horizontal="center" vertical="center" wrapText="1"/>
    </xf>
    <xf numFmtId="0" fontId="16" fillId="4" borderId="4" xfId="1" applyNumberFormat="1" applyFont="1" applyFill="1" applyBorder="1" applyAlignment="1" applyProtection="1">
      <alignment horizontal="center" vertical="center" wrapText="1"/>
    </xf>
    <xf numFmtId="0" fontId="16" fillId="8" borderId="4" xfId="0" applyFont="1" applyFill="1" applyBorder="1" applyAlignment="1">
      <alignment horizontal="center" vertical="center" wrapText="1"/>
    </xf>
    <xf numFmtId="49" fontId="16" fillId="4" borderId="4" xfId="0" applyNumberFormat="1" applyFont="1" applyFill="1" applyBorder="1" applyAlignment="1">
      <alignment horizontal="center" vertical="center" wrapText="1"/>
    </xf>
    <xf numFmtId="9" fontId="16" fillId="4" borderId="4" xfId="1" applyFont="1" applyFill="1" applyBorder="1" applyAlignment="1" applyProtection="1">
      <alignment horizontal="center" vertical="center" wrapText="1"/>
    </xf>
    <xf numFmtId="2" fontId="16" fillId="4" borderId="4" xfId="1" applyNumberFormat="1" applyFont="1" applyFill="1" applyBorder="1" applyAlignment="1" applyProtection="1">
      <alignment horizontal="center" vertical="center" wrapText="1"/>
    </xf>
    <xf numFmtId="171" fontId="16" fillId="4" borderId="4" xfId="0" applyNumberFormat="1" applyFont="1" applyFill="1" applyBorder="1" applyAlignment="1">
      <alignment horizontal="right" vertical="center" wrapText="1"/>
    </xf>
    <xf numFmtId="171" fontId="16" fillId="4" borderId="4" xfId="1" applyNumberFormat="1" applyFont="1" applyFill="1" applyBorder="1" applyAlignment="1" applyProtection="1">
      <alignment horizontal="right" vertical="center" wrapText="1"/>
    </xf>
    <xf numFmtId="171" fontId="16" fillId="4" borderId="4" xfId="0" applyNumberFormat="1" applyFont="1" applyFill="1" applyBorder="1" applyAlignment="1">
      <alignment horizontal="center" vertical="center" wrapText="1"/>
    </xf>
    <xf numFmtId="171" fontId="17" fillId="4" borderId="4" xfId="0" applyNumberFormat="1" applyFont="1" applyFill="1" applyBorder="1" applyAlignment="1">
      <alignment horizontal="right" vertical="center" wrapText="1"/>
    </xf>
    <xf numFmtId="171" fontId="14" fillId="14" borderId="25" xfId="0" applyNumberFormat="1" applyFont="1" applyFill="1" applyBorder="1" applyAlignment="1" applyProtection="1">
      <alignment horizontal="right" vertical="center" wrapText="1"/>
      <protection locked="0"/>
    </xf>
    <xf numFmtId="171" fontId="14" fillId="0" borderId="25" xfId="0" applyNumberFormat="1" applyFont="1" applyBorder="1" applyAlignment="1" applyProtection="1">
      <alignment horizontal="right" vertical="center" wrapText="1"/>
      <protection locked="0"/>
    </xf>
    <xf numFmtId="0" fontId="29" fillId="7" borderId="92" xfId="0" applyFont="1" applyFill="1" applyBorder="1" applyAlignment="1">
      <alignment horizontal="center" vertical="center" wrapText="1"/>
    </xf>
    <xf numFmtId="0" fontId="16" fillId="4" borderId="26" xfId="0" applyFont="1" applyFill="1" applyBorder="1" applyAlignment="1">
      <alignment horizontal="center" vertical="center" wrapText="1"/>
    </xf>
    <xf numFmtId="0" fontId="114" fillId="0" borderId="12" xfId="0" applyFont="1" applyBorder="1" applyAlignment="1">
      <alignment vertical="center" wrapText="1"/>
    </xf>
    <xf numFmtId="0" fontId="22" fillId="10" borderId="2"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29" fillId="10" borderId="92" xfId="0" applyFont="1" applyFill="1" applyBorder="1" applyAlignment="1">
      <alignment horizontal="center" vertical="center" wrapText="1"/>
    </xf>
    <xf numFmtId="49" fontId="16" fillId="4" borderId="9" xfId="0" applyNumberFormat="1" applyFont="1" applyFill="1" applyBorder="1" applyAlignment="1">
      <alignment horizontal="center" vertical="center" wrapText="1"/>
    </xf>
    <xf numFmtId="0" fontId="16" fillId="4" borderId="4" xfId="0" applyFont="1" applyFill="1" applyBorder="1" applyAlignment="1">
      <alignment horizontal="center" vertical="center" wrapText="1"/>
    </xf>
    <xf numFmtId="171" fontId="17" fillId="4" borderId="31" xfId="0" applyNumberFormat="1" applyFont="1" applyFill="1" applyBorder="1" applyAlignment="1">
      <alignment horizontal="right" vertical="center" wrapText="1"/>
    </xf>
    <xf numFmtId="171" fontId="16" fillId="4" borderId="31" xfId="0" applyNumberFormat="1" applyFont="1" applyFill="1" applyBorder="1" applyAlignment="1">
      <alignment horizontal="center" vertical="center" wrapText="1"/>
    </xf>
    <xf numFmtId="0" fontId="10" fillId="18" borderId="31" xfId="0" applyFont="1" applyFill="1" applyBorder="1" applyAlignment="1">
      <alignment horizontal="center" vertical="center" wrapText="1"/>
    </xf>
    <xf numFmtId="171" fontId="17" fillId="4" borderId="32" xfId="0" applyNumberFormat="1" applyFont="1" applyFill="1" applyBorder="1" applyAlignment="1">
      <alignment horizontal="right" vertical="center" wrapText="1"/>
    </xf>
    <xf numFmtId="0" fontId="14" fillId="0" borderId="110" xfId="0" applyFont="1" applyBorder="1" applyAlignment="1">
      <alignment horizontal="right" vertical="center" wrapText="1"/>
    </xf>
    <xf numFmtId="0" fontId="10" fillId="14" borderId="239" xfId="0" applyFont="1" applyFill="1" applyBorder="1" applyAlignment="1">
      <alignment horizontal="center" vertical="center" wrapText="1"/>
    </xf>
    <xf numFmtId="0" fontId="10" fillId="14" borderId="240" xfId="0" applyFont="1" applyFill="1" applyBorder="1" applyAlignment="1">
      <alignment horizontal="center" vertical="center" wrapText="1"/>
    </xf>
    <xf numFmtId="0" fontId="14" fillId="3" borderId="57" xfId="0" applyFont="1" applyFill="1" applyBorder="1" applyAlignment="1" applyProtection="1">
      <alignment horizontal="center" vertical="center" wrapText="1"/>
      <protection locked="0"/>
    </xf>
    <xf numFmtId="0" fontId="16" fillId="14" borderId="225" xfId="0" applyFont="1" applyFill="1" applyBorder="1" applyAlignment="1">
      <alignment horizontal="center" vertical="center" wrapText="1"/>
    </xf>
    <xf numFmtId="0" fontId="16" fillId="14" borderId="241" xfId="0" applyFont="1" applyFill="1" applyBorder="1" applyAlignment="1">
      <alignment horizontal="center" vertical="center" wrapText="1"/>
    </xf>
    <xf numFmtId="171" fontId="14" fillId="14" borderId="71" xfId="0" applyNumberFormat="1" applyFont="1" applyFill="1" applyBorder="1" applyAlignment="1" applyProtection="1">
      <alignment horizontal="center" vertical="center" wrapText="1"/>
      <protection locked="0"/>
    </xf>
    <xf numFmtId="171" fontId="16" fillId="14" borderId="241" xfId="0" applyNumberFormat="1" applyFont="1" applyFill="1" applyBorder="1" applyAlignment="1">
      <alignment horizontal="center" vertical="center" wrapText="1"/>
    </xf>
    <xf numFmtId="171" fontId="14" fillId="14" borderId="77" xfId="0" applyNumberFormat="1" applyFont="1" applyFill="1" applyBorder="1" applyAlignment="1">
      <alignment horizontal="center" vertical="center" wrapText="1"/>
    </xf>
    <xf numFmtId="171" fontId="14" fillId="14" borderId="242" xfId="0" applyNumberFormat="1" applyFont="1" applyFill="1" applyBorder="1" applyAlignment="1">
      <alignment horizontal="center" vertical="center" wrapText="1"/>
    </xf>
    <xf numFmtId="171" fontId="14" fillId="14" borderId="241" xfId="0" applyNumberFormat="1" applyFont="1" applyFill="1" applyBorder="1" applyAlignment="1">
      <alignment horizontal="center" vertical="center" wrapText="1"/>
    </xf>
    <xf numFmtId="0" fontId="14" fillId="0" borderId="241" xfId="0" applyFont="1" applyBorder="1" applyAlignment="1">
      <alignment horizontal="center" vertical="center" wrapText="1"/>
    </xf>
    <xf numFmtId="171" fontId="16" fillId="14" borderId="244" xfId="0" applyNumberFormat="1" applyFont="1" applyFill="1" applyBorder="1" applyAlignment="1">
      <alignment horizontal="center" vertical="center" wrapText="1"/>
    </xf>
    <xf numFmtId="1" fontId="16" fillId="14" borderId="241" xfId="0" applyNumberFormat="1" applyFont="1" applyFill="1" applyBorder="1" applyAlignment="1">
      <alignment horizontal="center" vertical="center" wrapText="1"/>
    </xf>
    <xf numFmtId="171" fontId="0" fillId="14" borderId="245" xfId="6" applyNumberFormat="1" applyFont="1" applyFill="1" applyBorder="1" applyAlignment="1" applyProtection="1">
      <alignment horizontal="center" vertical="center" wrapText="1"/>
    </xf>
    <xf numFmtId="0" fontId="14" fillId="0" borderId="241" xfId="0" applyFont="1" applyBorder="1" applyAlignment="1">
      <alignment horizontal="right" vertical="center" wrapText="1"/>
    </xf>
    <xf numFmtId="0" fontId="10" fillId="14" borderId="31" xfId="0" applyFont="1" applyFill="1" applyBorder="1" applyAlignment="1">
      <alignment horizontal="center" vertical="center" wrapText="1"/>
    </xf>
    <xf numFmtId="0" fontId="10" fillId="14" borderId="243" xfId="0" applyFont="1" applyFill="1" applyBorder="1" applyAlignment="1">
      <alignment horizontal="center" vertical="center" wrapText="1"/>
    </xf>
    <xf numFmtId="171" fontId="10" fillId="14" borderId="4" xfId="0" applyNumberFormat="1" applyFont="1" applyFill="1" applyBorder="1" applyAlignment="1">
      <alignment horizontal="right" vertical="center" wrapText="1"/>
    </xf>
    <xf numFmtId="171" fontId="10" fillId="14" borderId="246" xfId="0" applyNumberFormat="1" applyFont="1" applyFill="1" applyBorder="1" applyAlignment="1">
      <alignment horizontal="right" vertical="center" wrapText="1"/>
    </xf>
    <xf numFmtId="171" fontId="10" fillId="14" borderId="247" xfId="0" applyNumberFormat="1" applyFont="1" applyFill="1" applyBorder="1" applyAlignment="1">
      <alignment horizontal="right" vertical="center" wrapText="1"/>
    </xf>
    <xf numFmtId="171" fontId="10" fillId="14" borderId="180" xfId="0" applyNumberFormat="1" applyFont="1" applyFill="1" applyBorder="1" applyAlignment="1">
      <alignment horizontal="right" vertical="center" wrapText="1"/>
    </xf>
    <xf numFmtId="171" fontId="16" fillId="14" borderId="248" xfId="0" applyNumberFormat="1" applyFont="1" applyFill="1" applyBorder="1" applyAlignment="1">
      <alignment horizontal="center" vertical="center" wrapText="1"/>
    </xf>
    <xf numFmtId="1" fontId="17" fillId="14" borderId="183" xfId="0" applyNumberFormat="1" applyFont="1" applyFill="1" applyBorder="1" applyAlignment="1">
      <alignment horizontal="center" vertical="center" wrapText="1"/>
    </xf>
    <xf numFmtId="171" fontId="0" fillId="14" borderId="249" xfId="6" applyNumberFormat="1" applyFont="1" applyFill="1" applyBorder="1" applyAlignment="1" applyProtection="1">
      <alignment horizontal="center" vertical="center" wrapText="1"/>
    </xf>
    <xf numFmtId="171" fontId="0" fillId="14" borderId="166" xfId="6" applyNumberFormat="1" applyFont="1" applyFill="1" applyBorder="1" applyAlignment="1" applyProtection="1">
      <alignment horizontal="center" vertical="center" wrapText="1"/>
    </xf>
    <xf numFmtId="0" fontId="14" fillId="0" borderId="183" xfId="0" applyFont="1" applyBorder="1" applyAlignment="1">
      <alignment horizontal="right" vertical="center" wrapText="1"/>
    </xf>
    <xf numFmtId="0" fontId="10" fillId="14" borderId="60" xfId="0" applyFont="1" applyFill="1" applyBorder="1" applyAlignment="1">
      <alignment horizontal="center" vertical="center" wrapText="1"/>
    </xf>
    <xf numFmtId="0" fontId="10" fillId="14" borderId="229" xfId="0" applyFont="1" applyFill="1" applyBorder="1" applyAlignment="1">
      <alignment horizontal="center" vertical="center" wrapText="1"/>
    </xf>
    <xf numFmtId="171" fontId="10" fillId="14" borderId="226" xfId="0" applyNumberFormat="1" applyFont="1" applyFill="1" applyBorder="1" applyAlignment="1">
      <alignment horizontal="right" vertical="center" wrapText="1"/>
    </xf>
    <xf numFmtId="171" fontId="10" fillId="14" borderId="231" xfId="0" applyNumberFormat="1" applyFont="1" applyFill="1" applyBorder="1" applyAlignment="1">
      <alignment horizontal="right" vertical="center" wrapText="1"/>
    </xf>
    <xf numFmtId="171" fontId="17" fillId="32" borderId="250" xfId="0" applyNumberFormat="1" applyFont="1" applyFill="1" applyBorder="1" applyAlignment="1">
      <alignment horizontal="right" vertical="center" wrapText="1"/>
    </xf>
    <xf numFmtId="171" fontId="17" fillId="32" borderId="228" xfId="0" applyNumberFormat="1" applyFont="1" applyFill="1" applyBorder="1" applyAlignment="1">
      <alignment horizontal="center" vertical="center" wrapText="1"/>
    </xf>
    <xf numFmtId="171" fontId="38" fillId="32" borderId="113" xfId="6" applyNumberFormat="1" applyFont="1" applyFill="1" applyBorder="1" applyAlignment="1" applyProtection="1">
      <alignment horizontal="center" vertical="center" wrapText="1"/>
    </xf>
    <xf numFmtId="1" fontId="17" fillId="32" borderId="113" xfId="6" applyNumberFormat="1" applyFont="1" applyFill="1" applyBorder="1" applyAlignment="1" applyProtection="1">
      <alignment horizontal="center" vertical="center" wrapText="1"/>
    </xf>
    <xf numFmtId="171" fontId="38" fillId="32" borderId="224" xfId="6" applyNumberFormat="1" applyFont="1" applyFill="1" applyBorder="1" applyAlignment="1" applyProtection="1">
      <alignment horizontal="center" vertical="center" wrapText="1"/>
    </xf>
    <xf numFmtId="171" fontId="38" fillId="32" borderId="251" xfId="6" applyNumberFormat="1" applyFont="1" applyFill="1" applyBorder="1" applyAlignment="1" applyProtection="1">
      <alignment horizontal="center" vertical="center" wrapText="1"/>
    </xf>
    <xf numFmtId="0" fontId="14" fillId="3" borderId="9" xfId="0" applyFont="1" applyFill="1" applyBorder="1" applyAlignment="1" applyProtection="1">
      <alignment horizontal="center" vertical="center" wrapText="1"/>
      <protection locked="0"/>
    </xf>
    <xf numFmtId="0" fontId="14" fillId="3" borderId="24" xfId="0" applyFont="1" applyFill="1" applyBorder="1" applyAlignment="1" applyProtection="1">
      <alignment horizontal="center" vertical="center" wrapText="1"/>
      <protection locked="0"/>
    </xf>
    <xf numFmtId="49" fontId="14" fillId="0" borderId="36" xfId="0" applyNumberFormat="1" applyFont="1" applyBorder="1" applyAlignment="1" applyProtection="1">
      <alignment horizontal="center" vertical="center" wrapText="1"/>
      <protection locked="0"/>
    </xf>
    <xf numFmtId="171" fontId="14" fillId="3" borderId="252" xfId="0" applyNumberFormat="1" applyFont="1" applyFill="1" applyBorder="1" applyAlignment="1" applyProtection="1">
      <alignment horizontal="right" vertical="center" wrapText="1"/>
      <protection locked="0"/>
    </xf>
    <xf numFmtId="171" fontId="14" fillId="14" borderId="242" xfId="0" applyNumberFormat="1" applyFont="1" applyFill="1" applyBorder="1" applyAlignment="1">
      <alignment horizontal="right" vertical="center" wrapText="1"/>
    </xf>
    <xf numFmtId="171" fontId="14" fillId="3" borderId="253" xfId="0" applyNumberFormat="1" applyFont="1" applyFill="1" applyBorder="1" applyAlignment="1" applyProtection="1">
      <alignment horizontal="right" vertical="center" wrapText="1"/>
      <protection locked="0"/>
    </xf>
    <xf numFmtId="0" fontId="14" fillId="3" borderId="254" xfId="0" applyFont="1" applyFill="1" applyBorder="1" applyAlignment="1" applyProtection="1">
      <alignment horizontal="center" vertical="center" wrapText="1"/>
      <protection locked="0"/>
    </xf>
    <xf numFmtId="171" fontId="10" fillId="14" borderId="241" xfId="0" applyNumberFormat="1" applyFont="1" applyFill="1" applyBorder="1" applyAlignment="1">
      <alignment horizontal="right" vertical="center" wrapText="1"/>
    </xf>
    <xf numFmtId="171" fontId="10" fillId="14" borderId="243" xfId="0" applyNumberFormat="1" applyFont="1" applyFill="1" applyBorder="1" applyAlignment="1">
      <alignment horizontal="right" vertical="center" wrapText="1"/>
    </xf>
    <xf numFmtId="171" fontId="10" fillId="0" borderId="244" xfId="0" applyNumberFormat="1" applyFont="1" applyBorder="1" applyAlignment="1">
      <alignment horizontal="center" vertical="center" wrapText="1"/>
    </xf>
    <xf numFmtId="171" fontId="0" fillId="14" borderId="241" xfId="6" applyNumberFormat="1" applyFont="1" applyFill="1" applyBorder="1" applyAlignment="1" applyProtection="1">
      <alignment horizontal="center" vertical="center" wrapText="1"/>
    </xf>
    <xf numFmtId="1" fontId="0" fillId="3" borderId="241" xfId="6" applyNumberFormat="1" applyFont="1" applyFill="1" applyBorder="1" applyAlignment="1" applyProtection="1">
      <alignment horizontal="center" vertical="center" wrapText="1"/>
      <protection locked="0"/>
    </xf>
    <xf numFmtId="1" fontId="0" fillId="0" borderId="22" xfId="6" applyNumberFormat="1" applyFont="1" applyFill="1" applyBorder="1" applyAlignment="1" applyProtection="1">
      <alignment horizontal="center" vertical="center" wrapText="1"/>
      <protection locked="0"/>
    </xf>
    <xf numFmtId="171" fontId="0" fillId="14" borderId="255" xfId="6" applyNumberFormat="1" applyFont="1" applyFill="1" applyBorder="1" applyAlignment="1" applyProtection="1">
      <alignment horizontal="center" vertical="center" wrapText="1"/>
    </xf>
    <xf numFmtId="0" fontId="14" fillId="0" borderId="36" xfId="0" applyFont="1" applyBorder="1" applyAlignment="1" applyProtection="1">
      <alignment horizontal="center" vertical="center" wrapText="1"/>
      <protection locked="0"/>
    </xf>
    <xf numFmtId="0" fontId="16" fillId="14" borderId="244" xfId="0" applyFont="1" applyFill="1" applyBorder="1" applyAlignment="1">
      <alignment horizontal="center" vertical="center" wrapText="1"/>
    </xf>
    <xf numFmtId="0" fontId="14" fillId="21" borderId="19" xfId="0" applyFont="1" applyFill="1" applyBorder="1" applyAlignment="1" applyProtection="1">
      <alignment horizontal="center" vertical="center" wrapText="1"/>
      <protection locked="0"/>
    </xf>
    <xf numFmtId="171" fontId="10" fillId="0" borderId="248" xfId="0" applyNumberFormat="1" applyFont="1" applyBorder="1" applyAlignment="1">
      <alignment horizontal="center" vertical="center" wrapText="1"/>
    </xf>
    <xf numFmtId="171" fontId="0" fillId="14" borderId="183" xfId="6" applyNumberFormat="1" applyFont="1" applyFill="1" applyBorder="1" applyAlignment="1" applyProtection="1">
      <alignment horizontal="center" vertical="center" wrapText="1"/>
    </xf>
    <xf numFmtId="1" fontId="0" fillId="3" borderId="183" xfId="6" applyNumberFormat="1" applyFont="1" applyFill="1" applyBorder="1" applyAlignment="1" applyProtection="1">
      <alignment horizontal="center" vertical="center" wrapText="1"/>
      <protection locked="0"/>
    </xf>
    <xf numFmtId="1" fontId="0" fillId="0" borderId="8" xfId="6" applyNumberFormat="1" applyFont="1" applyFill="1" applyBorder="1" applyAlignment="1" applyProtection="1">
      <alignment horizontal="center" vertical="center" wrapText="1"/>
      <protection locked="0"/>
    </xf>
    <xf numFmtId="171" fontId="0" fillId="14" borderId="256" xfId="6" applyNumberFormat="1" applyFont="1" applyFill="1" applyBorder="1" applyAlignment="1" applyProtection="1">
      <alignment horizontal="center" vertical="center" wrapText="1"/>
    </xf>
    <xf numFmtId="0" fontId="14" fillId="3" borderId="8" xfId="0" applyFont="1" applyFill="1" applyBorder="1" applyAlignment="1" applyProtection="1">
      <alignment vertical="center" wrapText="1"/>
      <protection locked="0"/>
    </xf>
    <xf numFmtId="0" fontId="16" fillId="14" borderId="248" xfId="0" applyFont="1" applyFill="1" applyBorder="1" applyAlignment="1">
      <alignment horizontal="center" vertical="center" wrapText="1"/>
    </xf>
    <xf numFmtId="0" fontId="14" fillId="14" borderId="50" xfId="0" applyFont="1" applyFill="1" applyBorder="1" applyAlignment="1">
      <alignment horizontal="center" vertical="center" wrapText="1"/>
    </xf>
    <xf numFmtId="0" fontId="14" fillId="3" borderId="31" xfId="2" applyFont="1" applyFill="1" applyBorder="1" applyAlignment="1" applyProtection="1">
      <alignment horizontal="center" vertical="center" wrapText="1"/>
      <protection locked="0"/>
    </xf>
    <xf numFmtId="171" fontId="14" fillId="3" borderId="31" xfId="2" applyNumberFormat="1" applyFont="1" applyFill="1" applyBorder="1" applyAlignment="1" applyProtection="1">
      <alignment horizontal="right" vertical="center" wrapText="1"/>
      <protection locked="0"/>
    </xf>
    <xf numFmtId="171" fontId="14" fillId="3" borderId="31" xfId="1" applyNumberFormat="1" applyFont="1" applyFill="1" applyBorder="1" applyAlignment="1" applyProtection="1">
      <alignment horizontal="right" vertical="center" wrapText="1"/>
      <protection locked="0"/>
    </xf>
    <xf numFmtId="1" fontId="14" fillId="0" borderId="67" xfId="0" applyNumberFormat="1" applyFont="1" applyBorder="1" applyAlignment="1">
      <alignment horizontal="center" vertical="center" wrapText="1"/>
    </xf>
    <xf numFmtId="10" fontId="14" fillId="3" borderId="31" xfId="1" applyNumberFormat="1" applyFont="1" applyFill="1" applyBorder="1" applyAlignment="1" applyProtection="1">
      <alignment horizontal="center" vertical="center" wrapText="1"/>
      <protection locked="0"/>
    </xf>
    <xf numFmtId="0" fontId="14" fillId="3" borderId="31" xfId="1" applyNumberFormat="1" applyFont="1" applyFill="1" applyBorder="1" applyAlignment="1" applyProtection="1">
      <alignment horizontal="center" vertical="center" wrapText="1"/>
      <protection locked="0"/>
    </xf>
    <xf numFmtId="171" fontId="14" fillId="14" borderId="3" xfId="7" applyNumberFormat="1" applyFont="1" applyFill="1" applyBorder="1" applyAlignment="1" applyProtection="1">
      <alignment horizontal="right" vertical="center" wrapText="1"/>
    </xf>
    <xf numFmtId="171" fontId="10" fillId="14" borderId="67" xfId="3" applyNumberFormat="1" applyFont="1" applyFill="1" applyBorder="1" applyAlignment="1" applyProtection="1">
      <alignment horizontal="right" vertical="center" wrapText="1"/>
    </xf>
    <xf numFmtId="0" fontId="14" fillId="3" borderId="90" xfId="0" applyFont="1" applyFill="1" applyBorder="1" applyAlignment="1" applyProtection="1">
      <alignment horizontal="center" vertical="center" wrapText="1"/>
      <protection locked="0"/>
    </xf>
    <xf numFmtId="171" fontId="10" fillId="14" borderId="6" xfId="3" applyNumberFormat="1" applyFont="1" applyFill="1" applyBorder="1" applyAlignment="1" applyProtection="1">
      <alignment horizontal="right" vertical="center" wrapText="1"/>
    </xf>
    <xf numFmtId="0" fontId="14" fillId="14" borderId="14" xfId="0" applyFont="1" applyFill="1" applyBorder="1" applyAlignment="1">
      <alignment horizontal="center" vertical="center" wrapText="1"/>
    </xf>
    <xf numFmtId="0" fontId="14" fillId="3" borderId="32" xfId="0" applyFont="1" applyFill="1" applyBorder="1" applyAlignment="1" applyProtection="1">
      <alignment horizontal="center" vertical="center" wrapText="1"/>
      <protection locked="0"/>
    </xf>
    <xf numFmtId="171" fontId="10" fillId="14" borderId="12" xfId="3" applyNumberFormat="1" applyFont="1" applyFill="1" applyBorder="1" applyAlignment="1" applyProtection="1">
      <alignment horizontal="right" vertical="center" wrapText="1"/>
    </xf>
    <xf numFmtId="165" fontId="14" fillId="14" borderId="67" xfId="0" applyNumberFormat="1" applyFont="1" applyFill="1" applyBorder="1" applyAlignment="1">
      <alignment horizontal="center" vertical="center" wrapText="1"/>
    </xf>
    <xf numFmtId="2" fontId="14" fillId="14" borderId="12" xfId="0" applyNumberFormat="1" applyFont="1" applyFill="1" applyBorder="1" applyAlignment="1">
      <alignment horizontal="center" vertical="center" wrapText="1"/>
    </xf>
    <xf numFmtId="0" fontId="16" fillId="0" borderId="15" xfId="0" applyFont="1" applyBorder="1" applyAlignment="1">
      <alignment horizontal="center" vertical="center" wrapText="1"/>
    </xf>
    <xf numFmtId="165" fontId="14" fillId="14" borderId="6" xfId="0" applyNumberFormat="1" applyFont="1" applyFill="1" applyBorder="1" applyAlignment="1">
      <alignment horizontal="center" vertical="center" wrapText="1"/>
    </xf>
    <xf numFmtId="0" fontId="0" fillId="14" borderId="31" xfId="0" applyFill="1" applyBorder="1" applyAlignment="1">
      <alignment horizontal="center" vertical="center" wrapText="1"/>
    </xf>
    <xf numFmtId="0" fontId="0" fillId="14" borderId="50" xfId="0" applyFill="1" applyBorder="1" applyAlignment="1">
      <alignment horizontal="center" vertical="center" wrapText="1"/>
    </xf>
    <xf numFmtId="0" fontId="16" fillId="14" borderId="237" xfId="0" applyFont="1" applyFill="1" applyBorder="1" applyAlignment="1">
      <alignment horizontal="center" vertical="center" wrapText="1"/>
    </xf>
    <xf numFmtId="0" fontId="16" fillId="14" borderId="111" xfId="0" applyFont="1" applyFill="1" applyBorder="1" applyAlignment="1">
      <alignment horizontal="center" vertical="center" wrapText="1"/>
    </xf>
    <xf numFmtId="0" fontId="16" fillId="14" borderId="221"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4" fillId="14" borderId="237" xfId="0" applyFont="1" applyFill="1" applyBorder="1" applyAlignment="1">
      <alignment horizontal="center" vertical="center" wrapText="1"/>
    </xf>
    <xf numFmtId="0" fontId="14" fillId="14" borderId="112" xfId="0" applyFont="1" applyFill="1" applyBorder="1" applyAlignment="1">
      <alignment horizontal="center" vertical="center" wrapText="1"/>
    </xf>
    <xf numFmtId="171" fontId="0" fillId="14" borderId="59" xfId="0" applyNumberFormat="1" applyFill="1" applyBorder="1" applyAlignment="1">
      <alignment horizontal="center" vertical="center" wrapText="1"/>
    </xf>
    <xf numFmtId="171" fontId="14" fillId="4" borderId="2" xfId="0" applyNumberFormat="1" applyFont="1" applyFill="1" applyBorder="1" applyAlignment="1">
      <alignment horizontal="right" vertical="center" wrapText="1"/>
    </xf>
    <xf numFmtId="0" fontId="14" fillId="14" borderId="241" xfId="0" applyFont="1" applyFill="1" applyBorder="1" applyAlignment="1" applyProtection="1">
      <alignment horizontal="center" vertical="center" wrapText="1"/>
      <protection locked="0"/>
    </xf>
    <xf numFmtId="171" fontId="14" fillId="14" borderId="24" xfId="0" applyNumberFormat="1" applyFont="1" applyFill="1" applyBorder="1" applyAlignment="1">
      <alignment horizontal="right" vertical="center" wrapText="1"/>
    </xf>
    <xf numFmtId="171" fontId="14" fillId="14" borderId="241" xfId="2" applyNumberFormat="1" applyFont="1" applyFill="1" applyBorder="1" applyAlignment="1">
      <alignment horizontal="center" vertical="center" wrapText="1"/>
    </xf>
    <xf numFmtId="0" fontId="14" fillId="0" borderId="241" xfId="0" applyFont="1" applyBorder="1" applyAlignment="1" applyProtection="1">
      <alignment horizontal="center" vertical="center"/>
      <protection locked="0"/>
    </xf>
    <xf numFmtId="0" fontId="14" fillId="14" borderId="183" xfId="0" applyFont="1" applyFill="1" applyBorder="1" applyAlignment="1" applyProtection="1">
      <alignment horizontal="center" vertical="center" wrapText="1"/>
      <protection locked="0"/>
    </xf>
    <xf numFmtId="171" fontId="14" fillId="14" borderId="62" xfId="0" applyNumberFormat="1" applyFont="1" applyFill="1" applyBorder="1" applyAlignment="1">
      <alignment horizontal="right" vertical="center" wrapText="1"/>
    </xf>
    <xf numFmtId="171" fontId="14" fillId="14" borderId="226" xfId="2" applyNumberFormat="1" applyFont="1" applyFill="1" applyBorder="1" applyAlignment="1">
      <alignment horizontal="center" vertical="center" wrapText="1"/>
    </xf>
    <xf numFmtId="0" fontId="14" fillId="0" borderId="183" xfId="0" applyFont="1" applyBorder="1" applyAlignment="1" applyProtection="1">
      <alignment horizontal="center" vertical="center"/>
      <protection locked="0"/>
    </xf>
    <xf numFmtId="171" fontId="14" fillId="14" borderId="183" xfId="2" applyNumberFormat="1" applyFont="1" applyFill="1" applyBorder="1" applyAlignment="1">
      <alignment horizontal="center" vertical="center" wrapText="1"/>
    </xf>
    <xf numFmtId="171" fontId="16" fillId="4" borderId="257" xfId="2" applyNumberFormat="1" applyFont="1" applyFill="1" applyBorder="1" applyAlignment="1">
      <alignment horizontal="center" vertical="center" wrapText="1"/>
    </xf>
    <xf numFmtId="0" fontId="14" fillId="0" borderId="243" xfId="0" applyFont="1" applyBorder="1" applyAlignment="1" applyProtection="1">
      <alignment horizontal="center" vertical="center" wrapText="1"/>
      <protection locked="0"/>
    </xf>
    <xf numFmtId="0" fontId="14" fillId="0" borderId="110" xfId="0" applyFont="1" applyBorder="1" applyAlignment="1" applyProtection="1">
      <alignment horizontal="center" vertical="center" wrapText="1"/>
      <protection locked="0"/>
    </xf>
    <xf numFmtId="0" fontId="14" fillId="0" borderId="214" xfId="0" applyFont="1" applyBorder="1" applyAlignment="1" applyProtection="1">
      <alignment horizontal="center" vertical="center" wrapText="1"/>
      <protection locked="0"/>
    </xf>
    <xf numFmtId="0" fontId="0" fillId="14" borderId="225" xfId="0" applyFill="1" applyBorder="1" applyAlignment="1">
      <alignment horizontal="center" vertical="center" wrapText="1"/>
    </xf>
    <xf numFmtId="0" fontId="0" fillId="14" borderId="258" xfId="0" applyFill="1" applyBorder="1" applyAlignment="1">
      <alignment horizontal="center" vertical="center" wrapText="1"/>
    </xf>
    <xf numFmtId="171" fontId="0" fillId="14" borderId="246" xfId="0" applyNumberFormat="1" applyFill="1" applyBorder="1" applyAlignment="1">
      <alignment horizontal="center" vertical="center" wrapText="1"/>
    </xf>
    <xf numFmtId="0" fontId="0" fillId="14" borderId="241" xfId="0" applyFill="1" applyBorder="1" applyAlignment="1">
      <alignment horizontal="center" vertical="center" wrapText="1"/>
    </xf>
    <xf numFmtId="171" fontId="0" fillId="14" borderId="241" xfId="0" applyNumberFormat="1" applyFill="1" applyBorder="1" applyAlignment="1">
      <alignment horizontal="center" vertical="center" wrapText="1"/>
    </xf>
    <xf numFmtId="0" fontId="9" fillId="0" borderId="241" xfId="0" applyFont="1" applyBorder="1" applyAlignment="1">
      <alignment horizontal="center" vertical="center" wrapText="1"/>
    </xf>
    <xf numFmtId="171" fontId="38" fillId="14" borderId="247" xfId="0" applyNumberFormat="1" applyFont="1" applyFill="1" applyBorder="1" applyAlignment="1">
      <alignment horizontal="center" vertical="center" wrapText="1"/>
    </xf>
    <xf numFmtId="0" fontId="0" fillId="14" borderId="238" xfId="0" applyFill="1" applyBorder="1" applyAlignment="1">
      <alignment horizontal="center" vertical="center" wrapText="1"/>
    </xf>
    <xf numFmtId="171" fontId="38" fillId="14" borderId="180" xfId="0" applyNumberFormat="1" applyFont="1" applyFill="1" applyBorder="1" applyAlignment="1">
      <alignment horizontal="center" vertical="center" wrapText="1"/>
    </xf>
    <xf numFmtId="0" fontId="0" fillId="14" borderId="187" xfId="0" applyFill="1" applyBorder="1" applyAlignment="1">
      <alignment horizontal="center" vertical="center" wrapText="1"/>
    </xf>
    <xf numFmtId="0" fontId="0" fillId="14" borderId="188" xfId="0" applyFill="1" applyBorder="1" applyAlignment="1">
      <alignment horizontal="center" vertical="center" wrapText="1"/>
    </xf>
    <xf numFmtId="171" fontId="0" fillId="14" borderId="60" xfId="0" applyNumberFormat="1" applyFill="1" applyBorder="1" applyAlignment="1">
      <alignment horizontal="center" vertical="center" wrapText="1"/>
    </xf>
    <xf numFmtId="171" fontId="0" fillId="14" borderId="233" xfId="0" applyNumberFormat="1" applyFill="1" applyBorder="1" applyAlignment="1">
      <alignment horizontal="center" vertical="center" wrapText="1"/>
    </xf>
    <xf numFmtId="0" fontId="0" fillId="14" borderId="183" xfId="0" applyFill="1" applyBorder="1" applyAlignment="1">
      <alignment horizontal="center" vertical="center" wrapText="1"/>
    </xf>
    <xf numFmtId="171" fontId="0" fillId="14" borderId="183" xfId="0" applyNumberFormat="1" applyFill="1" applyBorder="1" applyAlignment="1">
      <alignment horizontal="center" vertical="center" wrapText="1"/>
    </xf>
    <xf numFmtId="0" fontId="9" fillId="0" borderId="214" xfId="0" applyFont="1" applyBorder="1" applyAlignment="1">
      <alignment horizontal="center" vertical="center" wrapText="1"/>
    </xf>
    <xf numFmtId="0" fontId="9" fillId="14" borderId="25" xfId="0" quotePrefix="1" applyFont="1" applyFill="1" applyBorder="1" applyAlignment="1">
      <alignment horizontal="center" vertical="center" wrapText="1"/>
    </xf>
    <xf numFmtId="171" fontId="38" fillId="14" borderId="227" xfId="0" applyNumberFormat="1" applyFont="1" applyFill="1" applyBorder="1" applyAlignment="1">
      <alignment horizontal="center" vertical="center" wrapText="1"/>
    </xf>
    <xf numFmtId="0" fontId="10" fillId="45" borderId="3" xfId="0" applyFont="1" applyFill="1" applyBorder="1" applyAlignment="1" applyProtection="1">
      <alignment horizontal="center" vertical="center" wrapText="1"/>
      <protection locked="0"/>
    </xf>
    <xf numFmtId="0" fontId="16" fillId="45" borderId="6" xfId="0" applyFont="1" applyFill="1" applyBorder="1" applyAlignment="1" applyProtection="1">
      <alignment horizontal="center" vertical="center" wrapText="1"/>
      <protection locked="0"/>
    </xf>
    <xf numFmtId="0" fontId="16" fillId="8" borderId="2" xfId="0" applyFont="1" applyFill="1" applyBorder="1" applyAlignment="1" applyProtection="1">
      <alignment horizontal="center" vertical="center" wrapText="1"/>
      <protection locked="0"/>
    </xf>
    <xf numFmtId="0" fontId="10" fillId="7" borderId="3" xfId="0" applyFont="1" applyFill="1" applyBorder="1" applyAlignment="1" applyProtection="1">
      <alignment horizontal="center" vertical="center" wrapText="1"/>
      <protection locked="0"/>
    </xf>
    <xf numFmtId="0" fontId="10" fillId="10" borderId="3" xfId="0" applyFont="1" applyFill="1" applyBorder="1" applyAlignment="1" applyProtection="1">
      <alignment horizontal="center" vertical="center" wrapText="1"/>
      <protection locked="0"/>
    </xf>
    <xf numFmtId="0" fontId="16" fillId="45" borderId="6" xfId="0" applyFont="1" applyFill="1" applyBorder="1" applyAlignment="1">
      <alignment horizontal="center" vertical="center" wrapText="1"/>
    </xf>
    <xf numFmtId="171" fontId="16" fillId="14" borderId="6" xfId="0" applyNumberFormat="1" applyFont="1" applyFill="1" applyBorder="1" applyAlignment="1">
      <alignment horizontal="center" vertical="center" wrapText="1"/>
    </xf>
    <xf numFmtId="0" fontId="10" fillId="14" borderId="62" xfId="0" applyFont="1" applyFill="1" applyBorder="1" applyAlignment="1">
      <alignment wrapText="1"/>
    </xf>
    <xf numFmtId="2" fontId="0" fillId="0" borderId="6" xfId="0" applyNumberFormat="1" applyBorder="1" applyAlignment="1" applyProtection="1">
      <alignment horizontal="center" vertical="center" wrapText="1"/>
      <protection locked="0"/>
    </xf>
    <xf numFmtId="171" fontId="8" fillId="0" borderId="0" xfId="0" applyNumberFormat="1" applyFont="1" applyAlignment="1">
      <alignment horizontal="left" vertical="center" wrapText="1"/>
    </xf>
    <xf numFmtId="171" fontId="12" fillId="0" borderId="0" xfId="0" applyNumberFormat="1" applyFont="1" applyAlignment="1">
      <alignment horizontal="left" vertical="center" wrapText="1"/>
    </xf>
    <xf numFmtId="171" fontId="10" fillId="45" borderId="6" xfId="0" applyNumberFormat="1" applyFont="1" applyFill="1" applyBorder="1" applyAlignment="1">
      <alignment horizontal="center" vertical="center" wrapText="1"/>
    </xf>
    <xf numFmtId="171" fontId="16" fillId="45" borderId="6" xfId="0" applyNumberFormat="1" applyFont="1" applyFill="1" applyBorder="1" applyAlignment="1">
      <alignment horizontal="center" vertical="center" wrapText="1"/>
    </xf>
    <xf numFmtId="171" fontId="14" fillId="3" borderId="12" xfId="0" applyNumberFormat="1" applyFont="1" applyFill="1" applyBorder="1" applyAlignment="1" applyProtection="1">
      <alignment horizontal="center" vertical="center" wrapText="1"/>
      <protection locked="0"/>
    </xf>
    <xf numFmtId="171" fontId="10" fillId="14" borderId="51" xfId="0" applyNumberFormat="1" applyFont="1" applyFill="1" applyBorder="1" applyAlignment="1">
      <alignment wrapText="1"/>
    </xf>
    <xf numFmtId="171" fontId="30" fillId="0" borderId="0" xfId="0" applyNumberFormat="1" applyFont="1" applyAlignment="1">
      <alignment vertical="center" wrapText="1"/>
    </xf>
    <xf numFmtId="171" fontId="14" fillId="0" borderId="0" xfId="0" applyNumberFormat="1" applyFont="1" applyAlignment="1">
      <alignment vertical="center" wrapText="1"/>
    </xf>
    <xf numFmtId="171" fontId="14" fillId="14" borderId="15" xfId="0" applyNumberFormat="1" applyFont="1" applyFill="1" applyBorder="1" applyAlignment="1">
      <alignment horizontal="center" vertical="center" wrapText="1"/>
    </xf>
    <xf numFmtId="171" fontId="16" fillId="4" borderId="92" xfId="1" applyNumberFormat="1" applyFont="1" applyFill="1" applyBorder="1" applyAlignment="1">
      <alignment horizontal="center" vertical="center" wrapText="1"/>
    </xf>
    <xf numFmtId="0" fontId="14" fillId="14" borderId="6" xfId="0" applyFont="1" applyFill="1" applyBorder="1" applyAlignment="1">
      <alignment horizontal="right" vertical="center" wrapText="1"/>
    </xf>
    <xf numFmtId="171" fontId="10" fillId="14" borderId="6" xfId="0" applyNumberFormat="1" applyFont="1" applyFill="1" applyBorder="1" applyAlignment="1">
      <alignment horizontal="center" vertical="center" wrapText="1"/>
    </xf>
    <xf numFmtId="171" fontId="16" fillId="8" borderId="2" xfId="0" applyNumberFormat="1" applyFont="1" applyFill="1" applyBorder="1" applyAlignment="1">
      <alignment horizontal="center" vertical="center" wrapText="1"/>
    </xf>
    <xf numFmtId="2" fontId="16" fillId="8" borderId="2" xfId="0" applyNumberFormat="1" applyFont="1" applyFill="1" applyBorder="1" applyAlignment="1">
      <alignment horizontal="center" vertical="center" wrapText="1"/>
    </xf>
    <xf numFmtId="10" fontId="14" fillId="3" borderId="36" xfId="0" applyNumberFormat="1" applyFont="1" applyFill="1" applyBorder="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171" fontId="14" fillId="0" borderId="4" xfId="0" applyNumberFormat="1" applyFont="1" applyBorder="1" applyAlignment="1" applyProtection="1">
      <alignment horizontal="center" vertical="center" wrapText="1"/>
      <protection locked="0"/>
    </xf>
    <xf numFmtId="171" fontId="16" fillId="14" borderId="4" xfId="0" applyNumberFormat="1" applyFont="1" applyFill="1" applyBorder="1" applyAlignment="1">
      <alignment horizontal="center" vertical="center" wrapText="1"/>
    </xf>
    <xf numFmtId="171" fontId="14" fillId="3" borderId="26" xfId="0" applyNumberFormat="1" applyFont="1" applyFill="1" applyBorder="1" applyAlignment="1" applyProtection="1">
      <alignment horizontal="center" vertical="center" wrapText="1"/>
      <protection locked="0"/>
    </xf>
    <xf numFmtId="2" fontId="0" fillId="0" borderId="4" xfId="0" applyNumberFormat="1" applyBorder="1" applyAlignment="1" applyProtection="1">
      <alignment horizontal="center" vertical="center" wrapText="1"/>
      <protection locked="0"/>
    </xf>
    <xf numFmtId="171" fontId="14" fillId="14" borderId="4" xfId="0" applyNumberFormat="1" applyFont="1" applyFill="1" applyBorder="1" applyAlignment="1">
      <alignment horizontal="center" vertical="center" wrapText="1"/>
    </xf>
    <xf numFmtId="10" fontId="14" fillId="3" borderId="8" xfId="0" applyNumberFormat="1" applyFont="1" applyFill="1" applyBorder="1" applyAlignment="1" applyProtection="1">
      <alignment horizontal="center" vertical="center" wrapText="1"/>
      <protection locked="0"/>
    </xf>
    <xf numFmtId="171" fontId="16" fillId="14" borderId="25" xfId="0" applyNumberFormat="1" applyFont="1" applyFill="1" applyBorder="1" applyAlignment="1">
      <alignment horizontal="center" vertical="center" wrapText="1"/>
    </xf>
    <xf numFmtId="171" fontId="14" fillId="3" borderId="57" xfId="0" applyNumberFormat="1" applyFont="1" applyFill="1" applyBorder="1" applyAlignment="1" applyProtection="1">
      <alignment horizontal="center" vertical="center" wrapText="1"/>
      <protection locked="0"/>
    </xf>
    <xf numFmtId="171" fontId="14" fillId="14" borderId="13" xfId="0" applyNumberFormat="1" applyFont="1" applyFill="1" applyBorder="1" applyAlignment="1">
      <alignment horizontal="center" vertical="center" wrapText="1"/>
    </xf>
    <xf numFmtId="171" fontId="14" fillId="14" borderId="4" xfId="6" applyNumberFormat="1" applyFont="1" applyFill="1" applyBorder="1" applyAlignment="1">
      <alignment horizontal="center" vertical="center" wrapText="1"/>
    </xf>
    <xf numFmtId="0" fontId="14" fillId="14" borderId="4" xfId="0" applyFont="1" applyFill="1" applyBorder="1" applyAlignment="1">
      <alignment horizontal="right" vertical="center" wrapText="1"/>
    </xf>
    <xf numFmtId="171" fontId="10" fillId="14" borderId="5" xfId="0" applyNumberFormat="1" applyFont="1" applyFill="1" applyBorder="1" applyAlignment="1">
      <alignment horizontal="center" vertical="center" wrapText="1"/>
    </xf>
    <xf numFmtId="171" fontId="10" fillId="14" borderId="7" xfId="0" applyNumberFormat="1" applyFont="1" applyFill="1" applyBorder="1" applyAlignment="1">
      <alignment horizontal="center" vertical="center" wrapText="1"/>
    </xf>
    <xf numFmtId="171" fontId="14" fillId="14" borderId="25" xfId="6" applyNumberFormat="1" applyFont="1" applyFill="1" applyBorder="1" applyAlignment="1">
      <alignment horizontal="center" vertical="center" wrapText="1"/>
    </xf>
    <xf numFmtId="0" fontId="14" fillId="14" borderId="25" xfId="0" applyFont="1" applyFill="1" applyBorder="1" applyAlignment="1">
      <alignment horizontal="right" vertical="center" wrapText="1"/>
    </xf>
    <xf numFmtId="171" fontId="10" fillId="14" borderId="40" xfId="0" applyNumberFormat="1" applyFont="1" applyFill="1" applyBorder="1" applyAlignment="1">
      <alignment horizontal="center" vertical="center" wrapText="1"/>
    </xf>
    <xf numFmtId="165" fontId="106" fillId="16" borderId="54" xfId="0" applyNumberFormat="1" applyFont="1" applyFill="1" applyBorder="1" applyAlignment="1">
      <alignment horizontal="right" vertical="center" wrapText="1"/>
    </xf>
    <xf numFmtId="171" fontId="106" fillId="15" borderId="21" xfId="0" applyNumberFormat="1" applyFont="1" applyFill="1" applyBorder="1" applyAlignment="1">
      <alignment horizontal="right" vertical="center" wrapText="1"/>
    </xf>
    <xf numFmtId="0" fontId="18" fillId="14" borderId="259" xfId="0" applyFont="1" applyFill="1" applyBorder="1" applyAlignment="1" applyProtection="1">
      <alignment vertical="center" wrapText="1"/>
      <protection hidden="1"/>
    </xf>
    <xf numFmtId="0" fontId="39" fillId="14" borderId="260" xfId="0" applyFont="1" applyFill="1" applyBorder="1" applyAlignment="1" applyProtection="1">
      <alignment horizontal="center" vertical="center" wrapText="1"/>
      <protection hidden="1"/>
    </xf>
    <xf numFmtId="0" fontId="18" fillId="14" borderId="39" xfId="0" applyFont="1" applyFill="1" applyBorder="1" applyAlignment="1">
      <alignment vertical="top" wrapText="1"/>
    </xf>
    <xf numFmtId="0" fontId="18" fillId="14" borderId="32" xfId="0" applyFont="1" applyFill="1" applyBorder="1" applyAlignment="1">
      <alignment horizontal="center" vertical="center" wrapText="1"/>
    </xf>
    <xf numFmtId="171" fontId="18" fillId="14" borderId="7" xfId="0" applyNumberFormat="1" applyFont="1" applyFill="1" applyBorder="1" applyAlignment="1">
      <alignment horizontal="center" vertical="center" wrapText="1"/>
    </xf>
    <xf numFmtId="0" fontId="18" fillId="14" borderId="40" xfId="0" applyFont="1" applyFill="1" applyBorder="1" applyAlignment="1">
      <alignment horizontal="center" vertical="center" wrapText="1"/>
    </xf>
    <xf numFmtId="0" fontId="18" fillId="14" borderId="10" xfId="0" applyFont="1" applyFill="1" applyBorder="1" applyAlignment="1">
      <alignment horizontal="left" vertical="center" wrapText="1"/>
    </xf>
    <xf numFmtId="0" fontId="18" fillId="14" borderId="27" xfId="0" applyFont="1" applyFill="1" applyBorder="1" applyAlignment="1">
      <alignment horizontal="left" vertical="center" wrapText="1"/>
    </xf>
    <xf numFmtId="165" fontId="0" fillId="14" borderId="25" xfId="0" applyNumberFormat="1" applyFill="1" applyBorder="1" applyAlignment="1">
      <alignment horizontal="right" vertical="center"/>
    </xf>
    <xf numFmtId="171" fontId="82" fillId="0" borderId="2" xfId="0" applyNumberFormat="1" applyFont="1" applyBorder="1" applyAlignment="1" applyProtection="1">
      <alignment horizontal="center" vertical="center"/>
      <protection hidden="1"/>
    </xf>
    <xf numFmtId="171" fontId="82" fillId="0" borderId="60" xfId="0" applyNumberFormat="1" applyFont="1" applyBorder="1" applyAlignment="1" applyProtection="1">
      <alignment horizontal="center" vertical="center"/>
      <protection hidden="1"/>
    </xf>
    <xf numFmtId="0" fontId="88" fillId="29" borderId="261" xfId="0" applyFont="1" applyFill="1" applyBorder="1" applyAlignment="1">
      <alignment horizontal="center" vertical="center" wrapText="1"/>
    </xf>
    <xf numFmtId="171" fontId="82" fillId="0" borderId="10" xfId="0" applyNumberFormat="1" applyFont="1" applyBorder="1" applyAlignment="1" applyProtection="1">
      <alignment horizontal="center" vertical="center"/>
      <protection hidden="1"/>
    </xf>
    <xf numFmtId="171" fontId="82" fillId="0" borderId="27" xfId="0" applyNumberFormat="1" applyFont="1" applyBorder="1" applyAlignment="1" applyProtection="1">
      <alignment horizontal="center" vertical="center"/>
      <protection hidden="1"/>
    </xf>
    <xf numFmtId="165" fontId="0" fillId="14" borderId="12" xfId="0" quotePrefix="1" applyNumberFormat="1" applyFill="1" applyBorder="1" applyAlignment="1">
      <alignment horizontal="right" vertical="center"/>
    </xf>
    <xf numFmtId="10" fontId="0" fillId="14" borderId="15" xfId="1" quotePrefix="1" applyNumberFormat="1" applyFont="1" applyFill="1" applyBorder="1" applyAlignment="1">
      <alignment horizontal="center" vertical="center"/>
    </xf>
    <xf numFmtId="165" fontId="0" fillId="14" borderId="6" xfId="0" applyNumberFormat="1" applyFill="1" applyBorder="1" applyAlignment="1">
      <alignment horizontal="right" vertical="center"/>
    </xf>
    <xf numFmtId="10" fontId="0" fillId="14" borderId="4" xfId="1" applyNumberFormat="1" applyFont="1" applyFill="1" applyBorder="1" applyAlignment="1">
      <alignment horizontal="center" vertical="center"/>
    </xf>
    <xf numFmtId="167" fontId="0" fillId="14" borderId="22" xfId="6" applyFont="1" applyFill="1" applyBorder="1" applyAlignment="1">
      <alignment horizontal="center" vertical="center"/>
    </xf>
    <xf numFmtId="0" fontId="14" fillId="3" borderId="6" xfId="1" applyNumberFormat="1" applyFont="1" applyFill="1" applyBorder="1" applyAlignment="1" applyProtection="1">
      <alignment horizontal="center" vertical="center" wrapText="1"/>
    </xf>
    <xf numFmtId="171" fontId="82" fillId="14" borderId="15" xfId="1" applyNumberFormat="1" applyFont="1" applyFill="1" applyBorder="1" applyAlignment="1" applyProtection="1">
      <alignment horizontal="center" vertical="center"/>
      <protection hidden="1"/>
    </xf>
    <xf numFmtId="167" fontId="0" fillId="14" borderId="6" xfId="6" applyFont="1" applyFill="1" applyBorder="1" applyAlignment="1">
      <alignment horizontal="center" vertical="center"/>
    </xf>
    <xf numFmtId="0" fontId="10" fillId="7" borderId="59" xfId="0" applyFont="1" applyFill="1" applyBorder="1" applyAlignment="1">
      <alignment horizontal="center" vertical="center" wrapText="1"/>
    </xf>
    <xf numFmtId="0" fontId="14" fillId="3" borderId="262" xfId="0" applyFont="1" applyFill="1" applyBorder="1" applyAlignment="1" applyProtection="1">
      <alignment horizontal="center" vertical="center" wrapText="1"/>
      <protection locked="0"/>
    </xf>
    <xf numFmtId="171" fontId="14" fillId="3" borderId="262" xfId="0" applyNumberFormat="1" applyFont="1" applyFill="1" applyBorder="1" applyAlignment="1" applyProtection="1">
      <alignment horizontal="right" vertical="center" wrapText="1"/>
      <protection locked="0"/>
    </xf>
    <xf numFmtId="49" fontId="14" fillId="0" borderId="262" xfId="0" applyNumberFormat="1" applyFont="1" applyBorder="1" applyAlignment="1" applyProtection="1">
      <alignment horizontal="center" vertical="center" wrapText="1"/>
      <protection locked="0"/>
    </xf>
    <xf numFmtId="0" fontId="14" fillId="14" borderId="57" xfId="0" applyFont="1" applyFill="1" applyBorder="1" applyAlignment="1">
      <alignment horizontal="center" vertical="center" wrapText="1"/>
    </xf>
    <xf numFmtId="0" fontId="10" fillId="10" borderId="24" xfId="0" applyFont="1" applyFill="1" applyBorder="1" applyAlignment="1">
      <alignment horizontal="center" vertical="center" wrapText="1"/>
    </xf>
    <xf numFmtId="0" fontId="14" fillId="14" borderId="262" xfId="0" applyFont="1" applyFill="1" applyBorder="1" applyAlignment="1">
      <alignment horizontal="center" vertical="center" wrapText="1"/>
    </xf>
    <xf numFmtId="171" fontId="14" fillId="14" borderId="264" xfId="0" applyNumberFormat="1" applyFont="1" applyFill="1" applyBorder="1" applyAlignment="1">
      <alignment horizontal="right" vertical="center" wrapText="1"/>
    </xf>
    <xf numFmtId="171" fontId="14" fillId="0" borderId="263" xfId="0" applyNumberFormat="1" applyFont="1" applyBorder="1" applyAlignment="1">
      <alignment horizontal="right" vertical="center" wrapText="1"/>
    </xf>
    <xf numFmtId="171" fontId="14" fillId="3" borderId="263" xfId="0" applyNumberFormat="1" applyFont="1" applyFill="1" applyBorder="1" applyAlignment="1" applyProtection="1">
      <alignment horizontal="right" vertical="center" wrapText="1"/>
      <protection locked="0"/>
    </xf>
    <xf numFmtId="0" fontId="10" fillId="10" borderId="265" xfId="0" applyFont="1" applyFill="1" applyBorder="1" applyAlignment="1">
      <alignment horizontal="center" vertical="center" wrapText="1"/>
    </xf>
    <xf numFmtId="0" fontId="10" fillId="10" borderId="266" xfId="0" applyFont="1" applyFill="1" applyBorder="1" applyAlignment="1">
      <alignment horizontal="center" vertical="center" wrapText="1"/>
    </xf>
    <xf numFmtId="0" fontId="14" fillId="14" borderId="267" xfId="0" applyFont="1" applyFill="1" applyBorder="1" applyAlignment="1">
      <alignment horizontal="center" vertical="center" wrapText="1"/>
    </xf>
    <xf numFmtId="0" fontId="14" fillId="14" borderId="263" xfId="0" applyFont="1" applyFill="1" applyBorder="1" applyAlignment="1">
      <alignment horizontal="center" vertical="center" wrapText="1"/>
    </xf>
    <xf numFmtId="0" fontId="14" fillId="14" borderId="268" xfId="0" applyFont="1" applyFill="1" applyBorder="1" applyAlignment="1">
      <alignment horizontal="center" vertical="center" wrapText="1"/>
    </xf>
    <xf numFmtId="0" fontId="14" fillId="14" borderId="269" xfId="0" applyFont="1" applyFill="1" applyBorder="1" applyAlignment="1">
      <alignment horizontal="center" vertical="center" wrapText="1"/>
    </xf>
    <xf numFmtId="0" fontId="10" fillId="10" borderId="270" xfId="0" applyFont="1" applyFill="1" applyBorder="1" applyAlignment="1">
      <alignment horizontal="center" vertical="center" wrapText="1"/>
    </xf>
    <xf numFmtId="0" fontId="10" fillId="10" borderId="271" xfId="0" applyFont="1" applyFill="1" applyBorder="1" applyAlignment="1">
      <alignment horizontal="center" vertical="center" wrapText="1"/>
    </xf>
    <xf numFmtId="0" fontId="14" fillId="14" borderId="272" xfId="0" applyFont="1" applyFill="1" applyBorder="1" applyAlignment="1">
      <alignment horizontal="center" vertical="center" wrapText="1"/>
    </xf>
    <xf numFmtId="0" fontId="14" fillId="14" borderId="273" xfId="0" applyFont="1" applyFill="1" applyBorder="1" applyAlignment="1">
      <alignment horizontal="center" vertical="center" wrapText="1"/>
    </xf>
    <xf numFmtId="0" fontId="14" fillId="14" borderId="274" xfId="0" applyFont="1" applyFill="1" applyBorder="1" applyAlignment="1">
      <alignment horizontal="center" vertical="center" wrapText="1"/>
    </xf>
    <xf numFmtId="0" fontId="10" fillId="10" borderId="275" xfId="0" applyFont="1" applyFill="1" applyBorder="1" applyAlignment="1">
      <alignment horizontal="center" vertical="center" wrapText="1"/>
    </xf>
    <xf numFmtId="171" fontId="14" fillId="14" borderId="276" xfId="0" applyNumberFormat="1" applyFont="1" applyFill="1" applyBorder="1" applyAlignment="1">
      <alignment horizontal="right" vertical="center" wrapText="1"/>
    </xf>
    <xf numFmtId="0" fontId="10" fillId="10" borderId="277" xfId="0" applyFont="1" applyFill="1" applyBorder="1" applyAlignment="1">
      <alignment horizontal="center" vertical="center" wrapText="1"/>
    </xf>
    <xf numFmtId="171" fontId="14" fillId="14" borderId="278" xfId="0" applyNumberFormat="1" applyFont="1" applyFill="1" applyBorder="1" applyAlignment="1">
      <alignment horizontal="right" vertical="center" wrapText="1"/>
    </xf>
    <xf numFmtId="171" fontId="14" fillId="14" borderId="279" xfId="0" applyNumberFormat="1" applyFont="1" applyFill="1" applyBorder="1" applyAlignment="1">
      <alignment horizontal="right" vertical="center" wrapText="1"/>
    </xf>
    <xf numFmtId="0" fontId="10" fillId="10" borderId="280" xfId="0" applyFont="1" applyFill="1" applyBorder="1" applyAlignment="1">
      <alignment horizontal="center" vertical="center" wrapText="1"/>
    </xf>
    <xf numFmtId="0" fontId="10" fillId="10" borderId="281" xfId="0" applyFont="1" applyFill="1" applyBorder="1" applyAlignment="1">
      <alignment horizontal="center" vertical="center" wrapText="1"/>
    </xf>
    <xf numFmtId="0" fontId="10" fillId="10" borderId="282" xfId="0" applyFont="1" applyFill="1" applyBorder="1" applyAlignment="1">
      <alignment horizontal="center" vertical="center" wrapText="1"/>
    </xf>
    <xf numFmtId="0" fontId="14" fillId="14" borderId="283" xfId="0" applyFont="1" applyFill="1" applyBorder="1" applyAlignment="1">
      <alignment horizontal="center" vertical="center" wrapText="1"/>
    </xf>
    <xf numFmtId="0" fontId="14" fillId="14" borderId="284" xfId="0" applyFont="1" applyFill="1" applyBorder="1" applyAlignment="1">
      <alignment horizontal="center" vertical="center" wrapText="1"/>
    </xf>
    <xf numFmtId="171" fontId="14" fillId="14" borderId="285" xfId="0" applyNumberFormat="1" applyFont="1" applyFill="1" applyBorder="1" applyAlignment="1">
      <alignment horizontal="right" vertical="center" wrapText="1"/>
    </xf>
    <xf numFmtId="0" fontId="14" fillId="14" borderId="286" xfId="0" applyFont="1" applyFill="1" applyBorder="1" applyAlignment="1">
      <alignment horizontal="center" vertical="center" wrapText="1"/>
    </xf>
    <xf numFmtId="0" fontId="14" fillId="14" borderId="287" xfId="0" applyFont="1" applyFill="1" applyBorder="1" applyAlignment="1">
      <alignment horizontal="center" vertical="center" wrapText="1"/>
    </xf>
    <xf numFmtId="171" fontId="14" fillId="14" borderId="288" xfId="0" applyNumberFormat="1" applyFont="1" applyFill="1" applyBorder="1" applyAlignment="1">
      <alignment horizontal="right" vertical="center" wrapText="1"/>
    </xf>
    <xf numFmtId="0" fontId="10" fillId="7" borderId="270" xfId="0" applyFont="1" applyFill="1" applyBorder="1" applyAlignment="1">
      <alignment horizontal="center" vertical="center" wrapText="1"/>
    </xf>
    <xf numFmtId="0" fontId="10" fillId="7" borderId="271" xfId="0" applyFont="1" applyFill="1" applyBorder="1" applyAlignment="1">
      <alignment horizontal="center" vertical="center" wrapText="1"/>
    </xf>
    <xf numFmtId="0" fontId="14" fillId="3" borderId="272" xfId="0" applyFont="1" applyFill="1" applyBorder="1" applyAlignment="1" applyProtection="1">
      <alignment horizontal="center" vertical="center" wrapText="1"/>
      <protection locked="0"/>
    </xf>
    <xf numFmtId="0" fontId="14" fillId="3" borderId="273" xfId="0" applyFont="1" applyFill="1" applyBorder="1" applyAlignment="1" applyProtection="1">
      <alignment horizontal="center" vertical="center" wrapText="1"/>
      <protection locked="0"/>
    </xf>
    <xf numFmtId="49" fontId="14" fillId="0" borderId="274" xfId="0" applyNumberFormat="1" applyFont="1" applyBorder="1" applyAlignment="1" applyProtection="1">
      <alignment horizontal="center" vertical="center" wrapText="1"/>
      <protection locked="0"/>
    </xf>
    <xf numFmtId="171" fontId="14" fillId="3" borderId="274" xfId="0" applyNumberFormat="1" applyFont="1" applyFill="1" applyBorder="1" applyAlignment="1" applyProtection="1">
      <alignment horizontal="right" vertical="center" wrapText="1"/>
      <protection locked="0"/>
    </xf>
    <xf numFmtId="0" fontId="10" fillId="7" borderId="275" xfId="0" applyFont="1" applyFill="1" applyBorder="1" applyAlignment="1">
      <alignment horizontal="center" vertical="center" wrapText="1"/>
    </xf>
    <xf numFmtId="0" fontId="10" fillId="7" borderId="265" xfId="0" applyFont="1" applyFill="1" applyBorder="1" applyAlignment="1">
      <alignment horizontal="center" vertical="center" wrapText="1"/>
    </xf>
    <xf numFmtId="0" fontId="10" fillId="7" borderId="266" xfId="0" applyFont="1" applyFill="1" applyBorder="1" applyAlignment="1">
      <alignment horizontal="center" vertical="center" wrapText="1"/>
    </xf>
    <xf numFmtId="171" fontId="14" fillId="0" borderId="267" xfId="0" applyNumberFormat="1" applyFont="1" applyBorder="1" applyAlignment="1">
      <alignment horizontal="right" vertical="center" wrapText="1"/>
    </xf>
    <xf numFmtId="171" fontId="14" fillId="0" borderId="268" xfId="0" applyNumberFormat="1" applyFont="1" applyBorder="1" applyAlignment="1">
      <alignment horizontal="right" vertical="center" wrapText="1"/>
    </xf>
    <xf numFmtId="171" fontId="14" fillId="0" borderId="269" xfId="0" applyNumberFormat="1" applyFont="1" applyBorder="1" applyAlignment="1">
      <alignment horizontal="right" vertical="center" wrapText="1"/>
    </xf>
    <xf numFmtId="171" fontId="14" fillId="3" borderId="269" xfId="0" applyNumberFormat="1" applyFont="1" applyFill="1" applyBorder="1" applyAlignment="1" applyProtection="1">
      <alignment horizontal="right" vertical="center" wrapText="1"/>
      <protection locked="0"/>
    </xf>
    <xf numFmtId="0" fontId="10" fillId="7" borderId="277" xfId="0" applyFont="1" applyFill="1" applyBorder="1" applyAlignment="1">
      <alignment horizontal="center" vertical="center" wrapText="1"/>
    </xf>
    <xf numFmtId="0" fontId="10" fillId="7" borderId="280" xfId="0" applyFont="1" applyFill="1" applyBorder="1" applyAlignment="1">
      <alignment horizontal="center" vertical="center" wrapText="1"/>
    </xf>
    <xf numFmtId="0" fontId="10" fillId="7" borderId="281" xfId="0" applyFont="1" applyFill="1" applyBorder="1" applyAlignment="1">
      <alignment horizontal="center" vertical="center" wrapText="1"/>
    </xf>
    <xf numFmtId="0" fontId="10" fillId="7" borderId="282" xfId="0" applyFont="1" applyFill="1" applyBorder="1" applyAlignment="1">
      <alignment horizontal="center" vertical="center" wrapText="1"/>
    </xf>
    <xf numFmtId="171" fontId="14" fillId="0" borderId="283" xfId="0" applyNumberFormat="1" applyFont="1" applyBorder="1" applyAlignment="1">
      <alignment horizontal="right" vertical="center" wrapText="1"/>
    </xf>
    <xf numFmtId="171" fontId="14" fillId="0" borderId="284" xfId="0" applyNumberFormat="1" applyFont="1" applyBorder="1" applyAlignment="1">
      <alignment horizontal="right" vertical="center" wrapText="1"/>
    </xf>
    <xf numFmtId="171" fontId="14" fillId="3" borderId="284" xfId="0" applyNumberFormat="1" applyFont="1" applyFill="1" applyBorder="1" applyAlignment="1" applyProtection="1">
      <alignment horizontal="right" vertical="center" wrapText="1"/>
      <protection locked="0"/>
    </xf>
    <xf numFmtId="171" fontId="14" fillId="0" borderId="286" xfId="0" applyNumberFormat="1" applyFont="1" applyBorder="1" applyAlignment="1">
      <alignment horizontal="right" vertical="center" wrapText="1"/>
    </xf>
    <xf numFmtId="171" fontId="14" fillId="0" borderId="287" xfId="0" applyNumberFormat="1" applyFont="1" applyBorder="1" applyAlignment="1">
      <alignment horizontal="right" vertical="center" wrapText="1"/>
    </xf>
    <xf numFmtId="171" fontId="14" fillId="3" borderId="287" xfId="0" applyNumberFormat="1" applyFont="1" applyFill="1" applyBorder="1" applyAlignment="1" applyProtection="1">
      <alignment horizontal="right" vertical="center" wrapText="1"/>
      <protection locked="0"/>
    </xf>
    <xf numFmtId="0" fontId="29" fillId="7" borderId="289" xfId="0" applyFont="1" applyFill="1" applyBorder="1" applyAlignment="1">
      <alignment horizontal="center" vertical="center" wrapText="1"/>
    </xf>
    <xf numFmtId="0" fontId="22" fillId="7" borderId="290" xfId="0" applyFont="1" applyFill="1" applyBorder="1" applyAlignment="1">
      <alignment horizontal="center" vertical="center" wrapText="1"/>
    </xf>
    <xf numFmtId="0" fontId="16" fillId="7" borderId="290" xfId="0" applyFont="1" applyFill="1" applyBorder="1" applyAlignment="1">
      <alignment horizontal="center" vertical="center" wrapText="1"/>
    </xf>
    <xf numFmtId="0" fontId="16" fillId="7" borderId="291" xfId="0" applyFont="1" applyFill="1" applyBorder="1" applyAlignment="1">
      <alignment horizontal="center" vertical="center" wrapText="1"/>
    </xf>
    <xf numFmtId="0" fontId="29" fillId="7" borderId="292" xfId="0" applyFont="1" applyFill="1" applyBorder="1" applyAlignment="1">
      <alignment horizontal="center" vertical="center" wrapText="1"/>
    </xf>
    <xf numFmtId="0" fontId="22" fillId="7" borderId="293" xfId="0" applyFont="1" applyFill="1" applyBorder="1" applyAlignment="1">
      <alignment horizontal="center" vertical="center" wrapText="1"/>
    </xf>
    <xf numFmtId="0" fontId="16" fillId="7" borderId="293" xfId="0" applyFont="1" applyFill="1" applyBorder="1" applyAlignment="1">
      <alignment horizontal="center" vertical="center" wrapText="1"/>
    </xf>
    <xf numFmtId="0" fontId="16" fillId="7" borderId="294" xfId="0" applyFont="1" applyFill="1" applyBorder="1" applyAlignment="1">
      <alignment horizontal="center" vertical="center" wrapText="1"/>
    </xf>
    <xf numFmtId="0" fontId="29" fillId="7" borderId="295" xfId="0" applyFont="1" applyFill="1" applyBorder="1" applyAlignment="1">
      <alignment horizontal="center" vertical="center" wrapText="1"/>
    </xf>
    <xf numFmtId="0" fontId="22" fillId="7" borderId="296" xfId="0" applyFont="1" applyFill="1" applyBorder="1" applyAlignment="1">
      <alignment horizontal="center" vertical="center" wrapText="1"/>
    </xf>
    <xf numFmtId="0" fontId="16" fillId="7" borderId="296" xfId="0" applyFont="1" applyFill="1" applyBorder="1" applyAlignment="1">
      <alignment horizontal="center" vertical="center" wrapText="1"/>
    </xf>
    <xf numFmtId="0" fontId="16" fillId="7" borderId="297" xfId="0" applyFont="1" applyFill="1" applyBorder="1" applyAlignment="1">
      <alignment horizontal="center" vertical="center" wrapText="1"/>
    </xf>
    <xf numFmtId="0" fontId="29" fillId="7" borderId="63" xfId="0" applyFont="1" applyFill="1" applyBorder="1" applyAlignment="1">
      <alignment horizontal="center" vertical="center" wrapText="1"/>
    </xf>
    <xf numFmtId="0" fontId="22" fillId="10" borderId="92" xfId="0" applyFont="1" applyFill="1" applyBorder="1" applyAlignment="1">
      <alignment horizontal="center" vertical="center" wrapText="1"/>
    </xf>
    <xf numFmtId="0" fontId="29" fillId="10" borderId="289" xfId="0" applyFont="1" applyFill="1" applyBorder="1" applyAlignment="1">
      <alignment horizontal="center" vertical="center" wrapText="1"/>
    </xf>
    <xf numFmtId="0" fontId="29" fillId="10" borderId="290" xfId="0" applyFont="1" applyFill="1" applyBorder="1" applyAlignment="1">
      <alignment horizontal="center" vertical="center" wrapText="1"/>
    </xf>
    <xf numFmtId="0" fontId="16" fillId="10" borderId="290" xfId="0" applyFont="1" applyFill="1" applyBorder="1" applyAlignment="1">
      <alignment horizontal="center" vertical="center" wrapText="1"/>
    </xf>
    <xf numFmtId="0" fontId="16" fillId="10" borderId="291" xfId="0" applyFont="1" applyFill="1" applyBorder="1" applyAlignment="1">
      <alignment horizontal="center" vertical="center" wrapText="1"/>
    </xf>
    <xf numFmtId="0" fontId="29" fillId="10" borderId="292" xfId="0" applyFont="1" applyFill="1" applyBorder="1" applyAlignment="1">
      <alignment horizontal="center" vertical="center" wrapText="1"/>
    </xf>
    <xf numFmtId="0" fontId="29" fillId="10" borderId="293" xfId="0" applyFont="1" applyFill="1" applyBorder="1" applyAlignment="1">
      <alignment horizontal="center" vertical="center" wrapText="1"/>
    </xf>
    <xf numFmtId="0" fontId="16" fillId="10" borderId="293" xfId="0" applyFont="1" applyFill="1" applyBorder="1" applyAlignment="1">
      <alignment horizontal="center" vertical="center" wrapText="1"/>
    </xf>
    <xf numFmtId="0" fontId="10" fillId="10" borderId="294" xfId="0" applyFont="1" applyFill="1" applyBorder="1" applyAlignment="1">
      <alignment horizontal="center" vertical="center" wrapText="1"/>
    </xf>
    <xf numFmtId="0" fontId="29" fillId="10" borderId="295" xfId="0" applyFont="1" applyFill="1" applyBorder="1" applyAlignment="1">
      <alignment horizontal="center" vertical="center" wrapText="1"/>
    </xf>
    <xf numFmtId="0" fontId="29" fillId="10" borderId="296" xfId="0" applyFont="1" applyFill="1" applyBorder="1" applyAlignment="1">
      <alignment horizontal="center" vertical="center" wrapText="1"/>
    </xf>
    <xf numFmtId="0" fontId="16" fillId="10" borderId="296" xfId="0" applyFont="1" applyFill="1" applyBorder="1" applyAlignment="1">
      <alignment horizontal="center" vertical="center" wrapText="1"/>
    </xf>
    <xf numFmtId="0" fontId="10" fillId="10" borderId="297" xfId="0" applyFont="1" applyFill="1" applyBorder="1" applyAlignment="1">
      <alignment horizontal="center" vertical="center" wrapText="1"/>
    </xf>
    <xf numFmtId="0" fontId="22" fillId="10" borderId="63" xfId="0" applyFont="1" applyFill="1" applyBorder="1" applyAlignment="1">
      <alignment horizontal="center" vertical="center" wrapText="1"/>
    </xf>
    <xf numFmtId="0" fontId="14" fillId="2" borderId="298" xfId="0" applyFont="1" applyFill="1" applyBorder="1" applyAlignment="1">
      <alignment horizontal="center" vertical="center" wrapText="1"/>
    </xf>
    <xf numFmtId="0" fontId="14" fillId="0" borderId="3" xfId="0" applyFont="1" applyBorder="1" applyAlignment="1" applyProtection="1">
      <alignment horizontal="center" vertical="center" wrapText="1"/>
      <protection locked="0"/>
    </xf>
    <xf numFmtId="0" fontId="14" fillId="3" borderId="3" xfId="1" applyNumberFormat="1" applyFont="1" applyFill="1" applyBorder="1" applyAlignment="1" applyProtection="1">
      <alignment horizontal="center" vertical="center" wrapText="1"/>
    </xf>
    <xf numFmtId="2" fontId="14" fillId="3" borderId="3" xfId="0" applyNumberFormat="1" applyFont="1" applyFill="1" applyBorder="1" applyAlignment="1" applyProtection="1">
      <alignment horizontal="center" vertical="center" wrapText="1"/>
      <protection locked="0"/>
    </xf>
    <xf numFmtId="0" fontId="14" fillId="3" borderId="299" xfId="0" applyFont="1" applyFill="1" applyBorder="1" applyAlignment="1" applyProtection="1">
      <alignment horizontal="center" vertical="center" wrapText="1"/>
      <protection locked="0"/>
    </xf>
    <xf numFmtId="0" fontId="14" fillId="3" borderId="300" xfId="0" applyFont="1" applyFill="1" applyBorder="1" applyAlignment="1" applyProtection="1">
      <alignment horizontal="center" vertical="center" wrapText="1"/>
      <protection locked="0"/>
    </xf>
    <xf numFmtId="171" fontId="14" fillId="3" borderId="300" xfId="0" applyNumberFormat="1" applyFont="1" applyFill="1" applyBorder="1" applyAlignment="1" applyProtection="1">
      <alignment horizontal="right" vertical="center" wrapText="1"/>
      <protection locked="0"/>
    </xf>
    <xf numFmtId="171" fontId="14" fillId="14" borderId="301" xfId="0" applyNumberFormat="1" applyFont="1" applyFill="1" applyBorder="1" applyAlignment="1">
      <alignment horizontal="right" vertical="center" wrapText="1"/>
    </xf>
    <xf numFmtId="171" fontId="14" fillId="0" borderId="302" xfId="0" applyNumberFormat="1" applyFont="1" applyBorder="1" applyAlignment="1">
      <alignment horizontal="right" vertical="center" wrapText="1"/>
    </xf>
    <xf numFmtId="171" fontId="14" fillId="0" borderId="303" xfId="0" applyNumberFormat="1" applyFont="1" applyBorder="1" applyAlignment="1">
      <alignment horizontal="right" vertical="center" wrapText="1"/>
    </xf>
    <xf numFmtId="171" fontId="14" fillId="3" borderId="303" xfId="0" applyNumberFormat="1" applyFont="1" applyFill="1" applyBorder="1" applyAlignment="1" applyProtection="1">
      <alignment horizontal="right" vertical="center" wrapText="1"/>
      <protection locked="0"/>
    </xf>
    <xf numFmtId="171" fontId="14" fillId="14" borderId="304" xfId="0" applyNumberFormat="1" applyFont="1" applyFill="1" applyBorder="1" applyAlignment="1">
      <alignment horizontal="right" vertical="center" wrapText="1"/>
    </xf>
    <xf numFmtId="171" fontId="14" fillId="0" borderId="305" xfId="0" applyNumberFormat="1" applyFont="1" applyBorder="1" applyAlignment="1">
      <alignment horizontal="right" vertical="center" wrapText="1"/>
    </xf>
    <xf numFmtId="171" fontId="14" fillId="0" borderId="306" xfId="0" applyNumberFormat="1" applyFont="1" applyBorder="1" applyAlignment="1">
      <alignment horizontal="right" vertical="center" wrapText="1"/>
    </xf>
    <xf numFmtId="171" fontId="14" fillId="3" borderId="306" xfId="0" applyNumberFormat="1" applyFont="1" applyFill="1" applyBorder="1" applyAlignment="1" applyProtection="1">
      <alignment horizontal="right" vertical="center" wrapText="1"/>
      <protection locked="0"/>
    </xf>
    <xf numFmtId="171" fontId="14" fillId="14" borderId="307" xfId="0" applyNumberFormat="1" applyFont="1" applyFill="1" applyBorder="1" applyAlignment="1">
      <alignment horizontal="right" vertical="center" wrapText="1"/>
    </xf>
    <xf numFmtId="171" fontId="17" fillId="14" borderId="3" xfId="0" applyNumberFormat="1" applyFont="1" applyFill="1" applyBorder="1" applyAlignment="1">
      <alignment horizontal="right" vertical="center" wrapText="1"/>
    </xf>
    <xf numFmtId="0" fontId="14" fillId="0" borderId="52" xfId="0" applyFont="1" applyBorder="1" applyAlignment="1" applyProtection="1">
      <alignment horizontal="center" vertical="center" wrapText="1"/>
      <protection locked="0"/>
    </xf>
    <xf numFmtId="0" fontId="14" fillId="14" borderId="52" xfId="0" applyFont="1" applyFill="1" applyBorder="1" applyAlignment="1">
      <alignment horizontal="center" vertical="center" wrapText="1"/>
    </xf>
    <xf numFmtId="0" fontId="14" fillId="14" borderId="299" xfId="0" applyFont="1" applyFill="1" applyBorder="1" applyAlignment="1">
      <alignment horizontal="center" vertical="center" wrapText="1"/>
    </xf>
    <xf numFmtId="0" fontId="14" fillId="14" borderId="300" xfId="0" applyFont="1" applyFill="1" applyBorder="1" applyAlignment="1">
      <alignment horizontal="center" vertical="center" wrapText="1"/>
    </xf>
    <xf numFmtId="0" fontId="14" fillId="14" borderId="302" xfId="0" applyFont="1" applyFill="1" applyBorder="1" applyAlignment="1">
      <alignment horizontal="center" vertical="center" wrapText="1"/>
    </xf>
    <xf numFmtId="0" fontId="14" fillId="14" borderId="303" xfId="0" applyFont="1" applyFill="1" applyBorder="1" applyAlignment="1">
      <alignment horizontal="center" vertical="center" wrapText="1"/>
    </xf>
    <xf numFmtId="0" fontId="14" fillId="14" borderId="305" xfId="0" applyFont="1" applyFill="1" applyBorder="1" applyAlignment="1">
      <alignment horizontal="center" vertical="center" wrapText="1"/>
    </xf>
    <xf numFmtId="0" fontId="14" fillId="14" borderId="306" xfId="0" applyFont="1" applyFill="1" applyBorder="1" applyAlignment="1">
      <alignment horizontal="center" vertical="center" wrapText="1"/>
    </xf>
    <xf numFmtId="171" fontId="14" fillId="14" borderId="59"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1" fontId="17" fillId="14" borderId="33" xfId="0" applyNumberFormat="1" applyFont="1" applyFill="1" applyBorder="1" applyAlignment="1">
      <alignment horizontal="right" vertical="center" wrapText="1"/>
    </xf>
    <xf numFmtId="0" fontId="16" fillId="18" borderId="25" xfId="0" applyFont="1" applyFill="1" applyBorder="1" applyAlignment="1" applyProtection="1">
      <alignment horizontal="center" vertical="center" wrapText="1"/>
      <protection locked="0"/>
    </xf>
    <xf numFmtId="0" fontId="16" fillId="4" borderId="25" xfId="1" applyNumberFormat="1" applyFont="1" applyFill="1" applyBorder="1" applyAlignment="1" applyProtection="1">
      <alignment horizontal="center" vertical="center" wrapText="1"/>
    </xf>
    <xf numFmtId="0" fontId="16" fillId="8" borderId="25" xfId="0" applyFont="1" applyFill="1" applyBorder="1" applyAlignment="1">
      <alignment horizontal="center" vertical="center" wrapText="1"/>
    </xf>
    <xf numFmtId="0" fontId="14" fillId="4" borderId="25" xfId="1" applyNumberFormat="1" applyFont="1" applyFill="1" applyBorder="1" applyAlignment="1" applyProtection="1">
      <alignment horizontal="center" vertical="center" wrapText="1"/>
    </xf>
    <xf numFmtId="2" fontId="16" fillId="4" borderId="25" xfId="1" applyNumberFormat="1" applyFont="1" applyFill="1" applyBorder="1" applyAlignment="1" applyProtection="1">
      <alignment horizontal="center" vertical="center" wrapText="1"/>
    </xf>
    <xf numFmtId="0" fontId="16" fillId="4" borderId="57" xfId="1" applyNumberFormat="1" applyFont="1" applyFill="1" applyBorder="1" applyAlignment="1" applyProtection="1">
      <alignment horizontal="center" vertical="center" wrapText="1"/>
    </xf>
    <xf numFmtId="0" fontId="16" fillId="4" borderId="308" xfId="1" applyNumberFormat="1" applyFont="1" applyFill="1" applyBorder="1" applyAlignment="1" applyProtection="1">
      <alignment horizontal="center" vertical="center" wrapText="1"/>
    </xf>
    <xf numFmtId="0" fontId="16" fillId="4" borderId="309" xfId="1" applyNumberFormat="1" applyFont="1" applyFill="1" applyBorder="1" applyAlignment="1" applyProtection="1">
      <alignment horizontal="center" vertical="center" wrapText="1"/>
    </xf>
    <xf numFmtId="171" fontId="16" fillId="4" borderId="309" xfId="0" applyNumberFormat="1" applyFont="1" applyFill="1" applyBorder="1" applyAlignment="1">
      <alignment horizontal="right" vertical="center" wrapText="1"/>
    </xf>
    <xf numFmtId="171" fontId="16" fillId="4" borderId="310" xfId="1" applyNumberFormat="1" applyFont="1" applyFill="1" applyBorder="1" applyAlignment="1" applyProtection="1">
      <alignment horizontal="right" vertical="center" wrapText="1"/>
    </xf>
    <xf numFmtId="171" fontId="16" fillId="4" borderId="311" xfId="1" applyNumberFormat="1" applyFont="1" applyFill="1" applyBorder="1" applyAlignment="1" applyProtection="1">
      <alignment horizontal="right" vertical="center" wrapText="1"/>
    </xf>
    <xf numFmtId="171" fontId="16" fillId="4" borderId="312" xfId="1" applyNumberFormat="1" applyFont="1" applyFill="1" applyBorder="1" applyAlignment="1" applyProtection="1">
      <alignment horizontal="right" vertical="center" wrapText="1"/>
    </xf>
    <xf numFmtId="171" fontId="16" fillId="4" borderId="312" xfId="0" applyNumberFormat="1" applyFont="1" applyFill="1" applyBorder="1" applyAlignment="1">
      <alignment horizontal="right" vertical="center" wrapText="1"/>
    </xf>
    <xf numFmtId="171" fontId="16" fillId="4" borderId="313" xfId="0" applyNumberFormat="1" applyFont="1" applyFill="1" applyBorder="1" applyAlignment="1">
      <alignment horizontal="right" vertical="center" wrapText="1"/>
    </xf>
    <xf numFmtId="171" fontId="16" fillId="4" borderId="314" xfId="0" applyNumberFormat="1" applyFont="1" applyFill="1" applyBorder="1" applyAlignment="1">
      <alignment horizontal="right" vertical="center" wrapText="1"/>
    </xf>
    <xf numFmtId="171" fontId="16" fillId="4" borderId="315" xfId="0" applyNumberFormat="1" applyFont="1" applyFill="1" applyBorder="1" applyAlignment="1">
      <alignment horizontal="right" vertical="center" wrapText="1"/>
    </xf>
    <xf numFmtId="171" fontId="16" fillId="4" borderId="316" xfId="0" applyNumberFormat="1" applyFont="1" applyFill="1" applyBorder="1" applyAlignment="1">
      <alignment horizontal="right" vertical="center" wrapText="1"/>
    </xf>
    <xf numFmtId="171" fontId="16" fillId="4" borderId="13" xfId="0" applyNumberFormat="1" applyFont="1" applyFill="1" applyBorder="1" applyAlignment="1">
      <alignment horizontal="center" vertical="center" wrapText="1"/>
    </xf>
    <xf numFmtId="0" fontId="16" fillId="4" borderId="57" xfId="0" applyFont="1" applyFill="1" applyBorder="1" applyAlignment="1">
      <alignment horizontal="center" vertical="center" wrapText="1"/>
    </xf>
    <xf numFmtId="0" fontId="14" fillId="4" borderId="13" xfId="0" applyFont="1" applyFill="1" applyBorder="1" applyAlignment="1">
      <alignment horizontal="center" vertical="center" wrapText="1"/>
    </xf>
    <xf numFmtId="171" fontId="16" fillId="4" borderId="310" xfId="0" applyNumberFormat="1" applyFont="1" applyFill="1" applyBorder="1" applyAlignment="1">
      <alignment horizontal="right" vertical="center" wrapText="1"/>
    </xf>
    <xf numFmtId="171" fontId="16" fillId="4" borderId="311" xfId="0" applyNumberFormat="1" applyFont="1" applyFill="1" applyBorder="1" applyAlignment="1">
      <alignment horizontal="right" vertical="center" wrapText="1"/>
    </xf>
    <xf numFmtId="0" fontId="10" fillId="18" borderId="25" xfId="0" applyFont="1" applyFill="1" applyBorder="1" applyAlignment="1">
      <alignment horizontal="center" vertical="center" wrapText="1"/>
    </xf>
    <xf numFmtId="0" fontId="14" fillId="18" borderId="25" xfId="0" applyFont="1" applyFill="1" applyBorder="1" applyAlignment="1">
      <alignment horizontal="center" vertical="center" wrapText="1"/>
    </xf>
    <xf numFmtId="171" fontId="17" fillId="4" borderId="40" xfId="0" applyNumberFormat="1" applyFont="1" applyFill="1" applyBorder="1" applyAlignment="1">
      <alignment horizontal="right" vertical="center" wrapText="1"/>
    </xf>
    <xf numFmtId="171" fontId="14" fillId="14" borderId="303" xfId="6" applyNumberFormat="1" applyFont="1" applyFill="1" applyBorder="1" applyAlignment="1">
      <alignment horizontal="center" vertical="center" wrapText="1"/>
    </xf>
    <xf numFmtId="171" fontId="14" fillId="14" borderId="263" xfId="6" applyNumberFormat="1" applyFont="1" applyFill="1" applyBorder="1" applyAlignment="1">
      <alignment horizontal="center" vertical="center" wrapText="1"/>
    </xf>
    <xf numFmtId="171" fontId="14" fillId="14" borderId="269" xfId="6" applyNumberFormat="1" applyFont="1" applyFill="1" applyBorder="1" applyAlignment="1">
      <alignment horizontal="center" vertical="center" wrapText="1"/>
    </xf>
    <xf numFmtId="171" fontId="14" fillId="14" borderId="303" xfId="0" applyNumberFormat="1" applyFont="1" applyFill="1" applyBorder="1" applyAlignment="1">
      <alignment horizontal="center" vertical="center" wrapText="1"/>
    </xf>
    <xf numFmtId="171" fontId="14" fillId="14" borderId="263" xfId="0" applyNumberFormat="1" applyFont="1" applyFill="1" applyBorder="1" applyAlignment="1">
      <alignment horizontal="center" vertical="center" wrapText="1"/>
    </xf>
    <xf numFmtId="171" fontId="14" fillId="14" borderId="269" xfId="0" applyNumberFormat="1" applyFont="1" applyFill="1" applyBorder="1" applyAlignment="1">
      <alignment horizontal="center" vertical="center" wrapText="1"/>
    </xf>
    <xf numFmtId="171" fontId="14" fillId="14" borderId="306" xfId="0" applyNumberFormat="1" applyFont="1" applyFill="1" applyBorder="1" applyAlignment="1">
      <alignment horizontal="center" vertical="center" wrapText="1"/>
    </xf>
    <xf numFmtId="171" fontId="14" fillId="14" borderId="284" xfId="0" applyNumberFormat="1" applyFont="1" applyFill="1" applyBorder="1" applyAlignment="1">
      <alignment horizontal="center" vertical="center" wrapText="1"/>
    </xf>
    <xf numFmtId="171" fontId="14" fillId="14" borderId="287" xfId="0" applyNumberFormat="1" applyFont="1" applyFill="1" applyBorder="1" applyAlignment="1">
      <alignment horizontal="center" vertical="center" wrapText="1"/>
    </xf>
    <xf numFmtId="171" fontId="14" fillId="14" borderId="300" xfId="0" applyNumberFormat="1" applyFont="1" applyFill="1" applyBorder="1" applyAlignment="1">
      <alignment horizontal="center" vertical="center" wrapText="1"/>
    </xf>
    <xf numFmtId="171" fontId="14" fillId="14" borderId="262" xfId="0" applyNumberFormat="1" applyFont="1" applyFill="1" applyBorder="1" applyAlignment="1">
      <alignment horizontal="center" vertical="center" wrapText="1"/>
    </xf>
    <xf numFmtId="171" fontId="14" fillId="14" borderId="274" xfId="0" applyNumberFormat="1" applyFont="1" applyFill="1" applyBorder="1" applyAlignment="1">
      <alignment horizontal="center" vertical="center" wrapText="1"/>
    </xf>
    <xf numFmtId="9" fontId="14" fillId="14" borderId="3" xfId="1" applyFont="1" applyFill="1" applyBorder="1" applyAlignment="1">
      <alignment horizontal="center" vertical="center" wrapText="1"/>
    </xf>
    <xf numFmtId="9" fontId="14" fillId="14" borderId="25" xfId="1" applyFont="1" applyFill="1" applyBorder="1" applyAlignment="1">
      <alignment horizontal="center" vertical="center" wrapText="1"/>
    </xf>
    <xf numFmtId="171" fontId="14" fillId="14" borderId="6" xfId="0" applyNumberFormat="1" applyFont="1" applyFill="1" applyBorder="1" applyAlignment="1">
      <alignment horizontal="center" vertical="center"/>
    </xf>
    <xf numFmtId="171" fontId="82" fillId="0" borderId="42" xfId="0" applyNumberFormat="1" applyFont="1" applyBorder="1" applyAlignment="1" applyProtection="1">
      <alignment horizontal="center" vertical="center"/>
      <protection hidden="1"/>
    </xf>
    <xf numFmtId="171" fontId="82" fillId="0" borderId="67" xfId="0" applyNumberFormat="1" applyFont="1" applyBorder="1" applyAlignment="1" applyProtection="1">
      <alignment horizontal="center" vertical="center"/>
      <protection hidden="1"/>
    </xf>
    <xf numFmtId="171" fontId="82" fillId="0" borderId="47" xfId="0" applyNumberFormat="1" applyFont="1" applyBorder="1" applyAlignment="1" applyProtection="1">
      <alignment horizontal="center" vertical="center"/>
      <protection hidden="1"/>
    </xf>
    <xf numFmtId="0" fontId="13" fillId="2" borderId="150" xfId="0" applyFont="1" applyFill="1" applyBorder="1" applyAlignment="1">
      <alignment vertical="center" wrapText="1"/>
    </xf>
    <xf numFmtId="171" fontId="58" fillId="14" borderId="125" xfId="9" applyNumberFormat="1" applyFont="1" applyFill="1" applyBorder="1" applyAlignment="1">
      <alignment vertical="center"/>
    </xf>
    <xf numFmtId="0" fontId="13" fillId="2" borderId="317" xfId="0" applyFont="1" applyFill="1" applyBorder="1" applyAlignment="1">
      <alignment vertical="center" wrapText="1"/>
    </xf>
    <xf numFmtId="171" fontId="58" fillId="14" borderId="158" xfId="9" applyNumberFormat="1" applyFont="1" applyFill="1" applyBorder="1" applyAlignment="1">
      <alignment vertical="center"/>
    </xf>
    <xf numFmtId="0" fontId="119" fillId="2" borderId="39" xfId="0" applyFont="1" applyFill="1" applyBorder="1" applyAlignment="1">
      <alignment vertical="center" wrapText="1"/>
    </xf>
    <xf numFmtId="171" fontId="13" fillId="14" borderId="5" xfId="0" applyNumberFormat="1" applyFont="1" applyFill="1" applyBorder="1" applyAlignment="1">
      <alignment vertical="center"/>
    </xf>
    <xf numFmtId="0" fontId="119" fillId="2" borderId="50" xfId="0" applyFont="1" applyFill="1" applyBorder="1" applyAlignment="1">
      <alignment vertical="center" wrapText="1"/>
    </xf>
    <xf numFmtId="171" fontId="13" fillId="14" borderId="7" xfId="0" applyNumberFormat="1" applyFont="1" applyFill="1" applyBorder="1" applyAlignment="1">
      <alignment vertical="center" wrapText="1"/>
    </xf>
    <xf numFmtId="0" fontId="119" fillId="2" borderId="50" xfId="0" applyFont="1" applyFill="1" applyBorder="1" applyAlignment="1">
      <alignment vertical="center"/>
    </xf>
    <xf numFmtId="171" fontId="13" fillId="14" borderId="7" xfId="0" applyNumberFormat="1" applyFont="1" applyFill="1" applyBorder="1" applyAlignment="1">
      <alignment vertical="center"/>
    </xf>
    <xf numFmtId="0" fontId="13" fillId="0" borderId="0" xfId="0" applyFont="1" applyAlignment="1">
      <alignment vertical="center"/>
    </xf>
    <xf numFmtId="0" fontId="58" fillId="0" borderId="0" xfId="0" applyFont="1"/>
    <xf numFmtId="167" fontId="0" fillId="14" borderId="230" xfId="6" applyFont="1" applyFill="1" applyBorder="1" applyAlignment="1">
      <alignment horizontal="center" vertical="center"/>
    </xf>
    <xf numFmtId="0" fontId="8" fillId="10" borderId="4" xfId="0" applyFont="1" applyFill="1" applyBorder="1" applyAlignment="1">
      <alignment horizontal="center" vertical="center" wrapText="1"/>
    </xf>
    <xf numFmtId="0" fontId="8" fillId="10" borderId="25" xfId="0" applyFont="1" applyFill="1" applyBorder="1" applyAlignment="1">
      <alignment horizontal="center" vertical="center" wrapText="1"/>
    </xf>
    <xf numFmtId="0" fontId="8" fillId="10" borderId="5" xfId="0" applyFont="1" applyFill="1" applyBorder="1" applyAlignment="1">
      <alignment horizontal="center" vertical="center" wrapText="1"/>
    </xf>
    <xf numFmtId="0" fontId="37" fillId="23" borderId="57" xfId="0" applyFont="1" applyFill="1" applyBorder="1" applyAlignment="1" applyProtection="1">
      <alignment horizontal="center" vertical="center" wrapText="1"/>
      <protection hidden="1"/>
    </xf>
    <xf numFmtId="0" fontId="37" fillId="23" borderId="87" xfId="0" applyFont="1" applyFill="1" applyBorder="1" applyAlignment="1" applyProtection="1">
      <alignment horizontal="center" vertical="center" wrapText="1"/>
      <protection hidden="1"/>
    </xf>
    <xf numFmtId="0" fontId="8" fillId="10" borderId="232" xfId="0" applyFont="1" applyFill="1" applyBorder="1" applyAlignment="1">
      <alignment horizontal="center" vertical="center" wrapText="1"/>
    </xf>
    <xf numFmtId="0" fontId="8" fillId="10" borderId="65"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0" fillId="6" borderId="30" xfId="0" applyFill="1" applyBorder="1" applyAlignment="1">
      <alignment horizontal="center" vertical="center" wrapText="1"/>
    </xf>
    <xf numFmtId="0" fontId="0" fillId="6" borderId="65" xfId="0" applyFill="1" applyBorder="1" applyAlignment="1">
      <alignment horizontal="center" vertical="center" wrapText="1"/>
    </xf>
    <xf numFmtId="0" fontId="5" fillId="40" borderId="21" xfId="0" applyFont="1" applyFill="1" applyBorder="1" applyAlignment="1">
      <alignment horizontal="center" vertical="center" wrapText="1"/>
    </xf>
    <xf numFmtId="0" fontId="5" fillId="40" borderId="22" xfId="0" applyFont="1" applyFill="1" applyBorder="1" applyAlignment="1">
      <alignment horizontal="center" vertical="center" wrapText="1"/>
    </xf>
    <xf numFmtId="0" fontId="5" fillId="40" borderId="23" xfId="0" applyFont="1" applyFill="1" applyBorder="1" applyAlignment="1">
      <alignment horizontal="center" vertical="center" wrapText="1"/>
    </xf>
    <xf numFmtId="0" fontId="8" fillId="14" borderId="4" xfId="0" applyFont="1" applyFill="1" applyBorder="1" applyAlignment="1" applyProtection="1">
      <alignment horizontal="center" vertical="center"/>
      <protection locked="0"/>
    </xf>
    <xf numFmtId="0" fontId="8" fillId="14" borderId="6" xfId="0" applyFont="1" applyFill="1" applyBorder="1" applyAlignment="1" applyProtection="1">
      <alignment horizontal="center" vertical="center"/>
      <protection locked="0"/>
    </xf>
    <xf numFmtId="0" fontId="8" fillId="14" borderId="2" xfId="0" applyFont="1" applyFill="1" applyBorder="1" applyAlignment="1" applyProtection="1">
      <alignment horizontal="center" vertical="center"/>
      <protection locked="0"/>
    </xf>
    <xf numFmtId="0" fontId="8" fillId="14" borderId="31" xfId="0" applyFont="1" applyFill="1" applyBorder="1" applyAlignment="1" applyProtection="1">
      <alignment horizontal="center" vertical="center"/>
      <protection locked="0"/>
    </xf>
    <xf numFmtId="0" fontId="8" fillId="14" borderId="67" xfId="0" applyFont="1" applyFill="1" applyBorder="1" applyAlignment="1" applyProtection="1">
      <alignment horizontal="center" vertical="center"/>
      <protection locked="0"/>
    </xf>
    <xf numFmtId="0" fontId="106" fillId="15" borderId="50" xfId="0" applyFont="1" applyFill="1" applyBorder="1" applyAlignment="1">
      <alignment horizontal="center" vertical="center"/>
    </xf>
    <xf numFmtId="0" fontId="106" fillId="15" borderId="15" xfId="0" applyFont="1" applyFill="1" applyBorder="1" applyAlignment="1">
      <alignment horizontal="center" vertical="center"/>
    </xf>
    <xf numFmtId="0" fontId="106" fillId="15" borderId="11" xfId="0" applyFont="1" applyFill="1" applyBorder="1" applyAlignment="1">
      <alignment horizontal="center" vertical="center" wrapText="1"/>
    </xf>
    <xf numFmtId="0" fontId="106" fillId="15" borderId="13" xfId="0" applyFont="1" applyFill="1" applyBorder="1" applyAlignment="1">
      <alignment horizontal="center" vertical="center" wrapText="1"/>
    </xf>
    <xf numFmtId="171" fontId="73" fillId="37" borderId="208" xfId="0" applyNumberFormat="1" applyFont="1" applyFill="1" applyBorder="1" applyAlignment="1">
      <alignment horizontal="center" vertical="center" wrapText="1"/>
    </xf>
    <xf numFmtId="171" fontId="73" fillId="37" borderId="121" xfId="0" applyNumberFormat="1" applyFont="1" applyFill="1" applyBorder="1" applyAlignment="1">
      <alignment horizontal="center" vertical="center" wrapText="1"/>
    </xf>
    <xf numFmtId="171" fontId="73" fillId="37" borderId="130" xfId="0" applyNumberFormat="1" applyFont="1" applyFill="1" applyBorder="1" applyAlignment="1">
      <alignment horizontal="center" vertical="center" wrapText="1"/>
    </xf>
    <xf numFmtId="0" fontId="18" fillId="16" borderId="54" xfId="0" applyFont="1" applyFill="1" applyBorder="1" applyAlignment="1">
      <alignment horizontal="center" vertical="center" wrapText="1"/>
    </xf>
    <xf numFmtId="0" fontId="18" fillId="16" borderId="56" xfId="0" applyFont="1" applyFill="1" applyBorder="1" applyAlignment="1">
      <alignment horizontal="center" vertical="center" wrapText="1"/>
    </xf>
    <xf numFmtId="0" fontId="106" fillId="15" borderId="39" xfId="0" applyFont="1" applyFill="1" applyBorder="1" applyAlignment="1">
      <alignment horizontal="center" vertical="center"/>
    </xf>
    <xf numFmtId="0" fontId="106" fillId="15" borderId="24" xfId="0" applyFont="1" applyFill="1" applyBorder="1" applyAlignment="1">
      <alignment horizontal="center" vertical="center"/>
    </xf>
    <xf numFmtId="165" fontId="63" fillId="25" borderId="18" xfId="0" applyNumberFormat="1" applyFont="1" applyFill="1" applyBorder="1" applyAlignment="1" applyProtection="1">
      <alignment horizontal="center" vertical="center"/>
      <protection hidden="1"/>
    </xf>
    <xf numFmtId="165" fontId="63" fillId="25" borderId="19" xfId="0" applyNumberFormat="1" applyFont="1" applyFill="1" applyBorder="1" applyAlignment="1" applyProtection="1">
      <alignment horizontal="center" vertical="center"/>
      <protection hidden="1"/>
    </xf>
    <xf numFmtId="165" fontId="63" fillId="25" borderId="20" xfId="0" applyNumberFormat="1" applyFont="1" applyFill="1" applyBorder="1" applyAlignment="1" applyProtection="1">
      <alignment horizontal="center" vertical="center"/>
      <protection hidden="1"/>
    </xf>
    <xf numFmtId="0" fontId="107" fillId="37" borderId="18" xfId="0" applyFont="1" applyFill="1" applyBorder="1" applyAlignment="1">
      <alignment horizontal="center" vertical="center" wrapText="1"/>
    </xf>
    <xf numFmtId="0" fontId="107" fillId="37" borderId="19" xfId="0" applyFont="1" applyFill="1" applyBorder="1" applyAlignment="1">
      <alignment horizontal="center" vertical="center" wrapText="1"/>
    </xf>
    <xf numFmtId="0" fontId="0" fillId="0" borderId="90" xfId="0" applyBorder="1" applyAlignment="1">
      <alignment horizontal="center" vertical="center"/>
    </xf>
    <xf numFmtId="0" fontId="0" fillId="0" borderId="87" xfId="0" applyBorder="1" applyAlignment="1">
      <alignment horizontal="center" vertical="center"/>
    </xf>
    <xf numFmtId="0" fontId="7" fillId="6" borderId="21" xfId="0" applyFont="1" applyFill="1" applyBorder="1" applyAlignment="1">
      <alignment horizontal="center" vertical="center" wrapText="1"/>
    </xf>
    <xf numFmtId="0" fontId="7" fillId="6" borderId="16" xfId="0" applyFont="1" applyFill="1" applyBorder="1" applyAlignment="1">
      <alignment horizontal="center" vertical="center" wrapText="1"/>
    </xf>
    <xf numFmtId="0" fontId="7" fillId="6" borderId="18" xfId="0" applyFont="1" applyFill="1" applyBorder="1" applyAlignment="1">
      <alignment horizontal="center" vertical="center" wrapText="1"/>
    </xf>
    <xf numFmtId="9" fontId="2" fillId="14" borderId="4" xfId="1" applyFont="1" applyFill="1" applyBorder="1" applyAlignment="1">
      <alignment horizontal="center" vertical="center"/>
    </xf>
    <xf numFmtId="9" fontId="2" fillId="14" borderId="6" xfId="1" applyFont="1" applyFill="1" applyBorder="1" applyAlignment="1">
      <alignment horizontal="center" vertical="center"/>
    </xf>
    <xf numFmtId="9" fontId="2" fillId="14" borderId="25" xfId="1" applyFont="1" applyFill="1" applyBorder="1" applyAlignment="1">
      <alignment horizontal="center" vertical="center"/>
    </xf>
    <xf numFmtId="171" fontId="2" fillId="14" borderId="9" xfId="6" applyNumberFormat="1" applyFont="1" applyFill="1" applyBorder="1" applyAlignment="1" applyProtection="1">
      <alignment horizontal="center" vertical="center"/>
    </xf>
    <xf numFmtId="171" fontId="2" fillId="14" borderId="10" xfId="6" applyNumberFormat="1" applyFont="1" applyFill="1" applyBorder="1" applyAlignment="1" applyProtection="1">
      <alignment horizontal="center" vertical="center"/>
    </xf>
    <xf numFmtId="171" fontId="2" fillId="14" borderId="27" xfId="6" applyNumberFormat="1" applyFont="1" applyFill="1" applyBorder="1" applyAlignment="1" applyProtection="1">
      <alignment horizontal="center" vertical="center"/>
    </xf>
    <xf numFmtId="0" fontId="82" fillId="14" borderId="4" xfId="0" applyFont="1" applyFill="1" applyBorder="1" applyAlignment="1" applyProtection="1">
      <alignment horizontal="center" vertical="center"/>
      <protection hidden="1"/>
    </xf>
    <xf numFmtId="0" fontId="82" fillId="14" borderId="6" xfId="0" applyFont="1" applyFill="1" applyBorder="1" applyAlignment="1" applyProtection="1">
      <alignment horizontal="center" vertical="center"/>
      <protection hidden="1"/>
    </xf>
    <xf numFmtId="0" fontId="82" fillId="14" borderId="25" xfId="0" applyFont="1" applyFill="1" applyBorder="1" applyAlignment="1" applyProtection="1">
      <alignment horizontal="center" vertical="center"/>
      <protection hidden="1"/>
    </xf>
    <xf numFmtId="0" fontId="5" fillId="10" borderId="31" xfId="0" applyFont="1" applyFill="1" applyBorder="1" applyAlignment="1">
      <alignment horizontal="center" vertical="center" wrapText="1"/>
    </xf>
    <xf numFmtId="0" fontId="5" fillId="10" borderId="67" xfId="0" applyFont="1" applyFill="1" applyBorder="1" applyAlignment="1">
      <alignment horizontal="center" vertical="center" wrapText="1"/>
    </xf>
    <xf numFmtId="0" fontId="5" fillId="10" borderId="34"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15" fillId="6" borderId="54" xfId="0" applyFont="1" applyFill="1" applyBorder="1" applyAlignment="1">
      <alignment horizontal="center" vertical="center" wrapText="1"/>
    </xf>
    <xf numFmtId="0" fontId="15" fillId="6" borderId="55" xfId="0" applyFont="1" applyFill="1" applyBorder="1" applyAlignment="1">
      <alignment horizontal="center" vertical="center" wrapText="1"/>
    </xf>
    <xf numFmtId="0" fontId="15" fillId="6" borderId="22"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72" fillId="16" borderId="21" xfId="0" applyFont="1" applyFill="1" applyBorder="1" applyAlignment="1">
      <alignment horizontal="center" vertical="center" wrapText="1"/>
    </xf>
    <xf numFmtId="0" fontId="72" fillId="16" borderId="23" xfId="0" applyFont="1" applyFill="1" applyBorder="1" applyAlignment="1">
      <alignment horizontal="center" vertical="center" wrapText="1"/>
    </xf>
    <xf numFmtId="0" fontId="72" fillId="16" borderId="16" xfId="0" applyFont="1" applyFill="1" applyBorder="1" applyAlignment="1">
      <alignment horizontal="center" vertical="center" wrapText="1"/>
    </xf>
    <xf numFmtId="0" fontId="72" fillId="16" borderId="17" xfId="0" applyFont="1" applyFill="1" applyBorder="1" applyAlignment="1">
      <alignment horizontal="center" vertical="center" wrapText="1"/>
    </xf>
    <xf numFmtId="0" fontId="14" fillId="22" borderId="141" xfId="0" applyFont="1" applyFill="1" applyBorder="1" applyAlignment="1" applyProtection="1">
      <alignment horizontal="center" vertical="center" wrapText="1"/>
      <protection hidden="1"/>
    </xf>
    <xf numFmtId="0" fontId="14" fillId="22" borderId="67" xfId="0" applyFont="1" applyFill="1" applyBorder="1" applyAlignment="1" applyProtection="1">
      <alignment horizontal="center" vertical="center" wrapText="1"/>
      <protection hidden="1"/>
    </xf>
    <xf numFmtId="0" fontId="18" fillId="16" borderId="18" xfId="0" applyFont="1" applyFill="1" applyBorder="1" applyAlignment="1">
      <alignment horizontal="center" vertical="center"/>
    </xf>
    <xf numFmtId="0" fontId="18" fillId="16" borderId="19" xfId="0" applyFont="1" applyFill="1" applyBorder="1" applyAlignment="1">
      <alignment horizontal="center" vertical="center"/>
    </xf>
    <xf numFmtId="0" fontId="18" fillId="14" borderId="50" xfId="0" applyFont="1" applyFill="1" applyBorder="1" applyAlignment="1">
      <alignment horizontal="center" vertical="center" wrapText="1"/>
    </xf>
    <xf numFmtId="0" fontId="18" fillId="14" borderId="15" xfId="0" applyFont="1" applyFill="1" applyBorder="1" applyAlignment="1">
      <alignment horizontal="center" vertical="center" wrapText="1"/>
    </xf>
    <xf numFmtId="0" fontId="18" fillId="0" borderId="0" xfId="0" applyFont="1" applyAlignment="1">
      <alignment horizontal="center" vertical="center"/>
    </xf>
    <xf numFmtId="0" fontId="58" fillId="0" borderId="0" xfId="0" applyFont="1" applyAlignment="1">
      <alignment horizontal="center" vertical="center" wrapText="1"/>
    </xf>
    <xf numFmtId="0" fontId="18" fillId="14" borderId="11" xfId="0" applyFont="1" applyFill="1" applyBorder="1" applyAlignment="1">
      <alignment horizontal="center" vertical="center"/>
    </xf>
    <xf numFmtId="0" fontId="18" fillId="14" borderId="13" xfId="0" applyFont="1" applyFill="1" applyBorder="1" applyAlignment="1">
      <alignment horizontal="center" vertical="center"/>
    </xf>
    <xf numFmtId="0" fontId="63" fillId="0" borderId="163" xfId="0" applyFont="1" applyBorder="1" applyAlignment="1" applyProtection="1">
      <alignment horizontal="center" vertical="center" wrapText="1"/>
      <protection hidden="1"/>
    </xf>
    <xf numFmtId="0" fontId="63" fillId="0" borderId="165" xfId="0" applyFont="1" applyBorder="1" applyAlignment="1" applyProtection="1">
      <alignment horizontal="center" vertical="center" wrapText="1"/>
      <protection hidden="1"/>
    </xf>
    <xf numFmtId="0" fontId="63" fillId="0" borderId="172" xfId="0" applyFont="1" applyBorder="1" applyAlignment="1" applyProtection="1">
      <alignment horizontal="center" vertical="center" wrapText="1"/>
      <protection hidden="1"/>
    </xf>
    <xf numFmtId="0" fontId="63" fillId="0" borderId="115" xfId="0" applyFont="1" applyBorder="1" applyAlignment="1" applyProtection="1">
      <alignment horizontal="center" vertical="center" wrapText="1"/>
      <protection hidden="1"/>
    </xf>
    <xf numFmtId="0" fontId="14" fillId="22" borderId="164" xfId="0" applyFont="1" applyFill="1" applyBorder="1" applyAlignment="1" applyProtection="1">
      <alignment horizontal="center" vertical="center" wrapText="1"/>
      <protection hidden="1"/>
    </xf>
    <xf numFmtId="0" fontId="14" fillId="22" borderId="48" xfId="0" applyFont="1" applyFill="1" applyBorder="1" applyAlignment="1" applyProtection="1">
      <alignment horizontal="center" vertical="center" wrapText="1"/>
      <protection hidden="1"/>
    </xf>
    <xf numFmtId="0" fontId="18" fillId="14" borderId="18" xfId="0" applyFont="1" applyFill="1" applyBorder="1" applyAlignment="1">
      <alignment horizontal="center" vertical="center" wrapText="1"/>
    </xf>
    <xf numFmtId="0" fontId="18" fillId="14" borderId="62" xfId="0" applyFont="1" applyFill="1" applyBorder="1" applyAlignment="1">
      <alignment horizontal="center" vertical="center" wrapText="1"/>
    </xf>
    <xf numFmtId="171" fontId="26" fillId="14" borderId="221" xfId="0" applyNumberFormat="1" applyFont="1" applyFill="1" applyBorder="1" applyAlignment="1">
      <alignment horizontal="center" vertical="center"/>
    </xf>
    <xf numFmtId="171" fontId="26" fillId="14" borderId="222" xfId="0" applyNumberFormat="1" applyFont="1" applyFill="1" applyBorder="1" applyAlignment="1">
      <alignment horizontal="center" vertical="center"/>
    </xf>
    <xf numFmtId="171" fontId="26" fillId="14" borderId="112" xfId="0" applyNumberFormat="1" applyFont="1" applyFill="1" applyBorder="1" applyAlignment="1">
      <alignment horizontal="center" vertical="center"/>
    </xf>
    <xf numFmtId="171" fontId="94" fillId="19" borderId="22" xfId="0" applyNumberFormat="1" applyFont="1" applyFill="1" applyBorder="1" applyAlignment="1">
      <alignment horizontal="center" vertical="center"/>
    </xf>
    <xf numFmtId="171" fontId="94" fillId="19" borderId="0" xfId="0" applyNumberFormat="1" applyFont="1" applyFill="1" applyAlignment="1">
      <alignment horizontal="center" vertical="center"/>
    </xf>
    <xf numFmtId="171" fontId="94" fillId="19" borderId="19" xfId="0" applyNumberFormat="1" applyFont="1" applyFill="1" applyBorder="1" applyAlignment="1">
      <alignment horizontal="center" vertical="center"/>
    </xf>
    <xf numFmtId="0" fontId="74" fillId="42" borderId="16" xfId="0" applyFont="1" applyFill="1" applyBorder="1" applyAlignment="1">
      <alignment horizontal="center" vertical="center" wrapText="1"/>
    </xf>
    <xf numFmtId="0" fontId="74" fillId="42" borderId="0" xfId="0" applyFont="1" applyFill="1" applyAlignment="1">
      <alignment horizontal="center" vertical="center" wrapText="1"/>
    </xf>
    <xf numFmtId="0" fontId="8" fillId="0" borderId="0" xfId="0" applyFont="1" applyAlignment="1">
      <alignment horizontal="left" vertical="center"/>
    </xf>
    <xf numFmtId="0" fontId="21" fillId="5" borderId="54" xfId="0" applyFont="1" applyFill="1" applyBorder="1" applyAlignment="1">
      <alignment horizontal="center" vertical="center" wrapText="1"/>
    </xf>
    <xf numFmtId="0" fontId="21" fillId="5" borderId="58" xfId="0" applyFont="1" applyFill="1" applyBorder="1" applyAlignment="1">
      <alignment horizontal="center" vertical="center" wrapText="1"/>
    </xf>
    <xf numFmtId="0" fontId="47" fillId="0" borderId="0" xfId="0" applyFont="1" applyAlignment="1">
      <alignment horizontal="left" vertical="center"/>
    </xf>
    <xf numFmtId="0" fontId="0" fillId="0" borderId="0" xfId="0" applyAlignment="1">
      <alignment horizontal="center" vertical="center"/>
    </xf>
    <xf numFmtId="0" fontId="45" fillId="0" borderId="16" xfId="0" applyFont="1" applyBorder="1" applyAlignment="1">
      <alignment horizontal="center" vertical="center"/>
    </xf>
    <xf numFmtId="0" fontId="45" fillId="0" borderId="0" xfId="0" applyFont="1" applyAlignment="1">
      <alignment horizontal="center" vertical="center"/>
    </xf>
    <xf numFmtId="0" fontId="45" fillId="0" borderId="17" xfId="0" applyFont="1" applyBorder="1" applyAlignment="1">
      <alignment horizontal="center" vertical="center"/>
    </xf>
    <xf numFmtId="0" fontId="21" fillId="9" borderId="16" xfId="0" applyFont="1" applyFill="1" applyBorder="1" applyAlignment="1" applyProtection="1">
      <alignment horizontal="center" vertical="center"/>
      <protection locked="0"/>
    </xf>
    <xf numFmtId="0" fontId="21" fillId="9" borderId="0" xfId="0" applyFont="1" applyFill="1" applyAlignment="1" applyProtection="1">
      <alignment horizontal="center" vertical="center"/>
      <protection locked="0"/>
    </xf>
    <xf numFmtId="0" fontId="21" fillId="9" borderId="17" xfId="0" applyFont="1" applyFill="1" applyBorder="1" applyAlignment="1" applyProtection="1">
      <alignment horizontal="center" vertical="center"/>
      <protection locked="0"/>
    </xf>
    <xf numFmtId="0" fontId="43" fillId="0" borderId="16" xfId="0" applyFont="1" applyBorder="1" applyAlignment="1">
      <alignment horizontal="center" vertical="center"/>
    </xf>
    <xf numFmtId="0" fontId="43" fillId="0" borderId="0" xfId="0" applyFont="1" applyAlignment="1">
      <alignment horizontal="center" vertical="center"/>
    </xf>
    <xf numFmtId="0" fontId="43" fillId="0" borderId="17" xfId="0" applyFont="1" applyBorder="1" applyAlignment="1">
      <alignment horizontal="center" vertical="center"/>
    </xf>
    <xf numFmtId="0" fontId="47" fillId="0" borderId="0" xfId="0" applyFont="1" applyAlignment="1">
      <alignment horizontal="center" vertical="center" wrapText="1"/>
    </xf>
    <xf numFmtId="0" fontId="46" fillId="11" borderId="0" xfId="0" applyFont="1" applyFill="1" applyAlignment="1">
      <alignment horizontal="left" vertical="center" wrapText="1"/>
    </xf>
    <xf numFmtId="0" fontId="46" fillId="11" borderId="0" xfId="0" applyFont="1" applyFill="1" applyAlignment="1">
      <alignment horizontal="left" vertical="center"/>
    </xf>
    <xf numFmtId="0" fontId="40" fillId="0" borderId="16" xfId="0" applyFont="1" applyBorder="1" applyAlignment="1">
      <alignment horizontal="center" vertical="center"/>
    </xf>
    <xf numFmtId="0" fontId="40" fillId="0" borderId="0" xfId="0" applyFont="1" applyAlignment="1">
      <alignment horizontal="center" vertical="center"/>
    </xf>
    <xf numFmtId="0" fontId="40" fillId="0" borderId="17" xfId="0" applyFont="1" applyBorder="1" applyAlignment="1">
      <alignment horizontal="center" vertical="center"/>
    </xf>
    <xf numFmtId="0" fontId="46" fillId="0" borderId="0" xfId="0" applyFont="1" applyAlignment="1">
      <alignment horizontal="center" vertical="center"/>
    </xf>
    <xf numFmtId="0" fontId="21" fillId="5" borderId="55" xfId="0" applyFont="1" applyFill="1" applyBorder="1" applyAlignment="1">
      <alignment horizontal="center" vertical="center" wrapText="1"/>
    </xf>
    <xf numFmtId="0" fontId="10" fillId="7" borderId="34" xfId="0" applyFont="1" applyFill="1" applyBorder="1" applyAlignment="1">
      <alignment horizontal="center" vertical="center" wrapText="1"/>
    </xf>
    <xf numFmtId="0" fontId="10" fillId="7" borderId="51" xfId="0" applyFont="1" applyFill="1" applyBorder="1" applyAlignment="1">
      <alignment horizontal="center" vertical="center" wrapText="1"/>
    </xf>
    <xf numFmtId="0" fontId="21" fillId="6" borderId="39" xfId="0" applyFont="1" applyFill="1" applyBorder="1" applyAlignment="1">
      <alignment horizontal="center" vertical="center" wrapText="1"/>
    </xf>
    <xf numFmtId="0" fontId="21" fillId="6" borderId="36" xfId="0" applyFont="1" applyFill="1" applyBorder="1" applyAlignment="1">
      <alignment horizontal="center" vertical="center" wrapText="1"/>
    </xf>
    <xf numFmtId="0" fontId="21" fillId="6" borderId="37" xfId="0" applyFont="1" applyFill="1" applyBorder="1" applyAlignment="1">
      <alignment horizontal="center" vertical="center" wrapText="1"/>
    </xf>
    <xf numFmtId="0" fontId="21" fillId="6" borderId="54" xfId="0" applyFont="1" applyFill="1" applyBorder="1" applyAlignment="1">
      <alignment horizontal="center" vertical="center" wrapText="1"/>
    </xf>
    <xf numFmtId="0" fontId="21" fillId="6" borderId="55" xfId="0" applyFont="1" applyFill="1" applyBorder="1" applyAlignment="1">
      <alignment horizontal="center" vertical="center" wrapText="1"/>
    </xf>
    <xf numFmtId="0" fontId="21" fillId="6" borderId="58" xfId="0" applyFont="1" applyFill="1" applyBorder="1" applyAlignment="1">
      <alignment horizontal="center" vertical="center" wrapText="1"/>
    </xf>
    <xf numFmtId="0" fontId="39" fillId="5" borderId="12" xfId="0" applyFont="1" applyFill="1" applyBorder="1" applyAlignment="1">
      <alignment horizontal="center" vertical="center" wrapText="1"/>
    </xf>
    <xf numFmtId="0" fontId="39" fillId="5" borderId="14" xfId="0" applyFont="1" applyFill="1" applyBorder="1" applyAlignment="1">
      <alignment horizontal="center" vertical="center" wrapText="1"/>
    </xf>
    <xf numFmtId="0" fontId="39" fillId="5" borderId="15"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21" fillId="6" borderId="43"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6" borderId="41" xfId="0" applyFont="1" applyFill="1" applyBorder="1" applyAlignment="1">
      <alignment horizontal="center" vertical="center" wrapText="1"/>
    </xf>
    <xf numFmtId="0" fontId="20" fillId="8" borderId="48" xfId="0" applyFont="1" applyFill="1" applyBorder="1" applyAlignment="1">
      <alignment horizontal="center" vertical="center" wrapText="1"/>
    </xf>
    <xf numFmtId="0" fontId="20" fillId="8" borderId="51" xfId="0" applyFont="1" applyFill="1" applyBorder="1" applyAlignment="1">
      <alignment horizontal="center" vertical="center" wrapText="1"/>
    </xf>
    <xf numFmtId="0" fontId="19" fillId="8" borderId="48" xfId="0" applyFont="1" applyFill="1" applyBorder="1" applyAlignment="1">
      <alignment horizontal="center" vertical="top" wrapText="1"/>
    </xf>
    <xf numFmtId="0" fontId="19" fillId="8" borderId="51" xfId="0" applyFont="1" applyFill="1" applyBorder="1" applyAlignment="1">
      <alignment horizontal="center" vertical="top" wrapText="1"/>
    </xf>
    <xf numFmtId="0" fontId="19" fillId="8" borderId="21" xfId="0" applyFont="1" applyFill="1" applyBorder="1" applyAlignment="1">
      <alignment horizontal="center" vertical="center" wrapText="1"/>
    </xf>
    <xf numFmtId="0" fontId="19" fillId="8" borderId="66" xfId="0" applyFont="1" applyFill="1" applyBorder="1" applyAlignment="1">
      <alignment horizontal="center" vertical="center" wrapText="1"/>
    </xf>
    <xf numFmtId="0" fontId="19" fillId="8" borderId="16" xfId="0" applyFont="1" applyFill="1" applyBorder="1" applyAlignment="1">
      <alignment horizontal="center" vertical="center" wrapText="1"/>
    </xf>
    <xf numFmtId="0" fontId="19" fillId="8" borderId="38" xfId="0" applyFont="1" applyFill="1" applyBorder="1" applyAlignment="1">
      <alignment horizontal="center" vertical="center" wrapText="1"/>
    </xf>
    <xf numFmtId="0" fontId="19" fillId="8" borderId="18" xfId="0" applyFont="1" applyFill="1" applyBorder="1" applyAlignment="1">
      <alignment horizontal="center" vertical="center" wrapText="1"/>
    </xf>
    <xf numFmtId="0" fontId="19" fillId="8" borderId="62"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18" fillId="11" borderId="4" xfId="0" applyFont="1" applyFill="1" applyBorder="1" applyAlignment="1">
      <alignment horizontal="center" vertical="center" wrapText="1"/>
    </xf>
    <xf numFmtId="0" fontId="18" fillId="11" borderId="5" xfId="0" applyFont="1" applyFill="1" applyBorder="1" applyAlignment="1">
      <alignment horizontal="center" vertical="center" wrapText="1"/>
    </xf>
    <xf numFmtId="0" fontId="8" fillId="13" borderId="21" xfId="0" applyFont="1" applyFill="1" applyBorder="1" applyAlignment="1">
      <alignment horizontal="left" vertical="center" wrapText="1"/>
    </xf>
    <xf numFmtId="0" fontId="8" fillId="13" borderId="22" xfId="0" applyFont="1" applyFill="1" applyBorder="1" applyAlignment="1">
      <alignment horizontal="left" vertical="center" wrapText="1"/>
    </xf>
    <xf numFmtId="0" fontId="8" fillId="13" borderId="23" xfId="0" applyFont="1" applyFill="1" applyBorder="1" applyAlignment="1">
      <alignment horizontal="left" vertical="center" wrapText="1"/>
    </xf>
    <xf numFmtId="0" fontId="12" fillId="13" borderId="18" xfId="0" applyFont="1" applyFill="1" applyBorder="1" applyAlignment="1">
      <alignment horizontal="left" vertical="center" wrapText="1"/>
    </xf>
    <xf numFmtId="0" fontId="12" fillId="13" borderId="19"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27" fillId="6" borderId="54" xfId="0" applyFont="1" applyFill="1" applyBorder="1" applyAlignment="1">
      <alignment horizontal="center" vertical="center" wrapText="1"/>
    </xf>
    <xf numFmtId="0" fontId="27" fillId="6" borderId="55" xfId="0" applyFont="1" applyFill="1" applyBorder="1" applyAlignment="1">
      <alignment horizontal="center" vertical="center" wrapText="1"/>
    </xf>
    <xf numFmtId="0" fontId="27" fillId="6" borderId="58" xfId="0" applyFont="1" applyFill="1" applyBorder="1" applyAlignment="1">
      <alignment horizontal="center" vertical="center" wrapText="1"/>
    </xf>
    <xf numFmtId="0" fontId="9" fillId="0" borderId="0" xfId="0" applyFont="1" applyAlignment="1">
      <alignment horizontal="center" vertical="center" wrapText="1"/>
    </xf>
    <xf numFmtId="0" fontId="28" fillId="0" borderId="0" xfId="2" applyFont="1" applyAlignment="1">
      <alignment horizontal="left" vertical="center" wrapText="1"/>
    </xf>
    <xf numFmtId="0" fontId="10" fillId="7" borderId="68" xfId="2" applyFont="1" applyFill="1" applyBorder="1" applyAlignment="1">
      <alignment horizontal="center" vertical="center" wrapText="1"/>
    </xf>
    <xf numFmtId="0" fontId="10" fillId="7" borderId="22" xfId="2" applyFont="1" applyFill="1" applyBorder="1" applyAlignment="1">
      <alignment horizontal="center" vertical="center" wrapText="1"/>
    </xf>
    <xf numFmtId="0" fontId="10" fillId="7" borderId="66" xfId="2" applyFont="1" applyFill="1" applyBorder="1" applyAlignment="1">
      <alignment horizontal="center" vertical="center" wrapText="1"/>
    </xf>
    <xf numFmtId="0" fontId="10" fillId="10" borderId="68" xfId="2" applyFont="1" applyFill="1" applyBorder="1" applyAlignment="1">
      <alignment horizontal="center" vertical="center" wrapText="1"/>
    </xf>
    <xf numFmtId="0" fontId="10" fillId="10" borderId="22" xfId="2" applyFont="1" applyFill="1" applyBorder="1" applyAlignment="1">
      <alignment horizontal="center" vertical="center" wrapText="1"/>
    </xf>
    <xf numFmtId="0" fontId="10" fillId="10" borderId="66" xfId="2" applyFont="1" applyFill="1" applyBorder="1" applyAlignment="1">
      <alignment horizontal="center" vertical="center" wrapText="1"/>
    </xf>
    <xf numFmtId="0" fontId="27" fillId="11" borderId="54" xfId="0" applyFont="1" applyFill="1" applyBorder="1" applyAlignment="1">
      <alignment horizontal="center" vertical="center" wrapText="1"/>
    </xf>
    <xf numFmtId="0" fontId="27" fillId="11" borderId="55" xfId="0" applyFont="1" applyFill="1" applyBorder="1" applyAlignment="1">
      <alignment horizontal="center" vertical="center" wrapText="1"/>
    </xf>
    <xf numFmtId="0" fontId="27" fillId="11" borderId="58"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21" fillId="6" borderId="21" xfId="0" applyFont="1" applyFill="1" applyBorder="1" applyAlignment="1">
      <alignment horizontal="center" vertical="center" wrapText="1"/>
    </xf>
    <xf numFmtId="0" fontId="21" fillId="6" borderId="22"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3" borderId="0" xfId="0" applyFont="1" applyFill="1" applyAlignment="1">
      <alignment horizontal="left" vertical="center"/>
    </xf>
    <xf numFmtId="0" fontId="16" fillId="0" borderId="0" xfId="0" applyFont="1" applyAlignment="1">
      <alignment horizontal="left" vertical="center" wrapText="1"/>
    </xf>
    <xf numFmtId="0" fontId="37" fillId="13" borderId="21" xfId="0" applyFont="1" applyFill="1" applyBorder="1" applyAlignment="1">
      <alignment horizontal="left" vertical="center" wrapText="1"/>
    </xf>
    <xf numFmtId="0" fontId="37" fillId="13" borderId="22" xfId="0" applyFont="1" applyFill="1" applyBorder="1" applyAlignment="1">
      <alignment horizontal="left" vertical="center" wrapText="1"/>
    </xf>
    <xf numFmtId="0" fontId="37" fillId="13" borderId="23" xfId="0" applyFont="1" applyFill="1" applyBorder="1" applyAlignment="1">
      <alignment horizontal="left" vertical="center" wrapText="1"/>
    </xf>
    <xf numFmtId="0" fontId="37" fillId="13" borderId="18"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1" fillId="13" borderId="21" xfId="0" applyFont="1" applyFill="1" applyBorder="1" applyAlignment="1">
      <alignment horizontal="left" vertical="center" wrapText="1"/>
    </xf>
    <xf numFmtId="0" fontId="21" fillId="13" borderId="22" xfId="0" applyFont="1" applyFill="1" applyBorder="1" applyAlignment="1">
      <alignment horizontal="left" vertical="center" wrapText="1"/>
    </xf>
    <xf numFmtId="0" fontId="21" fillId="13" borderId="23" xfId="0" applyFont="1" applyFill="1" applyBorder="1" applyAlignment="1">
      <alignment horizontal="left" vertical="center" wrapText="1"/>
    </xf>
    <xf numFmtId="0" fontId="67" fillId="13" borderId="18" xfId="0" applyFont="1" applyFill="1" applyBorder="1" applyAlignment="1">
      <alignment horizontal="left" vertical="top" wrapText="1"/>
    </xf>
    <xf numFmtId="0" fontId="67" fillId="13" borderId="19" xfId="0" applyFont="1" applyFill="1" applyBorder="1" applyAlignment="1">
      <alignment horizontal="left" vertical="top" wrapText="1"/>
    </xf>
    <xf numFmtId="0" fontId="67" fillId="13" borderId="20" xfId="0" applyFont="1" applyFill="1" applyBorder="1" applyAlignment="1">
      <alignment horizontal="left" vertical="top" wrapText="1"/>
    </xf>
    <xf numFmtId="0" fontId="21" fillId="11" borderId="54" xfId="0" applyFont="1" applyFill="1" applyBorder="1" applyAlignment="1">
      <alignment horizontal="center" vertical="center" wrapText="1"/>
    </xf>
    <xf numFmtId="0" fontId="21" fillId="11" borderId="55" xfId="0" applyFont="1" applyFill="1" applyBorder="1" applyAlignment="1">
      <alignment horizontal="center" vertical="center" wrapText="1"/>
    </xf>
    <xf numFmtId="0" fontId="21" fillId="11" borderId="22" xfId="0" applyFont="1" applyFill="1" applyBorder="1" applyAlignment="1">
      <alignment horizontal="center" vertical="center" wrapText="1"/>
    </xf>
    <xf numFmtId="0" fontId="27" fillId="6" borderId="21" xfId="0" applyFont="1" applyFill="1" applyBorder="1" applyAlignment="1">
      <alignment horizontal="center" vertical="center" wrapText="1"/>
    </xf>
    <xf numFmtId="0" fontId="27" fillId="6" borderId="22" xfId="0" applyFont="1" applyFill="1" applyBorder="1" applyAlignment="1">
      <alignment horizontal="center" vertical="center" wrapText="1"/>
    </xf>
    <xf numFmtId="0" fontId="27" fillId="6" borderId="23" xfId="0" applyFont="1" applyFill="1" applyBorder="1" applyAlignment="1">
      <alignment horizontal="center" vertical="center" wrapText="1"/>
    </xf>
    <xf numFmtId="0" fontId="42" fillId="13" borderId="18" xfId="0" applyFont="1" applyFill="1" applyBorder="1" applyAlignment="1">
      <alignment horizontal="left" vertical="center" wrapText="1"/>
    </xf>
    <xf numFmtId="0" fontId="42" fillId="13" borderId="19" xfId="0" applyFont="1" applyFill="1" applyBorder="1" applyAlignment="1">
      <alignment horizontal="left" vertical="center" wrapText="1"/>
    </xf>
    <xf numFmtId="0" fontId="42" fillId="13" borderId="20" xfId="0" applyFont="1" applyFill="1" applyBorder="1" applyAlignment="1">
      <alignment horizontal="left" vertical="center" wrapText="1"/>
    </xf>
    <xf numFmtId="0" fontId="8" fillId="13" borderId="21" xfId="0" applyFont="1" applyFill="1" applyBorder="1" applyAlignment="1">
      <alignment horizontal="left" vertical="center"/>
    </xf>
    <xf numFmtId="0" fontId="8" fillId="13" borderId="22" xfId="0" applyFont="1" applyFill="1" applyBorder="1" applyAlignment="1">
      <alignment horizontal="left" vertical="center"/>
    </xf>
    <xf numFmtId="0" fontId="8" fillId="13" borderId="23" xfId="0" applyFont="1" applyFill="1" applyBorder="1" applyAlignment="1">
      <alignment horizontal="left" vertical="center"/>
    </xf>
    <xf numFmtId="0" fontId="0" fillId="0" borderId="0" xfId="0" applyAlignment="1">
      <alignment horizontal="center"/>
    </xf>
    <xf numFmtId="0" fontId="10" fillId="7" borderId="48" xfId="0" applyFont="1" applyFill="1" applyBorder="1" applyAlignment="1">
      <alignment horizontal="center" vertical="center" wrapText="1"/>
    </xf>
    <xf numFmtId="0" fontId="16" fillId="3" borderId="0" xfId="0" applyFont="1" applyFill="1" applyAlignment="1">
      <alignment horizontal="left" vertical="center" wrapText="1"/>
    </xf>
    <xf numFmtId="0" fontId="12" fillId="3" borderId="0" xfId="0" applyFont="1" applyFill="1" applyAlignment="1">
      <alignment horizontal="left" vertical="center" wrapText="1"/>
    </xf>
    <xf numFmtId="0" fontId="37" fillId="13" borderId="54" xfId="0" applyFont="1" applyFill="1" applyBorder="1" applyAlignment="1">
      <alignment horizontal="center" vertical="center" wrapText="1"/>
    </xf>
    <xf numFmtId="0" fontId="37" fillId="13" borderId="55" xfId="0" applyFont="1" applyFill="1" applyBorder="1" applyAlignment="1">
      <alignment horizontal="center" vertical="center" wrapText="1"/>
    </xf>
    <xf numFmtId="0" fontId="37" fillId="13" borderId="58" xfId="0" applyFont="1" applyFill="1" applyBorder="1" applyAlignment="1">
      <alignment horizontal="center" vertical="center" wrapText="1"/>
    </xf>
    <xf numFmtId="0" fontId="8" fillId="27" borderId="116" xfId="0" applyFont="1" applyFill="1" applyBorder="1" applyAlignment="1">
      <alignment horizontal="center" vertical="center" wrapText="1"/>
    </xf>
    <xf numFmtId="0" fontId="8" fillId="27" borderId="117" xfId="0" applyFont="1" applyFill="1" applyBorder="1" applyAlignment="1">
      <alignment horizontal="center" vertical="center" wrapText="1"/>
    </xf>
    <xf numFmtId="0" fontId="8" fillId="27" borderId="118" xfId="0" applyFont="1" applyFill="1" applyBorder="1" applyAlignment="1">
      <alignment horizontal="center" vertical="center" wrapText="1"/>
    </xf>
    <xf numFmtId="0" fontId="51" fillId="27" borderId="115" xfId="0" applyFont="1" applyFill="1" applyBorder="1" applyAlignment="1">
      <alignment horizontal="left" vertical="top" wrapText="1"/>
    </xf>
    <xf numFmtId="0" fontId="51" fillId="27" borderId="105" xfId="0" applyFont="1" applyFill="1" applyBorder="1" applyAlignment="1">
      <alignment horizontal="left" vertical="top" wrapText="1"/>
    </xf>
    <xf numFmtId="0" fontId="51" fillId="27" borderId="132" xfId="0" applyFont="1" applyFill="1" applyBorder="1" applyAlignment="1">
      <alignment horizontal="left" vertical="top" wrapText="1"/>
    </xf>
    <xf numFmtId="0" fontId="21" fillId="11" borderId="58" xfId="0" applyFont="1" applyFill="1" applyBorder="1" applyAlignment="1">
      <alignment horizontal="center" vertical="center" wrapText="1"/>
    </xf>
    <xf numFmtId="0" fontId="21" fillId="28" borderId="54" xfId="0" applyFont="1" applyFill="1" applyBorder="1" applyAlignment="1">
      <alignment horizontal="center" vertical="center" wrapText="1"/>
    </xf>
    <xf numFmtId="0" fontId="21" fillId="28" borderId="55" xfId="0" applyFont="1" applyFill="1" applyBorder="1" applyAlignment="1">
      <alignment horizontal="center" vertical="center" wrapText="1"/>
    </xf>
    <xf numFmtId="0" fontId="21" fillId="6" borderId="170" xfId="0" applyFont="1" applyFill="1" applyBorder="1" applyAlignment="1">
      <alignment horizontal="center" vertical="center" wrapText="1"/>
    </xf>
    <xf numFmtId="0" fontId="21" fillId="6" borderId="174" xfId="0" applyFont="1" applyFill="1" applyBorder="1" applyAlignment="1">
      <alignment horizontal="center" vertical="center" wrapText="1"/>
    </xf>
    <xf numFmtId="0" fontId="21" fillId="6" borderId="117" xfId="0" applyFont="1" applyFill="1" applyBorder="1" applyAlignment="1">
      <alignment horizontal="center" vertical="center" wrapText="1"/>
    </xf>
    <xf numFmtId="0" fontId="21" fillId="6" borderId="118" xfId="0" applyFont="1" applyFill="1" applyBorder="1" applyAlignment="1">
      <alignment horizontal="center" vertical="center" wrapText="1"/>
    </xf>
    <xf numFmtId="0" fontId="10" fillId="7" borderId="159" xfId="0" applyFont="1" applyFill="1" applyBorder="1" applyAlignment="1">
      <alignment horizontal="center" vertical="center" wrapText="1"/>
    </xf>
    <xf numFmtId="0" fontId="10" fillId="7" borderId="149" xfId="0" applyFont="1" applyFill="1" applyBorder="1" applyAlignment="1">
      <alignment horizontal="center" vertical="center" wrapText="1"/>
    </xf>
    <xf numFmtId="0" fontId="21" fillId="5" borderId="116" xfId="0" applyFont="1" applyFill="1" applyBorder="1" applyAlignment="1">
      <alignment horizontal="center" vertical="center" wrapText="1"/>
    </xf>
    <xf numFmtId="0" fontId="21" fillId="5" borderId="174" xfId="0" applyFont="1" applyFill="1" applyBorder="1" applyAlignment="1">
      <alignment horizontal="center" vertical="center" wrapText="1"/>
    </xf>
    <xf numFmtId="0" fontId="21" fillId="5" borderId="117" xfId="0" applyFont="1" applyFill="1" applyBorder="1" applyAlignment="1">
      <alignment horizontal="center" vertical="center" wrapText="1"/>
    </xf>
    <xf numFmtId="0" fontId="21" fillId="5" borderId="171" xfId="0" applyFont="1" applyFill="1" applyBorder="1" applyAlignment="1">
      <alignment horizontal="center" vertical="center" wrapText="1"/>
    </xf>
    <xf numFmtId="0" fontId="16" fillId="7" borderId="131" xfId="0" applyFont="1" applyFill="1" applyBorder="1" applyAlignment="1">
      <alignment horizontal="center" vertical="center" wrapText="1"/>
    </xf>
    <xf numFmtId="0" fontId="29" fillId="7" borderId="129" xfId="0" applyFont="1" applyFill="1" applyBorder="1" applyAlignment="1">
      <alignment horizontal="center" vertical="center" wrapText="1"/>
    </xf>
    <xf numFmtId="0" fontId="29" fillId="7" borderId="173" xfId="0" applyFont="1" applyFill="1" applyBorder="1" applyAlignment="1">
      <alignment horizontal="center" vertical="center" wrapText="1"/>
    </xf>
    <xf numFmtId="0" fontId="21" fillId="28" borderId="58" xfId="0" applyFont="1" applyFill="1" applyBorder="1" applyAlignment="1">
      <alignment horizontal="center" vertical="center" wrapText="1"/>
    </xf>
    <xf numFmtId="0" fontId="29" fillId="10" borderId="171" xfId="0" applyFont="1" applyFill="1" applyBorder="1" applyAlignment="1">
      <alignment horizontal="center" vertical="center" wrapText="1"/>
    </xf>
    <xf numFmtId="0" fontId="29" fillId="10" borderId="173" xfId="0" applyFont="1" applyFill="1" applyBorder="1" applyAlignment="1">
      <alignment horizontal="center" vertical="center" wrapText="1"/>
    </xf>
    <xf numFmtId="0" fontId="21" fillId="28" borderId="170" xfId="0" applyFont="1" applyFill="1" applyBorder="1" applyAlignment="1">
      <alignment horizontal="center" vertical="center" wrapText="1"/>
    </xf>
    <xf numFmtId="0" fontId="21" fillId="28" borderId="174" xfId="0" applyFont="1" applyFill="1" applyBorder="1" applyAlignment="1">
      <alignment horizontal="center" vertical="center" wrapText="1"/>
    </xf>
    <xf numFmtId="0" fontId="21" fillId="28" borderId="171" xfId="0" applyFont="1" applyFill="1" applyBorder="1" applyAlignment="1">
      <alignment horizontal="center" vertical="center" wrapText="1"/>
    </xf>
    <xf numFmtId="0" fontId="21" fillId="11" borderId="116" xfId="0" applyFont="1" applyFill="1" applyBorder="1" applyAlignment="1">
      <alignment horizontal="center" vertical="center" wrapText="1"/>
    </xf>
    <xf numFmtId="0" fontId="21" fillId="11" borderId="117" xfId="0" applyFont="1" applyFill="1" applyBorder="1" applyAlignment="1">
      <alignment horizontal="center" vertical="center" wrapText="1"/>
    </xf>
    <xf numFmtId="0" fontId="21" fillId="11" borderId="118" xfId="0" applyFont="1" applyFill="1" applyBorder="1" applyAlignment="1">
      <alignment horizontal="center" vertical="center" wrapText="1"/>
    </xf>
    <xf numFmtId="0" fontId="10" fillId="7" borderId="147" xfId="0" applyFont="1" applyFill="1" applyBorder="1" applyAlignment="1">
      <alignment horizontal="center" vertical="center" wrapText="1"/>
    </xf>
    <xf numFmtId="0" fontId="10" fillId="7" borderId="137" xfId="0" applyFont="1" applyFill="1" applyBorder="1" applyAlignment="1">
      <alignment horizontal="center" vertical="center" wrapText="1"/>
    </xf>
    <xf numFmtId="0" fontId="21" fillId="11" borderId="146" xfId="0" applyFont="1" applyFill="1" applyBorder="1" applyAlignment="1">
      <alignment horizontal="center" vertical="center" wrapText="1"/>
    </xf>
    <xf numFmtId="0" fontId="21" fillId="11" borderId="135" xfId="0" applyFont="1" applyFill="1" applyBorder="1" applyAlignment="1">
      <alignment horizontal="center" vertical="center" wrapText="1"/>
    </xf>
    <xf numFmtId="0" fontId="21" fillId="6" borderId="146" xfId="0" applyFont="1" applyFill="1" applyBorder="1" applyAlignment="1">
      <alignment horizontal="center" vertical="center" wrapText="1"/>
    </xf>
    <xf numFmtId="0" fontId="21" fillId="6" borderId="135" xfId="0" applyFont="1" applyFill="1" applyBorder="1" applyAlignment="1">
      <alignment horizontal="center" vertical="center" wrapText="1"/>
    </xf>
    <xf numFmtId="0" fontId="21" fillId="6" borderId="136" xfId="0" applyFont="1" applyFill="1" applyBorder="1" applyAlignment="1">
      <alignment horizontal="center" vertical="center" wrapText="1"/>
    </xf>
    <xf numFmtId="0" fontId="0" fillId="13" borderId="54" xfId="0" applyFill="1" applyBorder="1" applyAlignment="1">
      <alignment horizontal="left" vertical="center" wrapText="1"/>
    </xf>
    <xf numFmtId="0" fontId="0" fillId="13" borderId="55" xfId="0" applyFill="1" applyBorder="1" applyAlignment="1">
      <alignment horizontal="left" vertical="center" wrapText="1"/>
    </xf>
    <xf numFmtId="0" fontId="0" fillId="13" borderId="58" xfId="0" applyFill="1" applyBorder="1" applyAlignment="1">
      <alignment horizontal="left" vertical="center" wrapText="1"/>
    </xf>
    <xf numFmtId="0" fontId="10" fillId="7" borderId="155" xfId="0" applyFont="1" applyFill="1" applyBorder="1" applyAlignment="1">
      <alignment horizontal="center" vertical="center" wrapText="1"/>
    </xf>
    <xf numFmtId="0" fontId="10" fillId="7" borderId="114" xfId="0" applyFont="1" applyFill="1" applyBorder="1" applyAlignment="1">
      <alignment horizontal="center" vertical="center" wrapText="1"/>
    </xf>
    <xf numFmtId="0" fontId="37" fillId="13" borderId="21" xfId="0" applyFont="1" applyFill="1" applyBorder="1" applyAlignment="1">
      <alignment horizontal="left" vertical="center"/>
    </xf>
    <xf numFmtId="0" fontId="37" fillId="13" borderId="22" xfId="0" applyFont="1" applyFill="1" applyBorder="1" applyAlignment="1">
      <alignment horizontal="left" vertical="center"/>
    </xf>
    <xf numFmtId="0" fontId="37" fillId="13" borderId="23" xfId="0" applyFont="1" applyFill="1" applyBorder="1" applyAlignment="1">
      <alignment horizontal="left" vertical="center"/>
    </xf>
    <xf numFmtId="0" fontId="11" fillId="13" borderId="18" xfId="0" applyFont="1" applyFill="1" applyBorder="1" applyAlignment="1">
      <alignment horizontal="left" vertical="center" wrapText="1"/>
    </xf>
    <xf numFmtId="0" fontId="11" fillId="13" borderId="19" xfId="0" applyFont="1" applyFill="1" applyBorder="1" applyAlignment="1">
      <alignment horizontal="left" vertical="center" wrapText="1"/>
    </xf>
    <xf numFmtId="0" fontId="11" fillId="13" borderId="20" xfId="0" applyFont="1" applyFill="1" applyBorder="1" applyAlignment="1">
      <alignment horizontal="left" vertical="center" wrapText="1"/>
    </xf>
    <xf numFmtId="0" fontId="21" fillId="11" borderId="136" xfId="0" applyFont="1" applyFill="1" applyBorder="1" applyAlignment="1">
      <alignment horizontal="center" vertical="center" wrapText="1"/>
    </xf>
    <xf numFmtId="0" fontId="71" fillId="13" borderId="18" xfId="0" applyFont="1" applyFill="1" applyBorder="1" applyAlignment="1">
      <alignment horizontal="left" vertical="center" wrapText="1"/>
    </xf>
    <xf numFmtId="0" fontId="27" fillId="6" borderId="116" xfId="0" applyFont="1" applyFill="1" applyBorder="1" applyAlignment="1">
      <alignment horizontal="center" vertical="center" wrapText="1"/>
    </xf>
    <xf numFmtId="0" fontId="27" fillId="6" borderId="117" xfId="0" applyFont="1" applyFill="1" applyBorder="1" applyAlignment="1">
      <alignment horizontal="center" vertical="center" wrapText="1"/>
    </xf>
    <xf numFmtId="0" fontId="27" fillId="6" borderId="118" xfId="0" applyFont="1" applyFill="1" applyBorder="1" applyAlignment="1">
      <alignment horizontal="center" vertical="center" wrapText="1"/>
    </xf>
    <xf numFmtId="0" fontId="27" fillId="11" borderId="146" xfId="0" applyFont="1" applyFill="1" applyBorder="1" applyAlignment="1">
      <alignment horizontal="center" vertical="center" wrapText="1"/>
    </xf>
    <xf numFmtId="0" fontId="27" fillId="11" borderId="135" xfId="0" applyFont="1" applyFill="1" applyBorder="1" applyAlignment="1">
      <alignment horizontal="center" vertical="center" wrapText="1"/>
    </xf>
    <xf numFmtId="0" fontId="27" fillId="11" borderId="136" xfId="0" applyFont="1" applyFill="1" applyBorder="1" applyAlignment="1">
      <alignment horizontal="center" vertical="center" wrapText="1"/>
    </xf>
    <xf numFmtId="165" fontId="97" fillId="33" borderId="194" xfId="0" applyNumberFormat="1" applyFont="1" applyFill="1" applyBorder="1" applyAlignment="1" applyProtection="1">
      <alignment horizontal="center" vertical="center" wrapText="1"/>
      <protection hidden="1"/>
    </xf>
    <xf numFmtId="165" fontId="97" fillId="33" borderId="195" xfId="0" applyNumberFormat="1" applyFont="1" applyFill="1" applyBorder="1" applyAlignment="1" applyProtection="1">
      <alignment horizontal="center" vertical="center" wrapText="1"/>
      <protection hidden="1"/>
    </xf>
    <xf numFmtId="0" fontId="37" fillId="26" borderId="9" xfId="0" applyFont="1" applyFill="1" applyBorder="1" applyAlignment="1" applyProtection="1">
      <alignment horizontal="center" vertical="center" wrapText="1"/>
      <protection hidden="1"/>
    </xf>
    <xf numFmtId="0" fontId="37" fillId="26" borderId="27" xfId="0" applyFont="1" applyFill="1" applyBorder="1" applyAlignment="1" applyProtection="1">
      <alignment horizontal="center" vertical="center" wrapText="1"/>
      <protection hidden="1"/>
    </xf>
    <xf numFmtId="165" fontId="95" fillId="43" borderId="55" xfId="0" applyNumberFormat="1" applyFont="1" applyFill="1" applyBorder="1" applyAlignment="1" applyProtection="1">
      <alignment horizontal="center" vertical="center"/>
      <protection hidden="1"/>
    </xf>
    <xf numFmtId="165" fontId="95" fillId="43" borderId="58" xfId="0" applyNumberFormat="1" applyFont="1" applyFill="1" applyBorder="1" applyAlignment="1" applyProtection="1">
      <alignment horizontal="center" vertical="center"/>
      <protection hidden="1"/>
    </xf>
    <xf numFmtId="0" fontId="37" fillId="26" borderId="4" xfId="0" applyFont="1" applyFill="1" applyBorder="1" applyAlignment="1" applyProtection="1">
      <alignment horizontal="center" vertical="center" wrapText="1"/>
      <protection hidden="1"/>
    </xf>
    <xf numFmtId="0" fontId="37" fillId="26" borderId="25" xfId="0" applyFont="1" applyFill="1" applyBorder="1" applyAlignment="1" applyProtection="1">
      <alignment horizontal="center" vertical="center" wrapText="1"/>
      <protection hidden="1"/>
    </xf>
    <xf numFmtId="0" fontId="5" fillId="20" borderId="21" xfId="0" applyFont="1" applyFill="1" applyBorder="1" applyAlignment="1">
      <alignment horizontal="center" vertical="center" wrapText="1"/>
    </xf>
    <xf numFmtId="0" fontId="5" fillId="20" borderId="22" xfId="0" applyFont="1" applyFill="1" applyBorder="1" applyAlignment="1">
      <alignment horizontal="center" vertical="center" wrapText="1"/>
    </xf>
    <xf numFmtId="0" fontId="5" fillId="20" borderId="23" xfId="0" applyFont="1" applyFill="1" applyBorder="1" applyAlignment="1">
      <alignment horizontal="center" vertical="center" wrapText="1"/>
    </xf>
    <xf numFmtId="0" fontId="0" fillId="5" borderId="30" xfId="0" applyFill="1" applyBorder="1" applyAlignment="1">
      <alignment horizontal="center" vertical="center" wrapText="1"/>
    </xf>
    <xf numFmtId="0" fontId="0" fillId="5" borderId="65" xfId="0" applyFill="1" applyBorder="1" applyAlignment="1">
      <alignment horizontal="center" vertical="center" wrapText="1"/>
    </xf>
    <xf numFmtId="0" fontId="8" fillId="14" borderId="25" xfId="0" applyFont="1" applyFill="1" applyBorder="1" applyAlignment="1" applyProtection="1">
      <alignment horizontal="center" vertical="center"/>
      <protection locked="0"/>
    </xf>
    <xf numFmtId="0" fontId="8" fillId="14" borderId="60" xfId="0" applyFont="1" applyFill="1" applyBorder="1" applyAlignment="1" applyProtection="1">
      <alignment horizontal="center" vertical="center"/>
      <protection locked="0"/>
    </xf>
    <xf numFmtId="0" fontId="27" fillId="3" borderId="0" xfId="0" applyFont="1" applyFill="1" applyAlignment="1" applyProtection="1">
      <alignment horizontal="center" vertical="center" wrapText="1"/>
      <protection hidden="1"/>
    </xf>
    <xf numFmtId="0" fontId="28" fillId="26" borderId="141" xfId="0" applyFont="1" applyFill="1" applyBorder="1" applyAlignment="1" applyProtection="1">
      <alignment horizontal="center" vertical="center" wrapText="1"/>
      <protection hidden="1"/>
    </xf>
    <xf numFmtId="0" fontId="28" fillId="26" borderId="162" xfId="0" applyFont="1" applyFill="1" applyBorder="1" applyAlignment="1" applyProtection="1">
      <alignment horizontal="center" vertical="center" wrapText="1"/>
      <protection hidden="1"/>
    </xf>
    <xf numFmtId="165" fontId="95" fillId="25" borderId="126" xfId="0" applyNumberFormat="1" applyFont="1" applyFill="1" applyBorder="1" applyAlignment="1" applyProtection="1">
      <alignment horizontal="center" vertical="center"/>
      <protection hidden="1"/>
    </xf>
    <xf numFmtId="165" fontId="95" fillId="25" borderId="127" xfId="0" applyNumberFormat="1" applyFont="1" applyFill="1" applyBorder="1" applyAlignment="1" applyProtection="1">
      <alignment horizontal="center" vertical="center"/>
      <protection hidden="1"/>
    </xf>
    <xf numFmtId="165" fontId="95" fillId="25" borderId="169" xfId="0" applyNumberFormat="1" applyFont="1" applyFill="1" applyBorder="1" applyAlignment="1" applyProtection="1">
      <alignment horizontal="center" vertical="center"/>
      <protection hidden="1"/>
    </xf>
    <xf numFmtId="0" fontId="15" fillId="5" borderId="16" xfId="0" applyFont="1" applyFill="1" applyBorder="1" applyAlignment="1">
      <alignment horizontal="center" vertical="center" wrapText="1"/>
    </xf>
    <xf numFmtId="0" fontId="15" fillId="5" borderId="0" xfId="0" applyFont="1" applyFill="1" applyAlignment="1">
      <alignment horizontal="center" vertical="center" wrapText="1"/>
    </xf>
    <xf numFmtId="0" fontId="28" fillId="26" borderId="164" xfId="0" applyFont="1" applyFill="1" applyBorder="1" applyAlignment="1" applyProtection="1">
      <alignment horizontal="center" vertical="center" wrapText="1"/>
      <protection hidden="1"/>
    </xf>
    <xf numFmtId="0" fontId="28" fillId="26" borderId="161" xfId="0" applyFont="1" applyFill="1" applyBorder="1" applyAlignment="1" applyProtection="1">
      <alignment horizontal="center" vertical="center" wrapText="1"/>
      <protection hidden="1"/>
    </xf>
    <xf numFmtId="0" fontId="8" fillId="16" borderId="126" xfId="0" applyFont="1" applyFill="1" applyBorder="1" applyAlignment="1">
      <alignment horizontal="center" vertical="center"/>
    </xf>
    <xf numFmtId="0" fontId="8" fillId="16" borderId="127" xfId="0" applyFont="1" applyFill="1" applyBorder="1" applyAlignment="1">
      <alignment horizontal="center" vertical="center"/>
    </xf>
    <xf numFmtId="0" fontId="8" fillId="16" borderId="128" xfId="0" applyFont="1" applyFill="1" applyBorder="1" applyAlignment="1">
      <alignment horizontal="center" vertical="center"/>
    </xf>
    <xf numFmtId="0" fontId="8" fillId="14" borderId="234" xfId="0" applyFont="1" applyFill="1" applyBorder="1" applyAlignment="1">
      <alignment horizontal="center" vertical="center" wrapText="1"/>
    </xf>
    <xf numFmtId="0" fontId="8" fillId="14" borderId="107" xfId="0" applyFont="1" applyFill="1" applyBorder="1" applyAlignment="1">
      <alignment horizontal="center" vertical="center" wrapText="1"/>
    </xf>
    <xf numFmtId="0" fontId="8" fillId="14" borderId="50" xfId="0" applyFont="1" applyFill="1" applyBorder="1" applyAlignment="1">
      <alignment horizontal="center" vertical="center" wrapText="1"/>
    </xf>
    <xf numFmtId="0" fontId="8" fillId="14" borderId="15" xfId="0" applyFont="1" applyFill="1" applyBorder="1" applyAlignment="1">
      <alignment horizontal="center" vertical="center" wrapText="1"/>
    </xf>
    <xf numFmtId="0" fontId="8" fillId="14" borderId="18" xfId="0" applyFont="1" applyFill="1" applyBorder="1" applyAlignment="1">
      <alignment horizontal="center" vertical="center" wrapText="1"/>
    </xf>
    <xf numFmtId="0" fontId="8" fillId="14" borderId="62" xfId="0" applyFont="1" applyFill="1" applyBorder="1" applyAlignment="1">
      <alignment horizontal="center" vertical="center" wrapText="1"/>
    </xf>
    <xf numFmtId="0" fontId="95" fillId="0" borderId="163" xfId="0" applyFont="1" applyBorder="1" applyAlignment="1" applyProtection="1">
      <alignment horizontal="center" vertical="center" wrapText="1"/>
      <protection hidden="1"/>
    </xf>
    <xf numFmtId="0" fontId="95" fillId="0" borderId="165" xfId="0" applyFont="1" applyBorder="1" applyAlignment="1" applyProtection="1">
      <alignment horizontal="center" vertical="center" wrapText="1"/>
      <protection hidden="1"/>
    </xf>
    <xf numFmtId="0" fontId="95" fillId="0" borderId="167" xfId="0" applyFont="1" applyBorder="1" applyAlignment="1" applyProtection="1">
      <alignment horizontal="center" vertical="center" wrapText="1"/>
      <protection hidden="1"/>
    </xf>
    <xf numFmtId="0" fontId="8" fillId="16" borderId="54" xfId="0" applyFont="1" applyFill="1" applyBorder="1" applyAlignment="1">
      <alignment horizontal="center" vertical="center" wrapText="1"/>
    </xf>
    <xf numFmtId="0" fontId="8" fillId="16" borderId="56"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3" xfId="0" applyFont="1" applyFill="1" applyBorder="1" applyAlignment="1">
      <alignment horizontal="center" vertical="center"/>
    </xf>
    <xf numFmtId="0" fontId="8" fillId="14" borderId="193" xfId="0" applyFont="1" applyFill="1" applyBorder="1" applyAlignment="1">
      <alignment vertical="center" wrapText="1"/>
    </xf>
    <xf numFmtId="0" fontId="8" fillId="14" borderId="113" xfId="0" applyFont="1" applyFill="1" applyBorder="1" applyAlignment="1">
      <alignment vertical="center" wrapText="1"/>
    </xf>
    <xf numFmtId="0" fontId="48" fillId="14" borderId="174" xfId="0" applyFont="1" applyFill="1" applyBorder="1" applyAlignment="1">
      <alignment horizontal="center" vertical="center" wrapText="1"/>
    </xf>
    <xf numFmtId="0" fontId="48" fillId="14" borderId="171" xfId="0" applyFont="1" applyFill="1" applyBorder="1" applyAlignment="1">
      <alignment horizontal="center" vertical="center" wrapText="1"/>
    </xf>
    <xf numFmtId="0" fontId="48" fillId="14" borderId="0" xfId="0" applyFont="1" applyFill="1" applyAlignment="1">
      <alignment horizontal="center" vertical="center" wrapText="1"/>
    </xf>
    <xf numFmtId="0" fontId="48" fillId="14" borderId="129" xfId="0" applyFont="1" applyFill="1" applyBorder="1" applyAlignment="1">
      <alignment horizontal="center" vertical="center" wrapText="1"/>
    </xf>
    <xf numFmtId="0" fontId="8" fillId="14" borderId="15" xfId="0" applyFont="1" applyFill="1" applyBorder="1" applyAlignment="1">
      <alignment horizontal="left" vertical="center" wrapText="1"/>
    </xf>
    <xf numFmtId="0" fontId="8" fillId="14" borderId="6" xfId="0" applyFont="1" applyFill="1" applyBorder="1" applyAlignment="1">
      <alignment horizontal="left" vertical="center" wrapText="1"/>
    </xf>
    <xf numFmtId="0" fontId="13" fillId="3" borderId="0" xfId="0" applyFont="1" applyFill="1" applyAlignment="1">
      <alignment vertical="center" wrapText="1"/>
    </xf>
    <xf numFmtId="0" fontId="35" fillId="15" borderId="50" xfId="0" applyFont="1" applyFill="1" applyBorder="1" applyAlignment="1">
      <alignment horizontal="center" vertical="center"/>
    </xf>
    <xf numFmtId="0" fontId="35" fillId="15" borderId="15"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3" xfId="0" applyFont="1" applyFill="1" applyBorder="1" applyAlignment="1">
      <alignment horizontal="center" vertical="center" wrapText="1"/>
    </xf>
    <xf numFmtId="165" fontId="97" fillId="33" borderId="196" xfId="0" applyNumberFormat="1" applyFont="1" applyFill="1" applyBorder="1" applyAlignment="1" applyProtection="1">
      <alignment horizontal="center" vertical="center" wrapText="1"/>
      <protection hidden="1"/>
    </xf>
    <xf numFmtId="0" fontId="100" fillId="34" borderId="31" xfId="0" applyFont="1" applyFill="1" applyBorder="1" applyAlignment="1">
      <alignment horizontal="center" vertical="center" wrapText="1"/>
    </xf>
    <xf numFmtId="0" fontId="100" fillId="34" borderId="3" xfId="0" applyFont="1" applyFill="1" applyBorder="1" applyAlignment="1">
      <alignment horizontal="center" vertical="center" wrapText="1"/>
    </xf>
    <xf numFmtId="0" fontId="100" fillId="34" borderId="32" xfId="0" applyFont="1" applyFill="1" applyBorder="1" applyAlignment="1">
      <alignment horizontal="center" vertical="center" wrapText="1"/>
    </xf>
    <xf numFmtId="0" fontId="100" fillId="34" borderId="33" xfId="0" applyFont="1" applyFill="1" applyBorder="1" applyAlignment="1">
      <alignment horizontal="center" vertical="center" wrapText="1"/>
    </xf>
    <xf numFmtId="0" fontId="100" fillId="31" borderId="31" xfId="0" applyFont="1" applyFill="1" applyBorder="1" applyAlignment="1">
      <alignment horizontal="center" vertical="center" wrapText="1"/>
    </xf>
    <xf numFmtId="0" fontId="100" fillId="31" borderId="3" xfId="0" applyFont="1" applyFill="1" applyBorder="1" applyAlignment="1">
      <alignment horizontal="center" vertical="center" wrapText="1"/>
    </xf>
    <xf numFmtId="0" fontId="100" fillId="31" borderId="198" xfId="0" applyFont="1" applyFill="1" applyBorder="1" applyAlignment="1">
      <alignment horizontal="center" vertical="center" wrapText="1"/>
    </xf>
    <xf numFmtId="0" fontId="100" fillId="31" borderId="200" xfId="0" applyFont="1" applyFill="1" applyBorder="1" applyAlignment="1">
      <alignment horizontal="center" vertical="center" wrapText="1"/>
    </xf>
    <xf numFmtId="0" fontId="35" fillId="15" borderId="39" xfId="0" applyFont="1" applyFill="1" applyBorder="1" applyAlignment="1">
      <alignment horizontal="center" vertical="center"/>
    </xf>
    <xf numFmtId="0" fontId="35" fillId="15" borderId="24" xfId="0" applyFont="1" applyFill="1" applyBorder="1" applyAlignment="1">
      <alignment horizontal="center" vertical="center"/>
    </xf>
    <xf numFmtId="0" fontId="96" fillId="14" borderId="15" xfId="0" applyFont="1" applyFill="1" applyBorder="1" applyAlignment="1">
      <alignment horizontal="left" vertical="center" wrapText="1"/>
    </xf>
    <xf numFmtId="0" fontId="96" fillId="14" borderId="6" xfId="0" applyFont="1" applyFill="1" applyBorder="1" applyAlignment="1">
      <alignment horizontal="left" vertical="center" wrapText="1"/>
    </xf>
    <xf numFmtId="0" fontId="13" fillId="3" borderId="0" xfId="0" applyFont="1" applyFill="1" applyAlignment="1">
      <alignment horizontal="left" vertical="center" wrapText="1"/>
    </xf>
    <xf numFmtId="0" fontId="37" fillId="7" borderId="31" xfId="0" applyFont="1" applyFill="1" applyBorder="1" applyAlignment="1">
      <alignment horizontal="center" vertical="center" wrapText="1"/>
    </xf>
    <xf numFmtId="0" fontId="37" fillId="7" borderId="60" xfId="0" applyFont="1" applyFill="1" applyBorder="1" applyAlignment="1">
      <alignment horizontal="center" vertical="center" wrapText="1"/>
    </xf>
    <xf numFmtId="9" fontId="26" fillId="14" borderId="31" xfId="1" applyFont="1" applyFill="1" applyBorder="1" applyAlignment="1">
      <alignment horizontal="center" vertical="center"/>
    </xf>
    <xf numFmtId="9" fontId="26" fillId="14" borderId="67" xfId="1" applyFont="1" applyFill="1" applyBorder="1" applyAlignment="1">
      <alignment horizontal="center" vertical="center"/>
    </xf>
    <xf numFmtId="9" fontId="26" fillId="14" borderId="3" xfId="1" applyFont="1" applyFill="1" applyBorder="1" applyAlignment="1">
      <alignment horizontal="center" vertical="center"/>
    </xf>
    <xf numFmtId="0" fontId="37" fillId="7" borderId="34" xfId="0" applyFont="1" applyFill="1" applyBorder="1" applyAlignment="1">
      <alignment horizontal="center" vertical="center" wrapText="1"/>
    </xf>
    <xf numFmtId="0" fontId="37" fillId="7" borderId="51" xfId="0" applyFont="1" applyFill="1" applyBorder="1" applyAlignment="1">
      <alignment horizontal="center" vertical="center" wrapText="1"/>
    </xf>
    <xf numFmtId="0" fontId="8" fillId="5" borderId="48" xfId="0" applyFont="1" applyFill="1" applyBorder="1" applyAlignment="1">
      <alignment horizontal="center" vertical="center" wrapText="1"/>
    </xf>
    <xf numFmtId="0" fontId="8" fillId="5" borderId="51" xfId="0" applyFont="1" applyFill="1" applyBorder="1" applyAlignment="1">
      <alignment horizontal="center" vertical="center" wrapText="1"/>
    </xf>
    <xf numFmtId="0" fontId="8" fillId="14" borderId="3" xfId="0" applyFont="1" applyFill="1" applyBorder="1" applyAlignment="1" applyProtection="1">
      <alignment horizontal="center" vertical="center"/>
      <protection locked="0"/>
    </xf>
    <xf numFmtId="9" fontId="0" fillId="3" borderId="0" xfId="1" applyFont="1" applyFill="1" applyBorder="1" applyAlignment="1" applyProtection="1">
      <alignment horizontal="center" vertical="center"/>
    </xf>
    <xf numFmtId="171" fontId="0" fillId="3" borderId="0" xfId="0" applyNumberFormat="1" applyFill="1" applyAlignment="1">
      <alignment horizontal="center" vertical="center"/>
    </xf>
    <xf numFmtId="0" fontId="7" fillId="3" borderId="0" xfId="0" applyFont="1" applyFill="1" applyAlignment="1" applyProtection="1">
      <alignment horizontal="center" vertical="center"/>
      <protection locked="0"/>
    </xf>
    <xf numFmtId="9" fontId="26" fillId="14" borderId="218" xfId="1" applyFont="1" applyFill="1" applyBorder="1" applyAlignment="1">
      <alignment horizontal="center" vertical="center"/>
    </xf>
    <xf numFmtId="9" fontId="26" fillId="14" borderId="219" xfId="1" applyFont="1" applyFill="1" applyBorder="1" applyAlignment="1">
      <alignment horizontal="center" vertical="center"/>
    </xf>
    <xf numFmtId="9" fontId="26" fillId="14" borderId="220" xfId="1" applyFont="1" applyFill="1" applyBorder="1" applyAlignment="1">
      <alignment horizontal="center" vertical="center"/>
    </xf>
    <xf numFmtId="0" fontId="5" fillId="20" borderId="11" xfId="0" applyFont="1" applyFill="1" applyBorder="1" applyAlignment="1">
      <alignment horizontal="center" vertical="center" wrapText="1"/>
    </xf>
    <xf numFmtId="0" fontId="5" fillId="20" borderId="8" xfId="0" applyFont="1" applyFill="1" applyBorder="1" applyAlignment="1">
      <alignment horizontal="center" vertical="center" wrapText="1"/>
    </xf>
    <xf numFmtId="0" fontId="74" fillId="35" borderId="16" xfId="0" applyFont="1" applyFill="1" applyBorder="1" applyAlignment="1">
      <alignment horizontal="center" vertical="center" wrapText="1"/>
    </xf>
    <xf numFmtId="0" fontId="74" fillId="35" borderId="0" xfId="0" applyFont="1" applyFill="1" applyAlignment="1">
      <alignment horizontal="center" vertical="center" wrapText="1"/>
    </xf>
    <xf numFmtId="10" fontId="58" fillId="0" borderId="6" xfId="0" applyNumberFormat="1" applyFont="1" applyBorder="1" applyAlignment="1">
      <alignment horizontal="center" vertical="center" wrapText="1"/>
    </xf>
    <xf numFmtId="0" fontId="58" fillId="0" borderId="6" xfId="0" applyFont="1" applyBorder="1" applyAlignment="1">
      <alignment horizontal="center" vertical="center" wrapText="1"/>
    </xf>
    <xf numFmtId="0" fontId="8" fillId="32" borderId="0" xfId="0" applyFont="1" applyFill="1" applyAlignment="1">
      <alignment horizontal="left" vertical="center" wrapText="1"/>
    </xf>
    <xf numFmtId="0" fontId="91" fillId="0" borderId="0" xfId="0" applyFont="1" applyAlignment="1">
      <alignment horizontal="left" vertical="center" wrapText="1"/>
    </xf>
    <xf numFmtId="0" fontId="43" fillId="0" borderId="6" xfId="0" applyFont="1" applyBorder="1" applyAlignment="1">
      <alignment horizontal="center" vertical="center" wrapText="1"/>
    </xf>
    <xf numFmtId="0" fontId="40" fillId="38" borderId="6" xfId="0" applyFont="1" applyFill="1" applyBorder="1" applyAlignment="1" applyProtection="1">
      <alignment horizontal="center" vertical="center" wrapText="1"/>
      <protection locked="0"/>
    </xf>
    <xf numFmtId="0" fontId="40" fillId="2" borderId="6" xfId="0" applyFont="1" applyFill="1" applyBorder="1" applyAlignment="1">
      <alignment horizontal="center" vertical="center" wrapText="1"/>
    </xf>
    <xf numFmtId="0" fontId="77" fillId="39" borderId="6" xfId="0" applyFont="1" applyFill="1" applyBorder="1" applyAlignment="1">
      <alignment horizontal="center" vertical="center" wrapText="1"/>
    </xf>
    <xf numFmtId="0" fontId="21" fillId="3" borderId="0" xfId="0" applyFont="1" applyFill="1" applyAlignment="1">
      <alignment horizontal="center" vertical="center" wrapText="1"/>
    </xf>
    <xf numFmtId="0" fontId="58" fillId="2" borderId="6" xfId="0" applyFont="1" applyFill="1" applyBorder="1" applyAlignment="1">
      <alignment horizontal="center" vertical="center" wrapText="1"/>
    </xf>
    <xf numFmtId="0" fontId="45" fillId="3" borderId="0" xfId="0" applyFont="1" applyFill="1" applyAlignment="1">
      <alignment horizontal="center" vertical="center" wrapText="1"/>
    </xf>
    <xf numFmtId="0" fontId="90" fillId="0" borderId="0" xfId="0" applyFont="1" applyAlignment="1">
      <alignment horizontal="center" vertical="center" wrapText="1"/>
    </xf>
    <xf numFmtId="20" fontId="45" fillId="5" borderId="6" xfId="0" applyNumberFormat="1" applyFont="1" applyFill="1" applyBorder="1" applyAlignment="1">
      <alignment horizontal="center" vertical="center" wrapText="1"/>
    </xf>
    <xf numFmtId="0" fontId="45" fillId="5" borderId="209" xfId="0" applyFont="1" applyFill="1" applyBorder="1" applyAlignment="1">
      <alignment horizontal="center" vertical="center" wrapText="1"/>
    </xf>
    <xf numFmtId="0" fontId="45" fillId="5" borderId="192" xfId="0" applyFont="1" applyFill="1" applyBorder="1" applyAlignment="1">
      <alignment horizontal="center" vertical="center" wrapText="1"/>
    </xf>
    <xf numFmtId="20" fontId="18" fillId="11" borderId="6" xfId="0" applyNumberFormat="1" applyFont="1" applyFill="1" applyBorder="1" applyAlignment="1">
      <alignment horizontal="center" vertical="center" wrapText="1"/>
    </xf>
    <xf numFmtId="20" fontId="18" fillId="7" borderId="6" xfId="0" applyNumberFormat="1" applyFont="1" applyFill="1" applyBorder="1" applyAlignment="1">
      <alignment horizontal="center" vertical="center" wrapText="1"/>
    </xf>
    <xf numFmtId="0" fontId="63" fillId="0" borderId="52"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9" xfId="0" applyFont="1" applyBorder="1" applyAlignment="1">
      <alignment horizontal="center" vertical="center" wrapText="1"/>
    </xf>
    <xf numFmtId="0" fontId="40" fillId="0" borderId="64" xfId="0" applyFont="1" applyBorder="1" applyAlignment="1">
      <alignment horizontal="center" vertical="center" wrapText="1"/>
    </xf>
    <xf numFmtId="0" fontId="40" fillId="0" borderId="0" xfId="0" applyFont="1" applyAlignment="1">
      <alignment horizontal="center" vertical="center" wrapText="1"/>
    </xf>
    <xf numFmtId="0" fontId="40" fillId="0" borderId="38" xfId="0" applyFont="1" applyBorder="1" applyAlignment="1">
      <alignment horizontal="center" vertical="center" wrapText="1"/>
    </xf>
    <xf numFmtId="0" fontId="45" fillId="5" borderId="21" xfId="0" applyFont="1" applyFill="1" applyBorder="1" applyAlignment="1">
      <alignment horizontal="center" vertical="center" wrapText="1"/>
    </xf>
    <xf numFmtId="0" fontId="45" fillId="5" borderId="22" xfId="0" applyFont="1" applyFill="1" applyBorder="1" applyAlignment="1">
      <alignment horizontal="center" vertical="center" wrapText="1"/>
    </xf>
    <xf numFmtId="0" fontId="45" fillId="5" borderId="23" xfId="0" applyFont="1" applyFill="1" applyBorder="1" applyAlignment="1">
      <alignment horizontal="center" vertical="center" wrapText="1"/>
    </xf>
    <xf numFmtId="0" fontId="18" fillId="7" borderId="10" xfId="0" applyFont="1" applyFill="1" applyBorder="1" applyAlignment="1">
      <alignment horizontal="center" vertical="center" wrapText="1"/>
    </xf>
    <xf numFmtId="0" fontId="18" fillId="7" borderId="6" xfId="0" applyFont="1" applyFill="1" applyBorder="1" applyAlignment="1">
      <alignment horizontal="center" vertical="center" wrapText="1"/>
    </xf>
    <xf numFmtId="0" fontId="18" fillId="7" borderId="7" xfId="0" applyFont="1" applyFill="1" applyBorder="1" applyAlignment="1">
      <alignment horizontal="center" vertical="center" wrapText="1"/>
    </xf>
    <xf numFmtId="0" fontId="18" fillId="3" borderId="0" xfId="0" applyFont="1" applyFill="1" applyAlignment="1">
      <alignment horizontal="center" vertical="center" wrapText="1"/>
    </xf>
    <xf numFmtId="0" fontId="13" fillId="3" borderId="0" xfId="0" applyFont="1" applyFill="1" applyAlignment="1">
      <alignment horizontal="right" vertical="center" wrapText="1"/>
    </xf>
    <xf numFmtId="0" fontId="0" fillId="3" borderId="0" xfId="0" applyFill="1" applyAlignment="1">
      <alignment horizontal="center" vertical="center" wrapText="1"/>
    </xf>
    <xf numFmtId="9" fontId="58" fillId="2" borderId="6" xfId="1" applyFont="1" applyFill="1" applyBorder="1" applyAlignment="1">
      <alignment horizontal="center" vertical="center" wrapText="1"/>
    </xf>
    <xf numFmtId="0" fontId="58" fillId="2" borderId="25" xfId="0" applyFont="1" applyFill="1" applyBorder="1" applyAlignment="1">
      <alignment horizontal="center" vertical="center" wrapText="1"/>
    </xf>
    <xf numFmtId="0" fontId="1" fillId="0" borderId="0" xfId="0" applyFont="1" applyAlignment="1">
      <alignment vertical="center"/>
    </xf>
    <xf numFmtId="0" fontId="1" fillId="11" borderId="0" xfId="0" applyFont="1" applyFill="1" applyAlignment="1">
      <alignment horizontal="left" vertical="top" wrapText="1"/>
    </xf>
    <xf numFmtId="0" fontId="1" fillId="11" borderId="0" xfId="0" applyFont="1" applyFill="1" applyAlignment="1">
      <alignment horizontal="left" vertical="center" wrapText="1"/>
    </xf>
    <xf numFmtId="0" fontId="1" fillId="11" borderId="0" xfId="0" applyFont="1" applyFill="1" applyAlignment="1">
      <alignment horizontal="left" vertical="center"/>
    </xf>
    <xf numFmtId="0" fontId="1" fillId="11" borderId="0" xfId="0" applyFont="1" applyFill="1" applyAlignment="1">
      <alignment horizontal="left" vertical="top"/>
    </xf>
  </cellXfs>
  <cellStyles count="10">
    <cellStyle name="Euro" xfId="3" xr:uid="{00000000-0005-0000-0000-000000000000}"/>
    <cellStyle name="Euro 2" xfId="5" xr:uid="{00000000-0005-0000-0000-000001000000}"/>
    <cellStyle name="Lien hypertexte" xfId="9" builtinId="8"/>
    <cellStyle name="Monétaire" xfId="6" builtinId="4"/>
    <cellStyle name="Monétaire 2" xfId="4" xr:uid="{00000000-0005-0000-0000-000002000000}"/>
    <cellStyle name="Monétaire 2 2" xfId="7" xr:uid="{0E8A31C3-5165-4626-8AE2-DD56EA4E15A1}"/>
    <cellStyle name="Monétaire 3" xfId="8" xr:uid="{73F5757C-DDD7-4997-A46B-31C5DF0AA3A7}"/>
    <cellStyle name="Normal" xfId="0" builtinId="0"/>
    <cellStyle name="Normal_demande de subvention FSE yc forfaitisation des coûts indirects sans protection" xfId="2" xr:uid="{00000000-0005-0000-0000-000004000000}"/>
    <cellStyle name="Pourcentage" xfId="1" builtinId="5"/>
  </cellStyles>
  <dxfs count="64">
    <dxf>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ill>
        <patternFill>
          <bgColor rgb="FFFF0000"/>
        </patternFill>
      </fill>
    </dxf>
    <dxf>
      <fill>
        <patternFill>
          <bgColor rgb="FF00B050"/>
        </patternFill>
      </fill>
    </dxf>
    <dxf>
      <font>
        <color theme="0"/>
      </font>
      <fill>
        <patternFill>
          <bgColor rgb="FFC00000"/>
        </patternFill>
      </fill>
    </dxf>
    <dxf>
      <fill>
        <patternFill>
          <bgColor rgb="FF00B050"/>
        </patternFill>
      </fill>
    </dxf>
    <dxf>
      <fill>
        <patternFill>
          <bgColor rgb="FFFF0000"/>
        </patternFill>
      </fill>
    </dxf>
    <dxf>
      <fill>
        <patternFill>
          <bgColor rgb="FF00B050"/>
        </patternFill>
      </fill>
    </dxf>
    <dxf>
      <font>
        <b/>
        <i val="0"/>
      </font>
      <fill>
        <patternFill>
          <bgColor rgb="FF00B050"/>
        </patternFill>
      </fill>
    </dxf>
    <dxf>
      <font>
        <b/>
        <i val="0"/>
        <color theme="0"/>
      </font>
      <fill>
        <patternFill>
          <bgColor rgb="FFFF0000"/>
        </patternFill>
      </fill>
    </dxf>
    <dxf>
      <font>
        <b/>
        <i val="0"/>
      </font>
      <fill>
        <patternFill>
          <bgColor rgb="FF92D050"/>
        </patternFill>
      </fill>
    </dxf>
    <dxf>
      <font>
        <color rgb="FFFF0000"/>
      </font>
      <fill>
        <patternFill>
          <bgColor rgb="FFFFFF00"/>
        </patternFill>
      </fill>
    </dxf>
    <dxf>
      <fill>
        <patternFill>
          <bgColor rgb="FF92D050"/>
        </patternFill>
      </fill>
    </dxf>
    <dxf>
      <font>
        <b/>
        <i val="0"/>
        <color auto="1"/>
      </font>
      <fill>
        <patternFill>
          <fgColor auto="1"/>
          <bgColor rgb="FF00B050"/>
        </patternFill>
      </fill>
    </dxf>
    <dxf>
      <font>
        <b/>
        <i val="0"/>
        <color theme="0"/>
      </font>
      <fill>
        <patternFill>
          <bgColor rgb="FFFF0000"/>
        </patternFill>
      </fill>
    </dxf>
    <dxf>
      <fill>
        <patternFill>
          <bgColor rgb="FFFF0000"/>
        </patternFill>
      </fill>
    </dxf>
    <dxf>
      <font>
        <color rgb="FFFF0000"/>
      </font>
      <fill>
        <patternFill>
          <bgColor rgb="FFFFFF00"/>
        </patternFill>
      </fill>
    </dxf>
    <dxf>
      <font>
        <color theme="1"/>
      </font>
      <fill>
        <patternFill>
          <bgColor rgb="FF92D050"/>
        </patternFill>
      </fill>
    </dxf>
    <dxf>
      <font>
        <b/>
        <i val="0"/>
        <color auto="1"/>
      </font>
      <fill>
        <patternFill>
          <bgColor rgb="FF00B050"/>
        </patternFill>
      </fill>
    </dxf>
    <dxf>
      <font>
        <b/>
        <i val="0"/>
        <color theme="0"/>
      </font>
      <fill>
        <patternFill>
          <bgColor rgb="FFFF0000"/>
        </patternFill>
      </fill>
    </dxf>
    <dxf>
      <font>
        <color rgb="FFFF0000"/>
      </font>
      <fill>
        <patternFill>
          <bgColor rgb="FFFFFF00"/>
        </patternFill>
      </fill>
    </dxf>
    <dxf>
      <font>
        <b/>
        <i val="0"/>
        <color auto="1"/>
      </font>
      <fill>
        <patternFill>
          <bgColor rgb="FF00B050"/>
        </patternFill>
      </fill>
    </dxf>
    <dxf>
      <font>
        <b/>
        <i val="0"/>
        <color theme="0"/>
      </font>
      <fill>
        <patternFill>
          <bgColor rgb="FFFF0000"/>
        </patternFill>
      </fill>
    </dxf>
    <dxf>
      <font>
        <color theme="1"/>
      </font>
      <fill>
        <patternFill>
          <fgColor auto="1"/>
          <bgColor rgb="FF92D050"/>
        </patternFill>
      </fill>
    </dxf>
    <dxf>
      <font>
        <color theme="4" tint="0.79998168889431442"/>
      </font>
    </dxf>
    <dxf>
      <font>
        <color theme="1"/>
      </font>
      <fill>
        <patternFill>
          <bgColor rgb="FFFF0000"/>
        </patternFill>
      </fill>
    </dxf>
    <dxf>
      <font>
        <color rgb="FFFF0000"/>
      </font>
      <fill>
        <patternFill>
          <bgColor rgb="FFFFFF00"/>
        </patternFill>
      </fill>
    </dxf>
    <dxf>
      <font>
        <color theme="4" tint="0.79998168889431442"/>
      </font>
    </dxf>
    <dxf>
      <font>
        <b/>
        <i val="0"/>
        <color auto="1"/>
      </font>
      <fill>
        <patternFill>
          <bgColor rgb="FF00B050"/>
        </patternFill>
      </fill>
    </dxf>
    <dxf>
      <font>
        <b/>
        <i val="0"/>
        <color theme="0"/>
      </font>
      <fill>
        <patternFill>
          <bgColor rgb="FFFF0000"/>
        </patternFill>
      </fill>
    </dxf>
    <dxf>
      <font>
        <color theme="1"/>
      </font>
      <fill>
        <patternFill>
          <bgColor rgb="FF92D050"/>
        </patternFill>
      </fill>
    </dxf>
    <dxf>
      <font>
        <color rgb="FF9C0006"/>
      </font>
      <fill>
        <patternFill>
          <bgColor rgb="FFFFC7CE"/>
        </patternFill>
      </fill>
    </dxf>
    <dxf>
      <font>
        <color rgb="FFFF0000"/>
      </font>
      <fill>
        <patternFill>
          <bgColor rgb="FFFFFF00"/>
        </patternFill>
      </fill>
    </dxf>
    <dxf>
      <font>
        <b/>
        <i val="0"/>
      </font>
      <fill>
        <patternFill>
          <bgColor rgb="FF00B050"/>
        </patternFill>
      </fill>
    </dxf>
    <dxf>
      <font>
        <b/>
        <i val="0"/>
        <color theme="0"/>
      </font>
      <fill>
        <patternFill>
          <bgColor rgb="FFFF0000"/>
        </patternFill>
      </fill>
    </dxf>
    <dxf>
      <font>
        <b/>
        <i val="0"/>
      </font>
      <fill>
        <patternFill>
          <bgColor rgb="FF92D050"/>
        </patternFill>
      </fill>
    </dxf>
    <dxf>
      <font>
        <b/>
        <i val="0"/>
        <color theme="1"/>
      </font>
      <fill>
        <patternFill>
          <bgColor rgb="FFFF0000"/>
        </patternFill>
      </fill>
    </dxf>
    <dxf>
      <font>
        <color theme="0"/>
      </font>
      <fill>
        <patternFill>
          <fgColor auto="1"/>
          <bgColor rgb="FFFF0000"/>
        </patternFill>
      </fill>
    </dxf>
    <dxf>
      <font>
        <color rgb="FFFF0000"/>
      </font>
      <fill>
        <patternFill>
          <bgColor rgb="FFFFFF00"/>
        </patternFill>
      </fill>
    </dxf>
    <dxf>
      <font>
        <color theme="0"/>
      </font>
      <fill>
        <patternFill>
          <fgColor auto="1"/>
          <bgColor rgb="FFFF0000"/>
        </patternFill>
      </fill>
    </dxf>
    <dxf>
      <font>
        <b/>
        <i val="0"/>
        <color auto="1"/>
      </font>
      <fill>
        <patternFill>
          <bgColor rgb="FF00B050"/>
        </patternFill>
      </fill>
    </dxf>
    <dxf>
      <font>
        <b/>
        <i val="0"/>
        <color theme="0"/>
      </font>
      <fill>
        <patternFill>
          <bgColor rgb="FFFF0000"/>
        </patternFill>
      </fill>
    </dxf>
    <dxf>
      <font>
        <color theme="1"/>
      </font>
      <fill>
        <patternFill>
          <bgColor rgb="FF92D050"/>
        </patternFill>
      </fill>
    </dxf>
    <dxf>
      <fill>
        <patternFill>
          <bgColor rgb="FFFF0000"/>
        </patternFill>
      </fill>
    </dxf>
    <dxf>
      <font>
        <color rgb="FFFF0000"/>
      </font>
      <fill>
        <patternFill>
          <bgColor rgb="FFFFFF00"/>
        </patternFill>
      </fill>
    </dxf>
    <dxf>
      <font>
        <b/>
        <i val="0"/>
        <color auto="1"/>
      </font>
      <fill>
        <patternFill>
          <bgColor rgb="FF00B050"/>
        </patternFill>
      </fill>
    </dxf>
    <dxf>
      <font>
        <b/>
        <i val="0"/>
        <color theme="0"/>
      </font>
      <fill>
        <patternFill>
          <bgColor rgb="FFFF0000"/>
        </patternFill>
      </fill>
    </dxf>
    <dxf>
      <font>
        <color theme="1"/>
      </font>
      <fill>
        <patternFill>
          <bgColor rgb="FF92D050"/>
        </patternFill>
      </fill>
    </dxf>
    <dxf>
      <fill>
        <patternFill>
          <bgColor rgb="FFFF0000"/>
        </patternFill>
      </fill>
    </dxf>
    <dxf>
      <font>
        <b val="0"/>
        <i val="0"/>
        <color rgb="FFFF0000"/>
      </font>
      <fill>
        <patternFill>
          <fgColor auto="1"/>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font>
      <fill>
        <patternFill>
          <bgColor theme="6"/>
        </patternFill>
      </fill>
    </dxf>
    <dxf>
      <font>
        <b/>
        <i val="0"/>
        <color theme="0"/>
      </font>
      <fill>
        <patternFill>
          <bgColor rgb="FFFF0000"/>
        </patternFill>
      </fill>
    </dxf>
    <dxf>
      <font>
        <b/>
        <i val="0"/>
      </font>
      <fill>
        <patternFill>
          <bgColor rgb="FF00B050"/>
        </patternFill>
      </fill>
    </dxf>
  </dxfs>
  <tableStyles count="0" defaultTableStyle="TableStyleMedium2" defaultPivotStyle="PivotStyleLight16"/>
  <colors>
    <mruColors>
      <color rgb="FF99CCFF"/>
      <color rgb="FFCC04A6"/>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49307</xdr:colOff>
      <xdr:row>0</xdr:row>
      <xdr:rowOff>160244</xdr:rowOff>
    </xdr:from>
    <xdr:ext cx="1856264" cy="1321867"/>
    <xdr:pic>
      <xdr:nvPicPr>
        <xdr:cNvPr id="2" name="Image 2">
          <a:extLst>
            <a:ext uri="{FF2B5EF4-FFF2-40B4-BE49-F238E27FC236}">
              <a16:creationId xmlns:a16="http://schemas.microsoft.com/office/drawing/2014/main" id="{91391F70-0023-4FED-BCA6-70CF4ACA8F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07" y="160244"/>
          <a:ext cx="1856264" cy="132186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508000</xdr:colOff>
      <xdr:row>0</xdr:row>
      <xdr:rowOff>38100</xdr:rowOff>
    </xdr:from>
    <xdr:to>
      <xdr:col>2</xdr:col>
      <xdr:colOff>1440392</xdr:colOff>
      <xdr:row>2</xdr:row>
      <xdr:rowOff>341805</xdr:rowOff>
    </xdr:to>
    <xdr:pic>
      <xdr:nvPicPr>
        <xdr:cNvPr id="2" name="Image 1">
          <a:extLst>
            <a:ext uri="{FF2B5EF4-FFF2-40B4-BE49-F238E27FC236}">
              <a16:creationId xmlns:a16="http://schemas.microsoft.com/office/drawing/2014/main" id="{9EBA6BFA-9A9D-4C89-8F20-DEE1171648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08150" y="38100"/>
          <a:ext cx="932392" cy="72857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354542</xdr:colOff>
      <xdr:row>0</xdr:row>
      <xdr:rowOff>142874</xdr:rowOff>
    </xdr:from>
    <xdr:to>
      <xdr:col>2</xdr:col>
      <xdr:colOff>1286934</xdr:colOff>
      <xdr:row>2</xdr:row>
      <xdr:rowOff>443309</xdr:rowOff>
    </xdr:to>
    <xdr:pic>
      <xdr:nvPicPr>
        <xdr:cNvPr id="2" name="Image 1">
          <a:extLst>
            <a:ext uri="{FF2B5EF4-FFF2-40B4-BE49-F238E27FC236}">
              <a16:creationId xmlns:a16="http://schemas.microsoft.com/office/drawing/2014/main" id="{55E6EE1D-E9D1-4288-9F12-D936BE6FDF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54692" y="142874"/>
          <a:ext cx="932392" cy="73175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254001</xdr:colOff>
      <xdr:row>0</xdr:row>
      <xdr:rowOff>11907</xdr:rowOff>
    </xdr:from>
    <xdr:to>
      <xdr:col>1</xdr:col>
      <xdr:colOff>1036162</xdr:colOff>
      <xdr:row>1</xdr:row>
      <xdr:rowOff>1935</xdr:rowOff>
    </xdr:to>
    <xdr:pic>
      <xdr:nvPicPr>
        <xdr:cNvPr id="2" name="Image 1">
          <a:extLst>
            <a:ext uri="{FF2B5EF4-FFF2-40B4-BE49-F238E27FC236}">
              <a16:creationId xmlns:a16="http://schemas.microsoft.com/office/drawing/2014/main" id="{EE5D9B50-0F0C-44C4-A71E-0D76FC2A42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2376" y="11907"/>
          <a:ext cx="782161" cy="55215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254001</xdr:colOff>
      <xdr:row>0</xdr:row>
      <xdr:rowOff>11907</xdr:rowOff>
    </xdr:from>
    <xdr:to>
      <xdr:col>1</xdr:col>
      <xdr:colOff>1037432</xdr:colOff>
      <xdr:row>0</xdr:row>
      <xdr:rowOff>573435</xdr:rowOff>
    </xdr:to>
    <xdr:pic>
      <xdr:nvPicPr>
        <xdr:cNvPr id="2" name="Image 1">
          <a:extLst>
            <a:ext uri="{FF2B5EF4-FFF2-40B4-BE49-F238E27FC236}">
              <a16:creationId xmlns:a16="http://schemas.microsoft.com/office/drawing/2014/main" id="{59A34AC7-1A74-48EF-91F9-3084EAD6DD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1" y="11907"/>
          <a:ext cx="782161" cy="552159"/>
        </a:xfrm>
        <a:prstGeom prst="rect">
          <a:avLst/>
        </a:prstGeom>
      </xdr:spPr>
    </xdr:pic>
    <xdr:clientData/>
  </xdr:twoCellAnchor>
  <xdr:twoCellAnchor editAs="oneCell">
    <xdr:from>
      <xdr:col>1</xdr:col>
      <xdr:colOff>254001</xdr:colOff>
      <xdr:row>0</xdr:row>
      <xdr:rowOff>11907</xdr:rowOff>
    </xdr:from>
    <xdr:to>
      <xdr:col>1</xdr:col>
      <xdr:colOff>1037432</xdr:colOff>
      <xdr:row>0</xdr:row>
      <xdr:rowOff>573435</xdr:rowOff>
    </xdr:to>
    <xdr:pic>
      <xdr:nvPicPr>
        <xdr:cNvPr id="5" name="Image 4">
          <a:extLst>
            <a:ext uri="{FF2B5EF4-FFF2-40B4-BE49-F238E27FC236}">
              <a16:creationId xmlns:a16="http://schemas.microsoft.com/office/drawing/2014/main" id="{9A6D3990-FAEF-4D95-81A6-D6D8CC2B8B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1" y="11907"/>
          <a:ext cx="782161" cy="55215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946D27D4-6EAF-459A-A167-70DD52CAC4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2667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127305</xdr:colOff>
      <xdr:row>0</xdr:row>
      <xdr:rowOff>95664</xdr:rowOff>
    </xdr:from>
    <xdr:to>
      <xdr:col>1</xdr:col>
      <xdr:colOff>1248709</xdr:colOff>
      <xdr:row>2</xdr:row>
      <xdr:rowOff>530845</xdr:rowOff>
    </xdr:to>
    <xdr:pic>
      <xdr:nvPicPr>
        <xdr:cNvPr id="2" name="Image 1">
          <a:extLst>
            <a:ext uri="{FF2B5EF4-FFF2-40B4-BE49-F238E27FC236}">
              <a16:creationId xmlns:a16="http://schemas.microsoft.com/office/drawing/2014/main" id="{27B29902-EC7E-4E94-8F86-E04C20EB2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305" y="95664"/>
          <a:ext cx="1685496" cy="12606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74083</xdr:rowOff>
    </xdr:from>
    <xdr:to>
      <xdr:col>1</xdr:col>
      <xdr:colOff>932392</xdr:colOff>
      <xdr:row>1</xdr:row>
      <xdr:rowOff>603736</xdr:rowOff>
    </xdr:to>
    <xdr:pic>
      <xdr:nvPicPr>
        <xdr:cNvPr id="2" name="Image 1">
          <a:extLst>
            <a:ext uri="{FF2B5EF4-FFF2-40B4-BE49-F238E27FC236}">
              <a16:creationId xmlns:a16="http://schemas.microsoft.com/office/drawing/2014/main" id="{EA70E0DC-D639-41B8-B693-CED75D57A8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47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9172</xdr:rowOff>
    </xdr:from>
    <xdr:to>
      <xdr:col>2</xdr:col>
      <xdr:colOff>795866</xdr:colOff>
      <xdr:row>2</xdr:row>
      <xdr:rowOff>960019</xdr:rowOff>
    </xdr:to>
    <xdr:pic>
      <xdr:nvPicPr>
        <xdr:cNvPr id="2" name="Image 1">
          <a:extLst>
            <a:ext uri="{FF2B5EF4-FFF2-40B4-BE49-F238E27FC236}">
              <a16:creationId xmlns:a16="http://schemas.microsoft.com/office/drawing/2014/main" id="{9943B5CF-B493-4C3D-9F36-24A14A66A6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172"/>
          <a:ext cx="2048933" cy="15435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27021</xdr:rowOff>
    </xdr:from>
    <xdr:to>
      <xdr:col>2</xdr:col>
      <xdr:colOff>812304</xdr:colOff>
      <xdr:row>2</xdr:row>
      <xdr:rowOff>858795</xdr:rowOff>
    </xdr:to>
    <xdr:pic>
      <xdr:nvPicPr>
        <xdr:cNvPr id="2" name="Image 1">
          <a:extLst>
            <a:ext uri="{FF2B5EF4-FFF2-40B4-BE49-F238E27FC236}">
              <a16:creationId xmlns:a16="http://schemas.microsoft.com/office/drawing/2014/main" id="{EDCB719F-52C4-154F-A18C-15475612D9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7021"/>
          <a:ext cx="2025154" cy="15429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354542</xdr:colOff>
      <xdr:row>0</xdr:row>
      <xdr:rowOff>142874</xdr:rowOff>
    </xdr:from>
    <xdr:to>
      <xdr:col>2</xdr:col>
      <xdr:colOff>1286934</xdr:colOff>
      <xdr:row>3</xdr:row>
      <xdr:rowOff>30077</xdr:rowOff>
    </xdr:to>
    <xdr:pic>
      <xdr:nvPicPr>
        <xdr:cNvPr id="2" name="Image 1">
          <a:extLst>
            <a:ext uri="{FF2B5EF4-FFF2-40B4-BE49-F238E27FC236}">
              <a16:creationId xmlns:a16="http://schemas.microsoft.com/office/drawing/2014/main" id="{5E51B8C6-383C-47E9-AB79-A03206858B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52625" y="142874"/>
          <a:ext cx="932392" cy="7285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27021</xdr:rowOff>
    </xdr:from>
    <xdr:to>
      <xdr:col>2</xdr:col>
      <xdr:colOff>805954</xdr:colOff>
      <xdr:row>1</xdr:row>
      <xdr:rowOff>1364980</xdr:rowOff>
    </xdr:to>
    <xdr:pic>
      <xdr:nvPicPr>
        <xdr:cNvPr id="3" name="Image 2">
          <a:extLst>
            <a:ext uri="{FF2B5EF4-FFF2-40B4-BE49-F238E27FC236}">
              <a16:creationId xmlns:a16="http://schemas.microsoft.com/office/drawing/2014/main" id="{1BD83F90-0B21-8045-8CC3-85BEA67977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7021"/>
          <a:ext cx="2048933" cy="15435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222250</xdr:colOff>
      <xdr:row>2</xdr:row>
      <xdr:rowOff>213591</xdr:rowOff>
    </xdr:from>
    <xdr:to>
      <xdr:col>2</xdr:col>
      <xdr:colOff>1154642</xdr:colOff>
      <xdr:row>2</xdr:row>
      <xdr:rowOff>943901</xdr:rowOff>
    </xdr:to>
    <xdr:pic>
      <xdr:nvPicPr>
        <xdr:cNvPr id="2" name="Image 1">
          <a:extLst>
            <a:ext uri="{FF2B5EF4-FFF2-40B4-BE49-F238E27FC236}">
              <a16:creationId xmlns:a16="http://schemas.microsoft.com/office/drawing/2014/main" id="{D2E91CE3-B422-44D6-9332-A2D7D6E504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7205" y="640773"/>
          <a:ext cx="932392" cy="73031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114300</xdr:colOff>
      <xdr:row>0</xdr:row>
      <xdr:rowOff>63500</xdr:rowOff>
    </xdr:from>
    <xdr:to>
      <xdr:col>2</xdr:col>
      <xdr:colOff>1046692</xdr:colOff>
      <xdr:row>3</xdr:row>
      <xdr:rowOff>196286</xdr:rowOff>
    </xdr:to>
    <xdr:pic>
      <xdr:nvPicPr>
        <xdr:cNvPr id="2" name="Image 1">
          <a:extLst>
            <a:ext uri="{FF2B5EF4-FFF2-40B4-BE49-F238E27FC236}">
              <a16:creationId xmlns:a16="http://schemas.microsoft.com/office/drawing/2014/main" id="{275CD162-C3E3-4D21-8CD9-B71D34C7E3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0" y="63500"/>
          <a:ext cx="932392" cy="728578"/>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CCC3C-4C07-4132-8683-C7E47DE1B7AD}">
  <sheetPr codeName="Feuil1">
    <tabColor theme="9" tint="-0.249977111117893"/>
    <pageSetUpPr fitToPage="1"/>
  </sheetPr>
  <dimension ref="A1:X36"/>
  <sheetViews>
    <sheetView showGridLines="0" zoomScale="49" zoomScaleNormal="100" zoomScaleSheetLayoutView="80" zoomScalePageLayoutView="120" workbookViewId="0">
      <selection activeCell="K13" sqref="K13:M13"/>
    </sheetView>
  </sheetViews>
  <sheetFormatPr defaultColWidth="11.42578125" defaultRowHeight="15"/>
  <cols>
    <col min="1" max="2" width="11.42578125" style="1"/>
    <col min="3" max="3" width="23.42578125" style="1" customWidth="1"/>
    <col min="4" max="4" width="11.42578125" style="1"/>
    <col min="5" max="5" width="19.42578125" style="1" customWidth="1"/>
    <col min="6" max="6" width="11.42578125" style="1"/>
    <col min="7" max="7" width="19.42578125" style="1" customWidth="1"/>
    <col min="8" max="8" width="11.42578125" style="1"/>
    <col min="9" max="9" width="19.42578125" style="1" customWidth="1"/>
    <col min="10" max="10" width="11.42578125" style="1" customWidth="1"/>
    <col min="11" max="11" width="19.42578125" style="1" customWidth="1"/>
    <col min="12" max="12" width="11.42578125" style="1" customWidth="1"/>
    <col min="13" max="13" width="19.42578125" style="1" customWidth="1"/>
    <col min="14" max="14" width="11.42578125" style="1" customWidth="1"/>
    <col min="15" max="15" width="19.42578125" style="1" customWidth="1"/>
    <col min="16" max="16" width="11.42578125" style="1"/>
    <col min="17" max="17" width="19.42578125" style="1" customWidth="1"/>
    <col min="18" max="16384" width="11.42578125" style="1"/>
  </cols>
  <sheetData>
    <row r="1" spans="1:24">
      <c r="A1" s="166"/>
      <c r="B1" s="167"/>
      <c r="C1" s="167"/>
      <c r="D1" s="167"/>
      <c r="E1" s="167"/>
      <c r="F1" s="167"/>
      <c r="G1" s="167"/>
      <c r="H1" s="167"/>
      <c r="I1" s="167"/>
      <c r="J1" s="167"/>
      <c r="K1" s="167"/>
      <c r="L1" s="167"/>
      <c r="M1" s="167"/>
      <c r="N1" s="167"/>
      <c r="O1" s="167"/>
      <c r="P1" s="167"/>
      <c r="Q1" s="167"/>
      <c r="R1" s="167"/>
      <c r="S1" s="167"/>
      <c r="T1" s="167"/>
      <c r="U1" s="167"/>
      <c r="V1" s="167"/>
      <c r="W1" s="167"/>
      <c r="X1" s="168"/>
    </row>
    <row r="2" spans="1:24">
      <c r="A2" s="169"/>
      <c r="X2" s="170"/>
    </row>
    <row r="3" spans="1:24">
      <c r="A3" s="169"/>
      <c r="X3" s="170"/>
    </row>
    <row r="4" spans="1:24">
      <c r="A4" s="169"/>
      <c r="X4" s="170"/>
    </row>
    <row r="5" spans="1:24">
      <c r="A5" s="169"/>
      <c r="X5" s="170"/>
    </row>
    <row r="6" spans="1:24">
      <c r="A6" s="169"/>
      <c r="X6" s="170"/>
    </row>
    <row r="7" spans="1:24">
      <c r="A7" s="169"/>
      <c r="V7" s="1775"/>
      <c r="W7" s="1775"/>
      <c r="X7" s="170"/>
    </row>
    <row r="8" spans="1:24" ht="21">
      <c r="A8" s="1782" t="s">
        <v>0</v>
      </c>
      <c r="B8" s="1783"/>
      <c r="C8" s="1783"/>
      <c r="D8" s="1783"/>
      <c r="E8" s="1783"/>
      <c r="F8" s="1783"/>
      <c r="G8" s="1783"/>
      <c r="H8" s="1783"/>
      <c r="I8" s="1783"/>
      <c r="J8" s="1783"/>
      <c r="K8" s="1783"/>
      <c r="L8" s="1783"/>
      <c r="M8" s="1783"/>
      <c r="N8" s="1783"/>
      <c r="O8" s="1783"/>
      <c r="P8" s="1783"/>
      <c r="Q8" s="1783"/>
      <c r="R8" s="1783"/>
      <c r="S8" s="1783"/>
      <c r="T8" s="1783"/>
      <c r="U8" s="1783"/>
      <c r="V8" s="1783"/>
      <c r="W8" s="1783"/>
      <c r="X8" s="1784"/>
    </row>
    <row r="9" spans="1:24" ht="42.95" customHeight="1">
      <c r="A9" s="1779" t="s">
        <v>1</v>
      </c>
      <c r="B9" s="1780"/>
      <c r="C9" s="1780"/>
      <c r="D9" s="1780"/>
      <c r="E9" s="1780"/>
      <c r="F9" s="1780"/>
      <c r="G9" s="1780"/>
      <c r="H9" s="1780"/>
      <c r="I9" s="1780"/>
      <c r="J9" s="1780"/>
      <c r="K9" s="1780"/>
      <c r="L9" s="1780"/>
      <c r="M9" s="1780"/>
      <c r="N9" s="1780"/>
      <c r="O9" s="1780"/>
      <c r="P9" s="1780"/>
      <c r="Q9" s="1780"/>
      <c r="R9" s="1780"/>
      <c r="S9" s="1780"/>
      <c r="T9" s="1780"/>
      <c r="U9" s="1780"/>
      <c r="V9" s="1780"/>
      <c r="W9" s="1780"/>
      <c r="X9" s="1781"/>
    </row>
    <row r="10" spans="1:24" ht="21">
      <c r="A10" s="1788" t="s">
        <v>2</v>
      </c>
      <c r="B10" s="1789"/>
      <c r="C10" s="1789"/>
      <c r="D10" s="1789"/>
      <c r="E10" s="1789"/>
      <c r="F10" s="1789"/>
      <c r="G10" s="1789"/>
      <c r="H10" s="1789"/>
      <c r="I10" s="1789"/>
      <c r="J10" s="1789"/>
      <c r="K10" s="1789"/>
      <c r="L10" s="1789"/>
      <c r="M10" s="1789"/>
      <c r="N10" s="1789"/>
      <c r="O10" s="1789"/>
      <c r="P10" s="1789"/>
      <c r="Q10" s="1789"/>
      <c r="R10" s="1789"/>
      <c r="S10" s="1789"/>
      <c r="T10" s="1789"/>
      <c r="U10" s="1789"/>
      <c r="V10" s="1789"/>
      <c r="W10" s="1789"/>
      <c r="X10" s="1790"/>
    </row>
    <row r="11" spans="1:24" ht="21">
      <c r="A11" s="171"/>
      <c r="B11" s="172"/>
      <c r="C11" s="172"/>
      <c r="D11" s="172"/>
      <c r="E11" s="172"/>
      <c r="F11" s="172"/>
      <c r="G11" s="172"/>
      <c r="H11" s="172"/>
      <c r="I11" s="172"/>
      <c r="J11" s="173"/>
      <c r="K11" s="173"/>
      <c r="L11" s="173"/>
      <c r="M11" s="173"/>
      <c r="N11" s="173"/>
      <c r="O11" s="172"/>
      <c r="P11" s="172"/>
      <c r="Q11" s="172"/>
      <c r="R11" s="172"/>
      <c r="S11" s="172"/>
      <c r="T11" s="172"/>
      <c r="U11" s="172"/>
      <c r="V11" s="172"/>
      <c r="W11" s="172"/>
      <c r="X11" s="174"/>
    </row>
    <row r="12" spans="1:24" ht="29.1">
      <c r="A12" s="1776" t="s">
        <v>3</v>
      </c>
      <c r="B12" s="1777"/>
      <c r="C12" s="1777"/>
      <c r="D12" s="1777"/>
      <c r="E12" s="1777"/>
      <c r="F12" s="1777"/>
      <c r="G12" s="1777"/>
      <c r="H12" s="1777"/>
      <c r="I12" s="1777"/>
      <c r="J12" s="1777"/>
      <c r="K12" s="1777"/>
      <c r="L12" s="1777"/>
      <c r="M12" s="1777"/>
      <c r="N12" s="1777"/>
      <c r="O12" s="1777"/>
      <c r="P12" s="1777"/>
      <c r="Q12" s="1777"/>
      <c r="R12" s="1777"/>
      <c r="S12" s="1777"/>
      <c r="T12" s="1777"/>
      <c r="U12" s="1777"/>
      <c r="V12" s="1777"/>
      <c r="W12" s="1777"/>
      <c r="X12" s="1778"/>
    </row>
    <row r="13" spans="1:24" ht="29.1">
      <c r="A13" s="175"/>
      <c r="B13" s="176"/>
      <c r="C13" s="176"/>
      <c r="D13" s="176"/>
      <c r="E13" s="176"/>
      <c r="F13" s="176"/>
      <c r="G13" s="176"/>
      <c r="H13" s="176"/>
      <c r="I13" s="176"/>
      <c r="J13" s="176"/>
      <c r="K13" s="1791" t="s">
        <v>4</v>
      </c>
      <c r="L13" s="1791"/>
      <c r="M13" s="1791"/>
      <c r="N13" s="176"/>
      <c r="O13" s="176"/>
      <c r="P13" s="176"/>
      <c r="Q13" s="176"/>
      <c r="R13" s="176"/>
      <c r="S13" s="176"/>
      <c r="T13" s="176"/>
      <c r="U13" s="176"/>
      <c r="V13" s="176"/>
      <c r="W13" s="176"/>
      <c r="X13" s="177"/>
    </row>
    <row r="14" spans="1:24">
      <c r="A14" s="169"/>
      <c r="X14" s="170"/>
    </row>
    <row r="15" spans="1:24" ht="35.25" customHeight="1">
      <c r="A15" s="169"/>
      <c r="B15" s="1785" t="s">
        <v>5</v>
      </c>
      <c r="C15" s="1785"/>
      <c r="D15" s="1785"/>
      <c r="E15" s="1785"/>
      <c r="F15" s="1785"/>
      <c r="G15" s="1785"/>
      <c r="H15" s="1785"/>
      <c r="I15" s="1785"/>
      <c r="J15" s="1785"/>
      <c r="K15" s="1785"/>
      <c r="L15" s="1785"/>
      <c r="M15" s="1785"/>
      <c r="N15" s="1785"/>
      <c r="O15" s="1785"/>
      <c r="P15" s="1785"/>
      <c r="Q15" s="1785"/>
      <c r="R15" s="1785"/>
      <c r="S15" s="1785"/>
      <c r="T15" s="1785"/>
      <c r="U15" s="1785"/>
      <c r="V15" s="1785"/>
      <c r="W15" s="1785"/>
      <c r="X15" s="170"/>
    </row>
    <row r="16" spans="1:24">
      <c r="A16" s="169"/>
      <c r="X16" s="170"/>
    </row>
    <row r="17" spans="1:24" ht="18.95">
      <c r="A17" s="169"/>
      <c r="B17" s="1771" t="s">
        <v>6</v>
      </c>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0"/>
    </row>
    <row r="18" spans="1:24" ht="78.95" customHeight="1">
      <c r="A18" s="169"/>
      <c r="B18" s="1786" t="s">
        <v>7</v>
      </c>
      <c r="C18" s="1787"/>
      <c r="D18" s="1787"/>
      <c r="E18" s="1787"/>
      <c r="F18" s="1787"/>
      <c r="G18" s="1787"/>
      <c r="H18" s="1787"/>
      <c r="I18" s="1787"/>
      <c r="J18" s="1787"/>
      <c r="K18" s="1787"/>
      <c r="L18" s="1787"/>
      <c r="M18" s="1787"/>
      <c r="N18" s="1787"/>
      <c r="O18" s="1787"/>
      <c r="P18" s="1787"/>
      <c r="Q18" s="1787"/>
      <c r="R18" s="1787"/>
      <c r="S18" s="1787"/>
      <c r="T18" s="1787"/>
      <c r="U18" s="1787"/>
      <c r="V18" s="1787"/>
      <c r="W18" s="1787"/>
      <c r="X18" s="170"/>
    </row>
    <row r="19" spans="1:24" ht="85.5" customHeight="1">
      <c r="A19" s="169"/>
      <c r="B19" s="1786" t="s">
        <v>8</v>
      </c>
      <c r="C19" s="1787"/>
      <c r="D19" s="1787"/>
      <c r="E19" s="1787"/>
      <c r="F19" s="1787"/>
      <c r="G19" s="1787"/>
      <c r="H19" s="1787"/>
      <c r="I19" s="1787"/>
      <c r="J19" s="1787"/>
      <c r="K19" s="1787"/>
      <c r="L19" s="1787"/>
      <c r="M19" s="1787"/>
      <c r="N19" s="1787"/>
      <c r="O19" s="1787"/>
      <c r="P19" s="1787"/>
      <c r="Q19" s="1787"/>
      <c r="R19" s="1787"/>
      <c r="S19" s="1787"/>
      <c r="T19" s="1787"/>
      <c r="U19" s="1787"/>
      <c r="V19" s="1787"/>
      <c r="W19" s="1787"/>
      <c r="X19" s="170"/>
    </row>
    <row r="20" spans="1:24" ht="17.100000000000001" thickBot="1">
      <c r="A20" s="169"/>
      <c r="B20" s="2061"/>
      <c r="C20" s="2061"/>
      <c r="D20" s="2061"/>
      <c r="E20" s="2061"/>
      <c r="F20" s="2061"/>
      <c r="G20" s="2061"/>
      <c r="H20" s="2061"/>
      <c r="I20" s="2061"/>
      <c r="J20" s="2061"/>
      <c r="K20" s="2061"/>
      <c r="L20" s="2061"/>
      <c r="M20" s="2061"/>
      <c r="N20" s="2061"/>
      <c r="O20" s="2061"/>
      <c r="P20" s="2061"/>
      <c r="Q20" s="2061"/>
      <c r="R20" s="2061"/>
      <c r="S20" s="2061"/>
      <c r="T20" s="2061"/>
      <c r="U20" s="2061"/>
      <c r="V20" s="2061"/>
      <c r="W20" s="2061"/>
      <c r="X20" s="170"/>
    </row>
    <row r="21" spans="1:24" ht="51.95" customHeight="1" thickBot="1">
      <c r="A21" s="169"/>
      <c r="B21" s="1772" t="s">
        <v>9</v>
      </c>
      <c r="C21" s="1792"/>
      <c r="D21" s="1792"/>
      <c r="E21" s="1792"/>
      <c r="F21" s="1792"/>
      <c r="G21" s="1792"/>
      <c r="H21" s="1792"/>
      <c r="I21" s="1792"/>
      <c r="J21" s="1792"/>
      <c r="K21" s="1792"/>
      <c r="L21" s="1792"/>
      <c r="M21" s="1792"/>
      <c r="N21" s="1792"/>
      <c r="O21" s="1792"/>
      <c r="P21" s="1792"/>
      <c r="Q21" s="1773"/>
      <c r="R21" s="179"/>
      <c r="S21" s="179"/>
      <c r="T21" s="179"/>
      <c r="U21" s="179"/>
      <c r="V21" s="179"/>
      <c r="W21" s="179"/>
      <c r="X21" s="170"/>
    </row>
    <row r="22" spans="1:24" ht="51.95" customHeight="1" thickBot="1">
      <c r="A22" s="169"/>
      <c r="B22" s="1772" t="s">
        <v>10</v>
      </c>
      <c r="C22" s="1773"/>
      <c r="D22" s="1772" t="s">
        <v>11</v>
      </c>
      <c r="E22" s="1773"/>
      <c r="F22" s="1772" t="s">
        <v>12</v>
      </c>
      <c r="G22" s="1773"/>
      <c r="H22" s="1772" t="s">
        <v>13</v>
      </c>
      <c r="I22" s="1773"/>
      <c r="J22" s="1772" t="s">
        <v>14</v>
      </c>
      <c r="K22" s="1773"/>
      <c r="L22" s="1772" t="s">
        <v>15</v>
      </c>
      <c r="M22" s="1773"/>
      <c r="N22" s="1772" t="s">
        <v>16</v>
      </c>
      <c r="O22" s="1773"/>
      <c r="P22" s="1772" t="s">
        <v>17</v>
      </c>
      <c r="Q22" s="1773"/>
      <c r="R22" s="179"/>
      <c r="S22" s="179"/>
      <c r="T22" s="179"/>
      <c r="U22" s="179"/>
      <c r="V22" s="179"/>
      <c r="W22" s="179"/>
      <c r="X22" s="170"/>
    </row>
    <row r="23" spans="1:24" ht="51.95" customHeight="1" thickBot="1">
      <c r="A23" s="169"/>
      <c r="B23" s="180" t="s">
        <v>18</v>
      </c>
      <c r="C23" s="38"/>
      <c r="D23" s="180" t="s">
        <v>18</v>
      </c>
      <c r="E23" s="38"/>
      <c r="F23" s="180" t="s">
        <v>18</v>
      </c>
      <c r="G23" s="38"/>
      <c r="H23" s="180" t="s">
        <v>18</v>
      </c>
      <c r="I23" s="38"/>
      <c r="J23" s="180" t="s">
        <v>18</v>
      </c>
      <c r="K23" s="38"/>
      <c r="L23" s="180" t="s">
        <v>18</v>
      </c>
      <c r="M23" s="38"/>
      <c r="N23" s="180" t="s">
        <v>18</v>
      </c>
      <c r="O23" s="38"/>
      <c r="P23" s="180" t="s">
        <v>18</v>
      </c>
      <c r="Q23" s="38"/>
      <c r="R23" s="179"/>
      <c r="S23" s="179"/>
      <c r="T23" s="179"/>
      <c r="U23" s="179"/>
      <c r="V23" s="179"/>
      <c r="W23" s="179"/>
      <c r="X23" s="170"/>
    </row>
    <row r="24" spans="1:24" ht="15.95">
      <c r="A24" s="169"/>
      <c r="B24" s="2061"/>
      <c r="C24" s="2061"/>
      <c r="D24" s="2061"/>
      <c r="E24" s="2061"/>
      <c r="F24" s="2061"/>
      <c r="G24" s="2061"/>
      <c r="H24" s="2061"/>
      <c r="I24" s="2061"/>
      <c r="J24" s="2061"/>
      <c r="K24" s="2061"/>
      <c r="L24" s="2061"/>
      <c r="M24" s="2061"/>
      <c r="N24" s="2061"/>
      <c r="O24" s="2061"/>
      <c r="P24" s="2061"/>
      <c r="Q24" s="2061"/>
      <c r="R24" s="2061"/>
      <c r="S24" s="2061"/>
      <c r="T24" s="2061"/>
      <c r="U24" s="2061"/>
      <c r="V24" s="2061"/>
      <c r="W24" s="2061"/>
      <c r="X24" s="170"/>
    </row>
    <row r="25" spans="1:24" ht="35.450000000000003" customHeight="1">
      <c r="A25" s="169"/>
      <c r="B25" s="1786" t="s">
        <v>19</v>
      </c>
      <c r="C25" s="1787"/>
      <c r="D25" s="1787"/>
      <c r="E25" s="1787"/>
      <c r="F25" s="1787"/>
      <c r="G25" s="1787"/>
      <c r="H25" s="1787"/>
      <c r="I25" s="1787"/>
      <c r="J25" s="1787"/>
      <c r="K25" s="1787"/>
      <c r="L25" s="1787"/>
      <c r="M25" s="1787"/>
      <c r="N25" s="1787"/>
      <c r="O25" s="1787"/>
      <c r="P25" s="1787"/>
      <c r="Q25" s="1787"/>
      <c r="R25" s="1787"/>
      <c r="S25" s="1787"/>
      <c r="T25" s="1787"/>
      <c r="U25" s="1787"/>
      <c r="V25" s="1787"/>
      <c r="W25" s="1787"/>
      <c r="X25" s="170"/>
    </row>
    <row r="26" spans="1:24" ht="350.45" customHeight="1">
      <c r="A26" s="169"/>
      <c r="B26" s="1786" t="s">
        <v>20</v>
      </c>
      <c r="C26" s="1786"/>
      <c r="D26" s="1786"/>
      <c r="E26" s="1786"/>
      <c r="F26" s="1786"/>
      <c r="G26" s="1786"/>
      <c r="H26" s="1786"/>
      <c r="I26" s="1786"/>
      <c r="J26" s="1786"/>
      <c r="K26" s="1786"/>
      <c r="L26" s="1786"/>
      <c r="M26" s="1786"/>
      <c r="N26" s="1786"/>
      <c r="O26" s="1786"/>
      <c r="P26" s="1786"/>
      <c r="Q26" s="1786"/>
      <c r="R26" s="1786"/>
      <c r="S26" s="1786"/>
      <c r="T26" s="1786"/>
      <c r="U26" s="1786"/>
      <c r="V26" s="1786"/>
      <c r="W26" s="1786"/>
      <c r="X26" s="170"/>
    </row>
    <row r="27" spans="1:24" ht="147.6" customHeight="1">
      <c r="A27" s="169"/>
      <c r="B27" s="2062" t="s">
        <v>21</v>
      </c>
      <c r="C27" s="2062"/>
      <c r="D27" s="2062"/>
      <c r="E27" s="2062"/>
      <c r="F27" s="2062"/>
      <c r="G27" s="2062"/>
      <c r="H27" s="2062"/>
      <c r="I27" s="2062"/>
      <c r="J27" s="2062"/>
      <c r="K27" s="2062"/>
      <c r="L27" s="2062"/>
      <c r="M27" s="2062"/>
      <c r="N27" s="2062"/>
      <c r="O27" s="2062"/>
      <c r="P27" s="2062"/>
      <c r="Q27" s="2062"/>
      <c r="R27" s="2062"/>
      <c r="S27" s="2062"/>
      <c r="T27" s="2062"/>
      <c r="U27" s="2062"/>
      <c r="V27" s="2062"/>
      <c r="W27" s="2062"/>
      <c r="X27" s="170"/>
    </row>
    <row r="28" spans="1:24" ht="120" customHeight="1">
      <c r="A28" s="169"/>
      <c r="B28" s="2063" t="s">
        <v>22</v>
      </c>
      <c r="C28" s="2064"/>
      <c r="D28" s="2064"/>
      <c r="E28" s="2064"/>
      <c r="F28" s="2064"/>
      <c r="G28" s="2064"/>
      <c r="H28" s="2064"/>
      <c r="I28" s="2064"/>
      <c r="J28" s="2064"/>
      <c r="K28" s="2064"/>
      <c r="L28" s="2064"/>
      <c r="M28" s="2064"/>
      <c r="N28" s="2064"/>
      <c r="O28" s="2064"/>
      <c r="P28" s="2064"/>
      <c r="Q28" s="2064"/>
      <c r="R28" s="2064"/>
      <c r="S28" s="2064"/>
      <c r="T28" s="2064"/>
      <c r="U28" s="2064"/>
      <c r="V28" s="2064"/>
      <c r="W28" s="2064"/>
      <c r="X28" s="170"/>
    </row>
    <row r="29" spans="1:24" ht="32.1" customHeight="1">
      <c r="A29" s="169"/>
      <c r="B29" s="2063" t="s">
        <v>23</v>
      </c>
      <c r="C29" s="2063"/>
      <c r="D29" s="2063"/>
      <c r="E29" s="2063"/>
      <c r="F29" s="2063"/>
      <c r="G29" s="2063"/>
      <c r="H29" s="2063"/>
      <c r="I29" s="2063"/>
      <c r="J29" s="2063"/>
      <c r="K29" s="2063"/>
      <c r="L29" s="2063"/>
      <c r="M29" s="2063"/>
      <c r="N29" s="2063"/>
      <c r="O29" s="2063"/>
      <c r="P29" s="2063"/>
      <c r="Q29" s="2063"/>
      <c r="R29" s="2063"/>
      <c r="S29" s="2063"/>
      <c r="T29" s="2063"/>
      <c r="U29" s="2063"/>
      <c r="V29" s="2063"/>
      <c r="W29" s="2063"/>
      <c r="X29" s="170"/>
    </row>
    <row r="30" spans="1:24">
      <c r="A30" s="169"/>
      <c r="X30" s="170"/>
    </row>
    <row r="31" spans="1:24" ht="18.95">
      <c r="A31" s="169"/>
      <c r="B31" s="1774" t="s">
        <v>24</v>
      </c>
      <c r="C31" s="1774"/>
      <c r="D31" s="1774"/>
      <c r="E31" s="1774"/>
      <c r="F31" s="1774"/>
      <c r="G31" s="1774"/>
      <c r="H31" s="1774"/>
      <c r="I31" s="1774"/>
      <c r="J31" s="1774"/>
      <c r="K31" s="1774"/>
      <c r="L31" s="1774"/>
      <c r="M31" s="1774"/>
      <c r="N31" s="1774"/>
      <c r="O31" s="1774"/>
      <c r="P31" s="1774"/>
      <c r="Q31" s="1774"/>
      <c r="R31" s="1774"/>
      <c r="S31" s="1774"/>
      <c r="T31" s="1774"/>
      <c r="U31" s="1774"/>
      <c r="V31" s="1774"/>
      <c r="W31" s="1774"/>
      <c r="X31" s="170"/>
    </row>
    <row r="32" spans="1:24" ht="110.45" customHeight="1">
      <c r="A32" s="169"/>
      <c r="B32" s="2062" t="s">
        <v>25</v>
      </c>
      <c r="C32" s="2065"/>
      <c r="D32" s="2065"/>
      <c r="E32" s="2065"/>
      <c r="F32" s="2065"/>
      <c r="G32" s="2065"/>
      <c r="H32" s="2065"/>
      <c r="I32" s="2065"/>
      <c r="J32" s="2065"/>
      <c r="K32" s="2065"/>
      <c r="L32" s="2065"/>
      <c r="M32" s="2065"/>
      <c r="N32" s="2065"/>
      <c r="O32" s="2065"/>
      <c r="P32" s="2065"/>
      <c r="Q32" s="2065"/>
      <c r="R32" s="2065"/>
      <c r="S32" s="2065"/>
      <c r="T32" s="2065"/>
      <c r="U32" s="2065"/>
      <c r="V32" s="2065"/>
      <c r="W32" s="2065"/>
      <c r="X32" s="170"/>
    </row>
    <row r="33" spans="1:24" ht="15.95">
      <c r="A33" s="169"/>
      <c r="B33" s="2061"/>
      <c r="C33" s="2061"/>
      <c r="D33" s="2061"/>
      <c r="E33" s="2061"/>
      <c r="F33" s="2061"/>
      <c r="G33" s="2061"/>
      <c r="H33" s="2061"/>
      <c r="I33" s="2061"/>
      <c r="J33" s="2061"/>
      <c r="K33" s="2061"/>
      <c r="L33" s="2061"/>
      <c r="M33" s="2061"/>
      <c r="N33" s="2061"/>
      <c r="O33" s="2061"/>
      <c r="P33" s="2061"/>
      <c r="Q33" s="2061"/>
      <c r="R33" s="2061"/>
      <c r="S33" s="2061"/>
      <c r="T33" s="2061"/>
      <c r="U33" s="2061"/>
      <c r="V33" s="2061"/>
      <c r="W33" s="2061"/>
      <c r="X33" s="170"/>
    </row>
    <row r="34" spans="1:24" ht="18.95">
      <c r="A34" s="169"/>
      <c r="B34" s="1771" t="s">
        <v>26</v>
      </c>
      <c r="C34" s="1771"/>
      <c r="D34" s="1771"/>
      <c r="E34" s="1771"/>
      <c r="F34" s="1771"/>
      <c r="G34" s="1771"/>
      <c r="H34" s="1771"/>
      <c r="I34" s="1771"/>
      <c r="J34" s="1771"/>
      <c r="K34" s="1771"/>
      <c r="L34" s="1771"/>
      <c r="M34" s="1771"/>
      <c r="N34" s="1771"/>
      <c r="O34" s="1771"/>
      <c r="P34" s="1771"/>
      <c r="Q34" s="1771"/>
      <c r="R34" s="1771"/>
      <c r="S34" s="1771"/>
      <c r="T34" s="1771"/>
      <c r="U34" s="1771"/>
      <c r="V34" s="1771"/>
      <c r="W34" s="1771"/>
      <c r="X34" s="170"/>
    </row>
    <row r="35" spans="1:24" ht="33" customHeight="1">
      <c r="A35" s="169"/>
      <c r="B35" s="2062" t="s">
        <v>27</v>
      </c>
      <c r="C35" s="2062"/>
      <c r="D35" s="2062"/>
      <c r="E35" s="2062"/>
      <c r="F35" s="2062"/>
      <c r="G35" s="2062"/>
      <c r="H35" s="2062"/>
      <c r="I35" s="2062"/>
      <c r="J35" s="2062"/>
      <c r="K35" s="2062"/>
      <c r="L35" s="2062"/>
      <c r="M35" s="2062"/>
      <c r="N35" s="2062"/>
      <c r="O35" s="2062"/>
      <c r="P35" s="2062"/>
      <c r="Q35" s="2062"/>
      <c r="R35" s="2062"/>
      <c r="S35" s="2062"/>
      <c r="T35" s="2062"/>
      <c r="U35" s="2062"/>
      <c r="V35" s="2062"/>
      <c r="W35" s="2062"/>
      <c r="X35" s="170"/>
    </row>
    <row r="36" spans="1:24" ht="21.95" thickBot="1">
      <c r="A36" s="181"/>
      <c r="B36" s="182"/>
      <c r="C36" s="183"/>
      <c r="D36" s="183"/>
      <c r="E36" s="183"/>
      <c r="F36" s="183"/>
      <c r="G36" s="183"/>
      <c r="H36" s="183"/>
      <c r="I36" s="183"/>
      <c r="J36" s="183"/>
      <c r="K36" s="183"/>
      <c r="L36" s="183"/>
      <c r="M36" s="183"/>
      <c r="N36" s="183"/>
      <c r="O36" s="183"/>
      <c r="P36" s="183"/>
      <c r="Q36" s="183"/>
      <c r="R36" s="183"/>
      <c r="S36" s="183"/>
      <c r="T36" s="183"/>
      <c r="U36" s="183"/>
      <c r="V36" s="183"/>
      <c r="W36" s="183"/>
      <c r="X36" s="184"/>
    </row>
  </sheetData>
  <sheetProtection algorithmName="SHA-512" hashValue="mktLrB0DIOkOMCfu3kkoLSIdYsqjMWFuVgQbQOHHC5AMzLQWZi0WgNn6IqF6pmWK9p90D6Gd4EYAXVTlHPwqTw==" saltValue="6DJ54Z4q4xDnTmiO0WRb9A==" spinCount="100000" sheet="1" formatCells="0" formatColumns="0" formatRows="0" insertColumns="0" insertRows="0" insertHyperlinks="0" deleteColumns="0" deleteRows="0" sort="0" autoFilter="0" pivotTables="0"/>
  <mergeCells count="28">
    <mergeCell ref="V7:W7"/>
    <mergeCell ref="B27:W27"/>
    <mergeCell ref="B29:W29"/>
    <mergeCell ref="B17:W17"/>
    <mergeCell ref="A12:X12"/>
    <mergeCell ref="A9:X9"/>
    <mergeCell ref="A8:X8"/>
    <mergeCell ref="B15:W15"/>
    <mergeCell ref="B25:W25"/>
    <mergeCell ref="B28:W28"/>
    <mergeCell ref="B19:W19"/>
    <mergeCell ref="B26:W26"/>
    <mergeCell ref="A10:X10"/>
    <mergeCell ref="K13:M13"/>
    <mergeCell ref="B18:W18"/>
    <mergeCell ref="B21:Q21"/>
    <mergeCell ref="B35:W35"/>
    <mergeCell ref="B32:W32"/>
    <mergeCell ref="B34:W34"/>
    <mergeCell ref="B22:C22"/>
    <mergeCell ref="D22:E22"/>
    <mergeCell ref="F22:G22"/>
    <mergeCell ref="H22:I22"/>
    <mergeCell ref="J22:K22"/>
    <mergeCell ref="L22:M22"/>
    <mergeCell ref="N22:O22"/>
    <mergeCell ref="B31:W31"/>
    <mergeCell ref="P22:Q22"/>
  </mergeCells>
  <pageMargins left="6.6666666666666671E-3" right="0.7" top="3.3333333333333335E-3" bottom="0.75" header="0.3" footer="0.3"/>
  <pageSetup paperSize="9" scale="2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FA95-170D-477E-AF6B-3CAE7FE75808}">
  <sheetPr codeName="Feuil10">
    <tabColor theme="8" tint="0.59999389629810485"/>
  </sheetPr>
  <dimension ref="B1:AM64"/>
  <sheetViews>
    <sheetView showGridLines="0" topLeftCell="D1" zoomScale="85" zoomScaleNormal="85" workbookViewId="0">
      <selection activeCell="AL9" sqref="AL9"/>
    </sheetView>
  </sheetViews>
  <sheetFormatPr defaultColWidth="11.42578125" defaultRowHeight="15" outlineLevelCol="1"/>
  <cols>
    <col min="1" max="1" width="5.42578125" style="322" customWidth="1"/>
    <col min="2" max="2" width="11.42578125" style="322"/>
    <col min="3" max="5" width="24.42578125" style="322" customWidth="1"/>
    <col min="6" max="6" width="13.140625" style="322" customWidth="1"/>
    <col min="7" max="7" width="17.42578125" style="322" customWidth="1"/>
    <col min="8" max="8" width="14" style="322" customWidth="1"/>
    <col min="9" max="9" width="17.85546875" style="322" customWidth="1"/>
    <col min="10" max="10" width="17.42578125" style="322" customWidth="1"/>
    <col min="11" max="11" width="19.140625" style="322" customWidth="1"/>
    <col min="12" max="12" width="16.42578125" style="322" customWidth="1"/>
    <col min="13" max="13" width="18.42578125" style="322" customWidth="1"/>
    <col min="14" max="14" width="22.42578125" style="322" customWidth="1"/>
    <col min="15" max="16" width="18" style="322" customWidth="1"/>
    <col min="17" max="19" width="24.42578125" style="322" hidden="1" customWidth="1" outlineLevel="1"/>
    <col min="20" max="20" width="13.140625" style="322" hidden="1" customWidth="1" outlineLevel="1"/>
    <col min="21" max="21" width="17.42578125" style="322" hidden="1" customWidth="1" outlineLevel="1"/>
    <col min="22" max="22" width="14" style="322" hidden="1" customWidth="1" outlineLevel="1"/>
    <col min="23" max="23" width="17.85546875" style="322" hidden="1" customWidth="1" outlineLevel="1"/>
    <col min="24" max="24" width="17.42578125" style="322" hidden="1" customWidth="1" outlineLevel="1"/>
    <col min="25" max="25" width="19.140625" style="322" hidden="1" customWidth="1" outlineLevel="1"/>
    <col min="26" max="26" width="16.42578125" style="322" hidden="1" customWidth="1" outlineLevel="1"/>
    <col min="27" max="27" width="18.42578125" style="322" hidden="1" customWidth="1" outlineLevel="1"/>
    <col min="28" max="29" width="23.42578125" style="322" hidden="1" customWidth="1" outlineLevel="1"/>
    <col min="30" max="30" width="23.42578125" style="514" hidden="1" customWidth="1" outlineLevel="1"/>
    <col min="31" max="31" width="23.42578125" style="322" hidden="1" customWidth="1" outlineLevel="1"/>
    <col min="32" max="32" width="35.42578125" style="322" hidden="1" customWidth="1" outlineLevel="1"/>
    <col min="33" max="33" width="34.140625" style="322" hidden="1" customWidth="1" outlineLevel="1"/>
    <col min="34" max="34" width="30.42578125" style="322" hidden="1" customWidth="1" outlineLevel="1"/>
    <col min="35" max="35" width="11.42578125" style="322" collapsed="1"/>
    <col min="36" max="16384" width="11.42578125" style="322"/>
  </cols>
  <sheetData>
    <row r="1" spans="2:39" ht="15.95" thickBot="1"/>
    <row r="2" spans="2:39" ht="18.600000000000001" customHeight="1" thickBot="1">
      <c r="C2" s="323"/>
      <c r="D2" s="1925" t="s">
        <v>387</v>
      </c>
      <c r="E2" s="1926"/>
      <c r="F2" s="1926"/>
      <c r="G2" s="1926"/>
      <c r="H2" s="1926"/>
      <c r="I2" s="1927"/>
    </row>
    <row r="3" spans="2:39" ht="87.95" customHeight="1" thickBot="1">
      <c r="C3" s="98"/>
      <c r="D3" s="1928" t="s">
        <v>388</v>
      </c>
      <c r="E3" s="1929"/>
      <c r="F3" s="1929"/>
      <c r="G3" s="1929"/>
      <c r="H3" s="1929"/>
      <c r="I3" s="1930"/>
      <c r="K3" s="1920" t="s">
        <v>389</v>
      </c>
      <c r="L3" s="1921"/>
      <c r="M3" s="1921"/>
      <c r="N3" s="1922"/>
    </row>
    <row r="4" spans="2:39" ht="15.95" thickBot="1"/>
    <row r="5" spans="2:39" ht="26.45" customHeight="1" thickBot="1">
      <c r="B5" s="1915" t="s">
        <v>390</v>
      </c>
      <c r="C5" s="1916"/>
      <c r="D5" s="1916"/>
      <c r="E5" s="1916"/>
      <c r="F5" s="1916"/>
      <c r="G5" s="1916"/>
      <c r="H5" s="1916"/>
      <c r="I5" s="1916"/>
      <c r="J5" s="1916"/>
      <c r="K5" s="1916"/>
      <c r="L5" s="1916"/>
      <c r="M5" s="1916"/>
      <c r="N5" s="1916"/>
      <c r="O5" s="1916"/>
      <c r="P5" s="1931"/>
      <c r="Q5" s="1917" t="s">
        <v>391</v>
      </c>
      <c r="R5" s="1918"/>
      <c r="S5" s="1918"/>
      <c r="T5" s="1918"/>
      <c r="U5" s="1918"/>
      <c r="V5" s="1918"/>
      <c r="W5" s="1918"/>
      <c r="X5" s="1918"/>
      <c r="Y5" s="1918"/>
      <c r="Z5" s="1918"/>
      <c r="AA5" s="1918"/>
      <c r="AB5" s="1918"/>
      <c r="AC5" s="1918"/>
      <c r="AD5" s="1918"/>
      <c r="AE5" s="1918"/>
      <c r="AF5" s="1918"/>
      <c r="AG5" s="1918"/>
      <c r="AH5" s="1919"/>
      <c r="AK5" s="324"/>
      <c r="AL5" s="324"/>
      <c r="AM5" s="324"/>
    </row>
    <row r="6" spans="2:39" ht="75" customHeight="1">
      <c r="B6" s="1923" t="s">
        <v>97</v>
      </c>
      <c r="C6" s="155" t="s">
        <v>98</v>
      </c>
      <c r="D6" s="325" t="s">
        <v>77</v>
      </c>
      <c r="E6" s="186" t="s">
        <v>392</v>
      </c>
      <c r="F6" s="325" t="s">
        <v>393</v>
      </c>
      <c r="G6" s="325" t="s">
        <v>394</v>
      </c>
      <c r="H6" s="325" t="s">
        <v>395</v>
      </c>
      <c r="I6" s="325" t="s">
        <v>396</v>
      </c>
      <c r="J6" s="325" t="s">
        <v>397</v>
      </c>
      <c r="K6" s="325" t="s">
        <v>398</v>
      </c>
      <c r="L6" s="325" t="s">
        <v>399</v>
      </c>
      <c r="M6" s="325" t="s">
        <v>400</v>
      </c>
      <c r="N6" s="325" t="s">
        <v>401</v>
      </c>
      <c r="O6" s="325" t="s">
        <v>402</v>
      </c>
      <c r="P6" s="529" t="s">
        <v>34</v>
      </c>
      <c r="Q6" s="495" t="s">
        <v>98</v>
      </c>
      <c r="R6" s="326" t="s">
        <v>77</v>
      </c>
      <c r="S6" s="274" t="s">
        <v>392</v>
      </c>
      <c r="T6" s="326" t="s">
        <v>393</v>
      </c>
      <c r="U6" s="326" t="s">
        <v>394</v>
      </c>
      <c r="V6" s="326" t="s">
        <v>395</v>
      </c>
      <c r="W6" s="326" t="s">
        <v>396</v>
      </c>
      <c r="X6" s="326" t="s">
        <v>397</v>
      </c>
      <c r="Y6" s="326" t="s">
        <v>398</v>
      </c>
      <c r="Z6" s="326" t="s">
        <v>399</v>
      </c>
      <c r="AA6" s="326" t="s">
        <v>400</v>
      </c>
      <c r="AB6" s="326" t="s">
        <v>403</v>
      </c>
      <c r="AC6" s="326" t="s">
        <v>402</v>
      </c>
      <c r="AD6" s="52" t="s">
        <v>114</v>
      </c>
      <c r="AE6" s="274" t="s">
        <v>115</v>
      </c>
      <c r="AF6" s="88" t="s">
        <v>116</v>
      </c>
      <c r="AG6" s="274" t="s">
        <v>52</v>
      </c>
      <c r="AH6" s="546" t="s">
        <v>53</v>
      </c>
      <c r="AK6" s="324"/>
      <c r="AL6" s="327"/>
      <c r="AM6" s="324"/>
    </row>
    <row r="7" spans="2:39" ht="105">
      <c r="B7" s="1924"/>
      <c r="C7" s="156" t="s">
        <v>117</v>
      </c>
      <c r="D7" s="328" t="s">
        <v>118</v>
      </c>
      <c r="E7" s="276" t="s">
        <v>404</v>
      </c>
      <c r="F7" s="329"/>
      <c r="G7" s="278" t="s">
        <v>405</v>
      </c>
      <c r="H7" s="276" t="s">
        <v>406</v>
      </c>
      <c r="I7" s="278" t="s">
        <v>407</v>
      </c>
      <c r="J7" s="276" t="s">
        <v>408</v>
      </c>
      <c r="K7" s="278" t="s">
        <v>409</v>
      </c>
      <c r="L7" s="276" t="s">
        <v>410</v>
      </c>
      <c r="M7" s="278" t="s">
        <v>411</v>
      </c>
      <c r="N7" s="278" t="s">
        <v>412</v>
      </c>
      <c r="O7" s="276" t="s">
        <v>413</v>
      </c>
      <c r="P7" s="530" t="s">
        <v>39</v>
      </c>
      <c r="Q7" s="464" t="s">
        <v>57</v>
      </c>
      <c r="R7" s="55" t="s">
        <v>57</v>
      </c>
      <c r="S7" s="55" t="s">
        <v>54</v>
      </c>
      <c r="T7" s="55" t="s">
        <v>54</v>
      </c>
      <c r="U7" s="55" t="s">
        <v>54</v>
      </c>
      <c r="V7" s="55" t="s">
        <v>54</v>
      </c>
      <c r="W7" s="55" t="s">
        <v>54</v>
      </c>
      <c r="X7" s="55" t="s">
        <v>54</v>
      </c>
      <c r="Y7" s="55" t="s">
        <v>54</v>
      </c>
      <c r="Z7" s="55" t="s">
        <v>54</v>
      </c>
      <c r="AA7" s="55" t="s">
        <v>54</v>
      </c>
      <c r="AB7" s="55" t="s">
        <v>54</v>
      </c>
      <c r="AC7" s="55" t="s">
        <v>54</v>
      </c>
      <c r="AD7" s="55" t="s">
        <v>136</v>
      </c>
      <c r="AE7" s="55" t="s">
        <v>54</v>
      </c>
      <c r="AF7" s="55" t="s">
        <v>55</v>
      </c>
      <c r="AG7" s="55" t="s">
        <v>56</v>
      </c>
      <c r="AH7" s="547" t="s">
        <v>57</v>
      </c>
      <c r="AK7" s="324"/>
      <c r="AL7" s="330"/>
      <c r="AM7" s="324"/>
    </row>
    <row r="8" spans="2:39" s="514" customFormat="1" ht="33" thickBot="1">
      <c r="B8" s="421" t="s">
        <v>84</v>
      </c>
      <c r="C8" s="369" t="s">
        <v>10</v>
      </c>
      <c r="D8" s="446" t="s">
        <v>88</v>
      </c>
      <c r="E8" s="446" t="s">
        <v>414</v>
      </c>
      <c r="F8" s="517">
        <v>5</v>
      </c>
      <c r="G8" s="552">
        <v>12.02</v>
      </c>
      <c r="H8" s="553">
        <v>60</v>
      </c>
      <c r="I8" s="552">
        <v>3564</v>
      </c>
      <c r="J8" s="553">
        <v>10</v>
      </c>
      <c r="K8" s="552">
        <v>200</v>
      </c>
      <c r="L8" s="553">
        <v>20</v>
      </c>
      <c r="M8" s="554">
        <v>354</v>
      </c>
      <c r="N8" s="555">
        <v>4118</v>
      </c>
      <c r="O8" s="446"/>
      <c r="P8" s="556"/>
      <c r="Q8" s="369" t="s">
        <v>10</v>
      </c>
      <c r="R8" s="446" t="s">
        <v>88</v>
      </c>
      <c r="S8" s="446" t="s">
        <v>414</v>
      </c>
      <c r="T8" s="517">
        <v>5</v>
      </c>
      <c r="U8" s="552">
        <v>12.02</v>
      </c>
      <c r="V8" s="553">
        <v>60</v>
      </c>
      <c r="W8" s="552">
        <v>3564</v>
      </c>
      <c r="X8" s="553">
        <v>10</v>
      </c>
      <c r="Y8" s="552">
        <v>200</v>
      </c>
      <c r="Z8" s="553">
        <v>20</v>
      </c>
      <c r="AA8" s="554">
        <v>354</v>
      </c>
      <c r="AB8" s="555">
        <v>4118</v>
      </c>
      <c r="AC8" s="516"/>
      <c r="AD8" s="369" t="s">
        <v>141</v>
      </c>
      <c r="AE8" s="520">
        <v>4118</v>
      </c>
      <c r="AF8" s="516"/>
      <c r="AG8" s="521" t="str" cm="1">
        <f t="array" ref="AG8">IF(OR(AE8="",N8=""),"",_xlfn.IFS(
ROUND(IFERROR(VALUE(TRIM(SUBSTITUTE(AE8,CHAR(160),""))),0),2)&gt;
ROUND(IFERROR(VALUE(TRIM(SUBSTITUTE(N8,CHAR(160),""))),0),2),
"KO : Le montant retenu est supérieur au montant présenté. Merci de revoir la ligne de contributions ou plafonner son montant.",
ROUND(IFERROR(VALUE(TRIM(SUBSTITUTE(N8,CHAR(160),""))),0),2)=0,
"",
ROUND(IFERROR(VALUE(TRIM(SUBSTITUTE(AE8,CHAR(160),""))),0),2)=
ROUND(IFERROR(VALUE(TRIM(SUBSTITUTE(N8,CHAR(160),""))),0),2),
"OK",
ROUND(IFERROR(VALUE(TRIM(SUBSTITUTE(AE8,CHAR(160),""))),0),2)=0,
"Attention : Montant présenté entièrement rejeté.",
ROUND(IFERROR(VALUE(TRIM(SUBSTITUTE(AE8,CHAR(160),""))),0),2)&lt;
ROUND(IFERROR(VALUE(TRIM(SUBSTITUTE(N8,CHAR(160),""))),0),2),
"Attention : Montant présenté partiellement rejeté.",
TRUE,""
))</f>
        <v>OK</v>
      </c>
      <c r="AH8" s="548">
        <v>0</v>
      </c>
      <c r="AK8" s="515"/>
      <c r="AL8" s="331"/>
      <c r="AM8" s="515"/>
    </row>
    <row r="9" spans="2:39" ht="57.95" customHeight="1">
      <c r="B9" s="557">
        <v>1</v>
      </c>
      <c r="C9" s="469"/>
      <c r="D9" s="470"/>
      <c r="E9" s="470"/>
      <c r="F9" s="558"/>
      <c r="G9" s="559"/>
      <c r="H9" s="558"/>
      <c r="I9" s="560" t="str">
        <f>IF(OR(G9="",F9="",H9=""),"",IF((IFERROR(VALUE(TRIM(SUBSTITUTE(G9,CHAR(160),""))),0))*(IFERROR(VALUE(TRIM(SUBSTITUTE(F9,CHAR(160),""))),0))*(IFERROR(VALUE(TRIM(SUBSTITUTE(H9,CHAR(160),""))),0))=0,"",(IFERROR(VALUE(TRIM(SUBSTITUTE(G9,CHAR(160),""))),0))*(IFERROR(VALUE(TRIM(SUBSTITUTE(H9,CHAR(160),""))),0))*(IFERROR(VALUE(TRIM(SUBSTITUTE(F9,CHAR(160),""))),0))))</f>
        <v/>
      </c>
      <c r="J9" s="561"/>
      <c r="K9" s="560" t="str">
        <f>IF(J9="","",(IFERROR(VALUE(TRIM(SUBSTITUTE(J9,CHAR(160),""))),0))*20)</f>
        <v/>
      </c>
      <c r="L9" s="561"/>
      <c r="M9" s="560" t="str">
        <f>IF(L9="","",(IFERROR(VALUE(TRIM(SUBSTITUTE(L9,CHAR(160),""))),0))*17.7)</f>
        <v/>
      </c>
      <c r="N9" s="560" t="str">
        <f>IF(OR(I9="",K9="",M9=""),"",(IFERROR(VALUE(TRIM(SUBSTITUTE(I9,CHAR(160),""))),0))+(IFERROR(VALUE(TRIM(SUBSTITUTE(K9,CHAR(160),""))),0))+(IFERROR(VALUE(TRIM(SUBSTITUTE(M9,CHAR(160),""))),0)))</f>
        <v/>
      </c>
      <c r="O9" s="562"/>
      <c r="P9" s="563"/>
      <c r="Q9" s="506" t="str">
        <f>IF(C9="","",C9)</f>
        <v/>
      </c>
      <c r="R9" s="57"/>
      <c r="S9" s="435" t="str">
        <f t="shared" ref="S9:AC9" si="0">IF(E9="","",E9)</f>
        <v/>
      </c>
      <c r="T9" s="435" t="str">
        <f t="shared" si="0"/>
        <v/>
      </c>
      <c r="U9" s="424" t="str">
        <f t="shared" ref="U9:U48" si="1">IF(G9="","",G9)</f>
        <v/>
      </c>
      <c r="V9" s="435" t="str">
        <f t="shared" si="0"/>
        <v/>
      </c>
      <c r="W9" s="507" t="str">
        <f>IF(I9="","",T9*U9*V9)</f>
        <v/>
      </c>
      <c r="X9" s="435" t="str">
        <f t="shared" si="0"/>
        <v/>
      </c>
      <c r="Y9" s="471" t="str">
        <f>IF(K9="","",20*X9)</f>
        <v/>
      </c>
      <c r="Z9" s="435" t="str">
        <f t="shared" si="0"/>
        <v/>
      </c>
      <c r="AA9" s="471" t="str">
        <f>IF(M9="","",17.7*Z9)</f>
        <v/>
      </c>
      <c r="AB9" s="471" t="str">
        <f>IF(OR(W9="",Y9="",AA9=""),"",(IFERROR(VALUE(TRIM(SUBSTITUTE(W9,CHAR(160),""))),0))+(IFERROR(VALUE(TRIM(SUBSTITUTE(Y9,CHAR(160),""))),0))+(IFERROR(VALUE(TRIM(SUBSTITUTE(AA9,CHAR(160),""))),0)))</f>
        <v/>
      </c>
      <c r="AC9" s="471" t="str">
        <f t="shared" si="0"/>
        <v/>
      </c>
      <c r="AD9" s="472"/>
      <c r="AE9" s="564" t="str">
        <f>IF(AD9="Oui",AB9,IF(AD9="Non",0,""))</f>
        <v/>
      </c>
      <c r="AF9" s="475"/>
      <c r="AG9" s="1182" t="str" cm="1">
        <f t="array" ref="AG9">IF(OR(AE9="",N9=""),"",_xlfn.IFS(
ROUND(IFERROR(VALUE(TRIM(SUBSTITUTE(AE9,CHAR(160),""))),0),2)&gt;
ROUND(IFERROR(VALUE(TRIM(SUBSTITUTE(N9,CHAR(160),""))),0),2),
"KO : Le montant retenu est supérieur au montant présenté. Merci de revoir la ligne de contributions ou plafonner son montant.",
ROUND(IFERROR(VALUE(TRIM(SUBSTITUTE(N9,CHAR(160),""))),0),2)=0,
"",
ROUND(IFERROR(VALUE(TRIM(SUBSTITUTE(AE9,CHAR(160),""))),0),2)=
ROUND(IFERROR(VALUE(TRIM(SUBSTITUTE(N9,CHAR(160),""))),0),2),
"OK",
ROUND(IFERROR(VALUE(TRIM(SUBSTITUTE(AE9,CHAR(160),""))),0),2)=0,
"Attention : Montant présenté entièrement rejeté.",
ROUND(IFERROR(VALUE(TRIM(SUBSTITUTE(AE9,CHAR(160),""))),0),2)&lt;
ROUND(IFERROR(VALUE(TRIM(SUBSTITUTE(N9,CHAR(160),""))),0),2),
"Attention : Montant présenté partiellement rejeté.",
TRUE,""
))</f>
        <v/>
      </c>
      <c r="AH9" s="565" t="str">
        <f>IF(OR(N9="",AE9=""),"",(IFERROR(VALUE(TRIM(SUBSTITUTE(N9,CHAR(160),""))),0))-(IFERROR(VALUE(TRIM(SUBSTITUTE(AE9,CHAR(160),""))),0)))</f>
        <v/>
      </c>
      <c r="AK9" s="324"/>
      <c r="AL9" s="324"/>
      <c r="AM9" s="324"/>
    </row>
    <row r="10" spans="2:39" ht="15.95">
      <c r="B10" s="531">
        <v>2</v>
      </c>
      <c r="C10" s="126"/>
      <c r="D10" s="19"/>
      <c r="E10" s="19"/>
      <c r="F10" s="36"/>
      <c r="G10" s="508"/>
      <c r="H10" s="510"/>
      <c r="I10" s="424" t="str">
        <f t="shared" ref="I10:I48" si="2">IF(OR(G10="",F10="",H10=""),"",IF((IFERROR(VALUE(TRIM(SUBSTITUTE(G10,CHAR(160),""))),0))*(IFERROR(VALUE(TRIM(SUBSTITUTE(F10,CHAR(160),""))),0))*(IFERROR(VALUE(TRIM(SUBSTITUTE(H10,CHAR(160),""))),0))=0,"",(IFERROR(VALUE(TRIM(SUBSTITUTE(G10,CHAR(160),""))),0))*(IFERROR(VALUE(TRIM(SUBSTITUTE(H10,CHAR(160),""))),0))*(IFERROR(VALUE(TRIM(SUBSTITUTE(F10,CHAR(160),""))),0))))</f>
        <v/>
      </c>
      <c r="J10" s="417"/>
      <c r="K10" s="424" t="str">
        <f>IF(J10="","",(IFERROR(VALUE(TRIM(SUBSTITUTE(J10,CHAR(160),""))),0))*20)</f>
        <v/>
      </c>
      <c r="L10" s="417"/>
      <c r="M10" s="424" t="str">
        <f t="shared" ref="M10:M48" si="3">IF(L10="","",(IFERROR(VALUE(TRIM(SUBSTITUTE(L10,CHAR(160),""))),0))*17.7)</f>
        <v/>
      </c>
      <c r="N10" s="424" t="str">
        <f t="shared" ref="N10:N48" si="4">IF(OR(I10="",K10="",M10=""),"",(IFERROR(VALUE(TRIM(SUBSTITUTE(I10,CHAR(160),""))),0))+(IFERROR(VALUE(TRIM(SUBSTITUTE(K10,CHAR(160),""))),0))+(IFERROR(VALUE(TRIM(SUBSTITUTE(M10,CHAR(160),""))),0)))</f>
        <v/>
      </c>
      <c r="O10" s="512"/>
      <c r="P10" s="532"/>
      <c r="Q10" s="1415" t="str">
        <f t="shared" ref="Q10:Q48" si="5">IF(C10="","",C10)</f>
        <v/>
      </c>
      <c r="R10" s="57"/>
      <c r="S10" s="436" t="str">
        <f t="shared" ref="S10:S48" si="6">IF(E10="","",E10)</f>
        <v/>
      </c>
      <c r="T10" s="418" t="str">
        <f t="shared" ref="T10:T48" si="7">IF(F10="","",F10)</f>
        <v/>
      </c>
      <c r="U10" s="424" t="str">
        <f t="shared" si="1"/>
        <v/>
      </c>
      <c r="V10" s="418" t="str">
        <f t="shared" ref="V10:V48" si="8">IF(H10="","",H10)</f>
        <v/>
      </c>
      <c r="W10" s="489" t="str">
        <f t="shared" ref="W10:W48" si="9">IF(I10="","",I10)</f>
        <v/>
      </c>
      <c r="X10" s="418" t="str">
        <f t="shared" ref="X10:X48" si="10">IF(J10="","",J10)</f>
        <v/>
      </c>
      <c r="Y10" s="424" t="str">
        <f t="shared" ref="Y10:Y48" si="11">IF(K10="","",K10)</f>
        <v/>
      </c>
      <c r="Z10" s="418" t="str">
        <f t="shared" ref="Z10:Z48" si="12">IF(L10="","",L10)</f>
        <v/>
      </c>
      <c r="AA10" s="424" t="str">
        <f t="shared" ref="AA10:AC48" si="13">IF(M10="","",M10)</f>
        <v/>
      </c>
      <c r="AB10" s="424" t="str">
        <f t="shared" ref="AB10:AB48" si="14">IF(OR(W10="",Y10="",AA10=""),"",(IFERROR(VALUE(TRIM(SUBSTITUTE(W10,CHAR(160),""))),0))+(IFERROR(VALUE(TRIM(SUBSTITUTE(Y10,CHAR(160),""))),0))+(IFERROR(VALUE(TRIM(SUBSTITUTE(AA10,CHAR(160),""))),0)))</f>
        <v/>
      </c>
      <c r="AC10" s="424" t="str">
        <f t="shared" si="13"/>
        <v/>
      </c>
      <c r="AD10" s="454"/>
      <c r="AE10" s="524" t="str">
        <f t="shared" ref="AE10:AE48" si="15">IF(AD10="Oui",AB10,IF(AD10="Non",0,""))</f>
        <v/>
      </c>
      <c r="AF10" s="476"/>
      <c r="AG10" s="1182" t="str" cm="1">
        <f t="array" ref="AG10">IF(OR(AE10="",N10=""),"",_xlfn.IFS(
ROUND(IFERROR(VALUE(TRIM(SUBSTITUTE(AE10,CHAR(160),""))),0),2)&gt;
ROUND(IFERROR(VALUE(TRIM(SUBSTITUTE(N10,CHAR(160),""))),0),2),
"KO : Le montant retenu est supérieur au montant présenté. Merci de revoir la ligne de contributions ou plafonner son montant.",
ROUND(IFERROR(VALUE(TRIM(SUBSTITUTE(N10,CHAR(160),""))),0),2)=0,
"",
ROUND(IFERROR(VALUE(TRIM(SUBSTITUTE(AE10,CHAR(160),""))),0),2)=
ROUND(IFERROR(VALUE(TRIM(SUBSTITUTE(N10,CHAR(160),""))),0),2),
"OK",
ROUND(IFERROR(VALUE(TRIM(SUBSTITUTE(AE10,CHAR(160),""))),0),2)=0,
"Attention : Montant présenté entièrement rejeté.",
ROUND(IFERROR(VALUE(TRIM(SUBSTITUTE(AE10,CHAR(160),""))),0),2)&lt;
ROUND(IFERROR(VALUE(TRIM(SUBSTITUTE(N10,CHAR(160),""))),0),2),
"Attention : Montant présenté partiellement rejeté.",
TRUE,""
))</f>
        <v/>
      </c>
      <c r="AH10" s="549" t="str">
        <f t="shared" ref="AH10:AH48" si="16">IF(OR(N10="",AE10=""),"",(IFERROR(VALUE(TRIM(SUBSTITUTE(N10,CHAR(160),""))),0))-(IFERROR(VALUE(TRIM(SUBSTITUTE(AE10,CHAR(160),""))),0)))</f>
        <v/>
      </c>
      <c r="AK10" s="324"/>
      <c r="AL10" s="324"/>
      <c r="AM10" s="324"/>
    </row>
    <row r="11" spans="2:39" ht="15.95">
      <c r="B11" s="531">
        <v>3</v>
      </c>
      <c r="C11" s="126"/>
      <c r="D11" s="19"/>
      <c r="E11" s="19"/>
      <c r="F11" s="36"/>
      <c r="G11" s="508"/>
      <c r="H11" s="510"/>
      <c r="I11" s="424" t="str">
        <f t="shared" si="2"/>
        <v/>
      </c>
      <c r="J11" s="417"/>
      <c r="K11" s="424" t="str">
        <f t="shared" ref="K11:K48" si="17">IF(J11="","",(IFERROR(VALUE(TRIM(SUBSTITUTE(J11,CHAR(160),""))),0))*20)</f>
        <v/>
      </c>
      <c r="L11" s="417"/>
      <c r="M11" s="424" t="str">
        <f t="shared" si="3"/>
        <v/>
      </c>
      <c r="N11" s="424" t="str">
        <f t="shared" si="4"/>
        <v/>
      </c>
      <c r="O11" s="512"/>
      <c r="P11" s="532"/>
      <c r="Q11" s="1415" t="str">
        <f t="shared" si="5"/>
        <v/>
      </c>
      <c r="R11" s="57"/>
      <c r="S11" s="436" t="str">
        <f t="shared" si="6"/>
        <v/>
      </c>
      <c r="T11" s="418" t="str">
        <f t="shared" si="7"/>
        <v/>
      </c>
      <c r="U11" s="424" t="str">
        <f t="shared" si="1"/>
        <v/>
      </c>
      <c r="V11" s="418" t="str">
        <f t="shared" si="8"/>
        <v/>
      </c>
      <c r="W11" s="489" t="str">
        <f t="shared" si="9"/>
        <v/>
      </c>
      <c r="X11" s="418" t="str">
        <f t="shared" si="10"/>
        <v/>
      </c>
      <c r="Y11" s="424" t="str">
        <f t="shared" si="11"/>
        <v/>
      </c>
      <c r="Z11" s="418" t="str">
        <f t="shared" si="12"/>
        <v/>
      </c>
      <c r="AA11" s="424" t="str">
        <f t="shared" si="13"/>
        <v/>
      </c>
      <c r="AB11" s="424" t="str">
        <f t="shared" si="14"/>
        <v/>
      </c>
      <c r="AC11" s="424" t="str">
        <f t="shared" si="13"/>
        <v/>
      </c>
      <c r="AD11" s="454"/>
      <c r="AE11" s="524" t="str">
        <f t="shared" si="15"/>
        <v/>
      </c>
      <c r="AF11" s="476"/>
      <c r="AG11" s="1182" t="str" cm="1">
        <f t="array" ref="AG11">IF(OR(AE11="",N11=""),"",_xlfn.IFS(
ROUND(IFERROR(VALUE(TRIM(SUBSTITUTE(AE11,CHAR(160),""))),0),2)&gt;
ROUND(IFERROR(VALUE(TRIM(SUBSTITUTE(N11,CHAR(160),""))),0),2),
"KO : Le montant retenu est supérieur au montant présenté. Merci de revoir la ligne de contributions ou plafonner son montant.",
ROUND(IFERROR(VALUE(TRIM(SUBSTITUTE(N11,CHAR(160),""))),0),2)=0,
"",
ROUND(IFERROR(VALUE(TRIM(SUBSTITUTE(AE11,CHAR(160),""))),0),2)=
ROUND(IFERROR(VALUE(TRIM(SUBSTITUTE(N11,CHAR(160),""))),0),2),
"OK",
ROUND(IFERROR(VALUE(TRIM(SUBSTITUTE(AE11,CHAR(160),""))),0),2)=0,
"Attention : Montant présenté entièrement rejeté.",
ROUND(IFERROR(VALUE(TRIM(SUBSTITUTE(AE11,CHAR(160),""))),0),2)&lt;
ROUND(IFERROR(VALUE(TRIM(SUBSTITUTE(N11,CHAR(160),""))),0),2),
"Attention : Montant présenté partiellement rejeté.",
TRUE,""
))</f>
        <v/>
      </c>
      <c r="AH11" s="549" t="str">
        <f t="shared" si="16"/>
        <v/>
      </c>
      <c r="AK11" s="324"/>
      <c r="AL11" s="324"/>
      <c r="AM11" s="324"/>
    </row>
    <row r="12" spans="2:39" ht="15.95">
      <c r="B12" s="531">
        <v>4</v>
      </c>
      <c r="C12" s="126"/>
      <c r="D12" s="19"/>
      <c r="E12" s="19"/>
      <c r="F12" s="36"/>
      <c r="G12" s="508"/>
      <c r="H12" s="510"/>
      <c r="I12" s="424" t="str">
        <f t="shared" si="2"/>
        <v/>
      </c>
      <c r="J12" s="417"/>
      <c r="K12" s="424" t="str">
        <f t="shared" si="17"/>
        <v/>
      </c>
      <c r="L12" s="417"/>
      <c r="M12" s="424" t="str">
        <f t="shared" si="3"/>
        <v/>
      </c>
      <c r="N12" s="424" t="str">
        <f t="shared" si="4"/>
        <v/>
      </c>
      <c r="O12" s="512"/>
      <c r="P12" s="532"/>
      <c r="Q12" s="1415" t="str">
        <f t="shared" si="5"/>
        <v/>
      </c>
      <c r="R12" s="57"/>
      <c r="S12" s="436" t="str">
        <f t="shared" si="6"/>
        <v/>
      </c>
      <c r="T12" s="418" t="str">
        <f t="shared" si="7"/>
        <v/>
      </c>
      <c r="U12" s="424" t="str">
        <f t="shared" si="1"/>
        <v/>
      </c>
      <c r="V12" s="418" t="str">
        <f t="shared" si="8"/>
        <v/>
      </c>
      <c r="W12" s="489" t="str">
        <f t="shared" si="9"/>
        <v/>
      </c>
      <c r="X12" s="418" t="str">
        <f t="shared" si="10"/>
        <v/>
      </c>
      <c r="Y12" s="424" t="str">
        <f t="shared" si="11"/>
        <v/>
      </c>
      <c r="Z12" s="418" t="str">
        <f t="shared" si="12"/>
        <v/>
      </c>
      <c r="AA12" s="424" t="str">
        <f t="shared" si="13"/>
        <v/>
      </c>
      <c r="AB12" s="424" t="str">
        <f t="shared" si="14"/>
        <v/>
      </c>
      <c r="AC12" s="424" t="str">
        <f t="shared" si="13"/>
        <v/>
      </c>
      <c r="AD12" s="454"/>
      <c r="AE12" s="524" t="str">
        <f t="shared" si="15"/>
        <v/>
      </c>
      <c r="AF12" s="476"/>
      <c r="AG12" s="1182" t="str" cm="1">
        <f t="array" ref="AG12">IF(OR(AE12="",N12=""),"",_xlfn.IFS(
ROUND(IFERROR(VALUE(TRIM(SUBSTITUTE(AE12,CHAR(160),""))),0),2)&gt;
ROUND(IFERROR(VALUE(TRIM(SUBSTITUTE(N12,CHAR(160),""))),0),2),
"KO : Le montant retenu est supérieur au montant présenté. Merci de revoir la ligne de contributions ou plafonner son montant.",
ROUND(IFERROR(VALUE(TRIM(SUBSTITUTE(N12,CHAR(160),""))),0),2)=0,
"",
ROUND(IFERROR(VALUE(TRIM(SUBSTITUTE(AE12,CHAR(160),""))),0),2)=
ROUND(IFERROR(VALUE(TRIM(SUBSTITUTE(N12,CHAR(160),""))),0),2),
"OK",
ROUND(IFERROR(VALUE(TRIM(SUBSTITUTE(AE12,CHAR(160),""))),0),2)=0,
"Attention : Montant présenté entièrement rejeté.",
ROUND(IFERROR(VALUE(TRIM(SUBSTITUTE(AE12,CHAR(160),""))),0),2)&lt;
ROUND(IFERROR(VALUE(TRIM(SUBSTITUTE(N12,CHAR(160),""))),0),2),
"Attention : Montant présenté partiellement rejeté.",
TRUE,""
))</f>
        <v/>
      </c>
      <c r="AH12" s="549" t="str">
        <f t="shared" si="16"/>
        <v/>
      </c>
      <c r="AK12" s="324"/>
      <c r="AL12" s="324"/>
      <c r="AM12" s="324"/>
    </row>
    <row r="13" spans="2:39" ht="15.95">
      <c r="B13" s="531">
        <v>5</v>
      </c>
      <c r="C13" s="126"/>
      <c r="D13" s="19"/>
      <c r="E13" s="19"/>
      <c r="F13" s="36"/>
      <c r="G13" s="508"/>
      <c r="H13" s="510"/>
      <c r="I13" s="424" t="str">
        <f t="shared" si="2"/>
        <v/>
      </c>
      <c r="J13" s="417"/>
      <c r="K13" s="424" t="str">
        <f t="shared" si="17"/>
        <v/>
      </c>
      <c r="L13" s="417"/>
      <c r="M13" s="424" t="str">
        <f t="shared" si="3"/>
        <v/>
      </c>
      <c r="N13" s="424" t="str">
        <f t="shared" si="4"/>
        <v/>
      </c>
      <c r="O13" s="512"/>
      <c r="P13" s="532"/>
      <c r="Q13" s="1415" t="str">
        <f t="shared" si="5"/>
        <v/>
      </c>
      <c r="R13" s="57"/>
      <c r="S13" s="436" t="str">
        <f t="shared" si="6"/>
        <v/>
      </c>
      <c r="T13" s="418" t="str">
        <f t="shared" si="7"/>
        <v/>
      </c>
      <c r="U13" s="424" t="str">
        <f t="shared" si="1"/>
        <v/>
      </c>
      <c r="V13" s="418" t="str">
        <f t="shared" si="8"/>
        <v/>
      </c>
      <c r="W13" s="489" t="str">
        <f t="shared" si="9"/>
        <v/>
      </c>
      <c r="X13" s="418" t="str">
        <f t="shared" si="10"/>
        <v/>
      </c>
      <c r="Y13" s="424" t="str">
        <f t="shared" si="11"/>
        <v/>
      </c>
      <c r="Z13" s="418" t="str">
        <f t="shared" si="12"/>
        <v/>
      </c>
      <c r="AA13" s="424" t="str">
        <f t="shared" si="13"/>
        <v/>
      </c>
      <c r="AB13" s="424" t="str">
        <f t="shared" si="14"/>
        <v/>
      </c>
      <c r="AC13" s="424" t="str">
        <f t="shared" si="13"/>
        <v/>
      </c>
      <c r="AD13" s="454"/>
      <c r="AE13" s="524" t="str">
        <f t="shared" si="15"/>
        <v/>
      </c>
      <c r="AF13" s="476"/>
      <c r="AG13" s="1182" t="str" cm="1">
        <f t="array" ref="AG13">IF(OR(AE13="",N13=""),"",_xlfn.IFS(
ROUND(IFERROR(VALUE(TRIM(SUBSTITUTE(AE13,CHAR(160),""))),0),2)&gt;
ROUND(IFERROR(VALUE(TRIM(SUBSTITUTE(N13,CHAR(160),""))),0),2),
"KO : Le montant retenu est supérieur au montant présenté. Merci de revoir la ligne de contributions ou plafonner son montant.",
ROUND(IFERROR(VALUE(TRIM(SUBSTITUTE(N13,CHAR(160),""))),0),2)=0,
"",
ROUND(IFERROR(VALUE(TRIM(SUBSTITUTE(AE13,CHAR(160),""))),0),2)=
ROUND(IFERROR(VALUE(TRIM(SUBSTITUTE(N13,CHAR(160),""))),0),2),
"OK",
ROUND(IFERROR(VALUE(TRIM(SUBSTITUTE(AE13,CHAR(160),""))),0),2)=0,
"Attention : Montant présenté entièrement rejeté.",
ROUND(IFERROR(VALUE(TRIM(SUBSTITUTE(AE13,CHAR(160),""))),0),2)&lt;
ROUND(IFERROR(VALUE(TRIM(SUBSTITUTE(N13,CHAR(160),""))),0),2),
"Attention : Montant présenté partiellement rejeté.",
TRUE,""
))</f>
        <v/>
      </c>
      <c r="AH13" s="549" t="str">
        <f t="shared" si="16"/>
        <v/>
      </c>
      <c r="AK13" s="324"/>
      <c r="AL13" s="324"/>
      <c r="AM13" s="324"/>
    </row>
    <row r="14" spans="2:39" ht="15.95">
      <c r="B14" s="531">
        <v>6</v>
      </c>
      <c r="C14" s="126"/>
      <c r="D14" s="19"/>
      <c r="E14" s="19"/>
      <c r="F14" s="36"/>
      <c r="G14" s="508"/>
      <c r="H14" s="510"/>
      <c r="I14" s="424" t="str">
        <f t="shared" si="2"/>
        <v/>
      </c>
      <c r="J14" s="417"/>
      <c r="K14" s="424" t="str">
        <f t="shared" si="17"/>
        <v/>
      </c>
      <c r="L14" s="417"/>
      <c r="M14" s="424" t="str">
        <f t="shared" si="3"/>
        <v/>
      </c>
      <c r="N14" s="424" t="str">
        <f t="shared" si="4"/>
        <v/>
      </c>
      <c r="O14" s="512"/>
      <c r="P14" s="532"/>
      <c r="Q14" s="1415" t="str">
        <f t="shared" si="5"/>
        <v/>
      </c>
      <c r="R14" s="57"/>
      <c r="S14" s="436" t="str">
        <f t="shared" si="6"/>
        <v/>
      </c>
      <c r="T14" s="418" t="str">
        <f t="shared" si="7"/>
        <v/>
      </c>
      <c r="U14" s="424" t="str">
        <f t="shared" si="1"/>
        <v/>
      </c>
      <c r="V14" s="418" t="str">
        <f t="shared" si="8"/>
        <v/>
      </c>
      <c r="W14" s="489" t="str">
        <f t="shared" si="9"/>
        <v/>
      </c>
      <c r="X14" s="418" t="str">
        <f t="shared" si="10"/>
        <v/>
      </c>
      <c r="Y14" s="424" t="str">
        <f t="shared" si="11"/>
        <v/>
      </c>
      <c r="Z14" s="418" t="str">
        <f t="shared" si="12"/>
        <v/>
      </c>
      <c r="AA14" s="424" t="str">
        <f t="shared" si="13"/>
        <v/>
      </c>
      <c r="AB14" s="424" t="str">
        <f t="shared" si="14"/>
        <v/>
      </c>
      <c r="AC14" s="424" t="str">
        <f t="shared" si="13"/>
        <v/>
      </c>
      <c r="AD14" s="454"/>
      <c r="AE14" s="524" t="str">
        <f t="shared" si="15"/>
        <v/>
      </c>
      <c r="AF14" s="476"/>
      <c r="AG14" s="1182" t="str" cm="1">
        <f t="array" ref="AG14">IF(OR(AE14="",N14=""),"",_xlfn.IFS(
ROUND(IFERROR(VALUE(TRIM(SUBSTITUTE(AE14,CHAR(160),""))),0),2)&gt;
ROUND(IFERROR(VALUE(TRIM(SUBSTITUTE(N14,CHAR(160),""))),0),2),
"KO : Le montant retenu est supérieur au montant présenté. Merci de revoir la ligne de contributions ou plafonner son montant.",
ROUND(IFERROR(VALUE(TRIM(SUBSTITUTE(N14,CHAR(160),""))),0),2)=0,
"",
ROUND(IFERROR(VALUE(TRIM(SUBSTITUTE(AE14,CHAR(160),""))),0),2)=
ROUND(IFERROR(VALUE(TRIM(SUBSTITUTE(N14,CHAR(160),""))),0),2),
"OK",
ROUND(IFERROR(VALUE(TRIM(SUBSTITUTE(AE14,CHAR(160),""))),0),2)=0,
"Attention : Montant présenté entièrement rejeté.",
ROUND(IFERROR(VALUE(TRIM(SUBSTITUTE(AE14,CHAR(160),""))),0),2)&lt;
ROUND(IFERROR(VALUE(TRIM(SUBSTITUTE(N14,CHAR(160),""))),0),2),
"Attention : Montant présenté partiellement rejeté.",
TRUE,""
))</f>
        <v/>
      </c>
      <c r="AH14" s="549" t="str">
        <f t="shared" si="16"/>
        <v/>
      </c>
      <c r="AK14" s="324"/>
      <c r="AL14" s="324"/>
      <c r="AM14" s="324"/>
    </row>
    <row r="15" spans="2:39" ht="15.95">
      <c r="B15" s="531">
        <v>7</v>
      </c>
      <c r="C15" s="126"/>
      <c r="D15" s="19"/>
      <c r="E15" s="19"/>
      <c r="F15" s="36"/>
      <c r="G15" s="508"/>
      <c r="H15" s="510"/>
      <c r="I15" s="424" t="str">
        <f t="shared" si="2"/>
        <v/>
      </c>
      <c r="J15" s="417"/>
      <c r="K15" s="424" t="str">
        <f t="shared" si="17"/>
        <v/>
      </c>
      <c r="L15" s="417"/>
      <c r="M15" s="424" t="str">
        <f t="shared" si="3"/>
        <v/>
      </c>
      <c r="N15" s="424" t="str">
        <f t="shared" si="4"/>
        <v/>
      </c>
      <c r="O15" s="512"/>
      <c r="P15" s="532"/>
      <c r="Q15" s="1415" t="str">
        <f t="shared" si="5"/>
        <v/>
      </c>
      <c r="R15" s="57"/>
      <c r="S15" s="436" t="str">
        <f t="shared" si="6"/>
        <v/>
      </c>
      <c r="T15" s="418" t="str">
        <f t="shared" si="7"/>
        <v/>
      </c>
      <c r="U15" s="424" t="str">
        <f t="shared" si="1"/>
        <v/>
      </c>
      <c r="V15" s="418" t="str">
        <f t="shared" si="8"/>
        <v/>
      </c>
      <c r="W15" s="489" t="str">
        <f t="shared" si="9"/>
        <v/>
      </c>
      <c r="X15" s="418" t="str">
        <f t="shared" si="10"/>
        <v/>
      </c>
      <c r="Y15" s="424" t="str">
        <f t="shared" si="11"/>
        <v/>
      </c>
      <c r="Z15" s="418" t="str">
        <f t="shared" si="12"/>
        <v/>
      </c>
      <c r="AA15" s="424" t="str">
        <f t="shared" si="13"/>
        <v/>
      </c>
      <c r="AB15" s="424" t="str">
        <f t="shared" si="14"/>
        <v/>
      </c>
      <c r="AC15" s="424" t="str">
        <f t="shared" si="13"/>
        <v/>
      </c>
      <c r="AD15" s="454"/>
      <c r="AE15" s="524" t="str">
        <f t="shared" si="15"/>
        <v/>
      </c>
      <c r="AF15" s="476"/>
      <c r="AG15" s="1182" t="str" cm="1">
        <f t="array" ref="AG15">IF(OR(AE15="",N15=""),"",_xlfn.IFS(
ROUND(IFERROR(VALUE(TRIM(SUBSTITUTE(AE15,CHAR(160),""))),0),2)&gt;
ROUND(IFERROR(VALUE(TRIM(SUBSTITUTE(N15,CHAR(160),""))),0),2),
"KO : Le montant retenu est supérieur au montant présenté. Merci de revoir la ligne de contributions ou plafonner son montant.",
ROUND(IFERROR(VALUE(TRIM(SUBSTITUTE(N15,CHAR(160),""))),0),2)=0,
"",
ROUND(IFERROR(VALUE(TRIM(SUBSTITUTE(AE15,CHAR(160),""))),0),2)=
ROUND(IFERROR(VALUE(TRIM(SUBSTITUTE(N15,CHAR(160),""))),0),2),
"OK",
ROUND(IFERROR(VALUE(TRIM(SUBSTITUTE(AE15,CHAR(160),""))),0),2)=0,
"Attention : Montant présenté entièrement rejeté.",
ROUND(IFERROR(VALUE(TRIM(SUBSTITUTE(AE15,CHAR(160),""))),0),2)&lt;
ROUND(IFERROR(VALUE(TRIM(SUBSTITUTE(N15,CHAR(160),""))),0),2),
"Attention : Montant présenté partiellement rejeté.",
TRUE,""
))</f>
        <v/>
      </c>
      <c r="AH15" s="549" t="str">
        <f t="shared" si="16"/>
        <v/>
      </c>
      <c r="AK15" s="324"/>
      <c r="AL15" s="324"/>
      <c r="AM15" s="324"/>
    </row>
    <row r="16" spans="2:39" ht="15.95">
      <c r="B16" s="531">
        <v>8</v>
      </c>
      <c r="C16" s="126"/>
      <c r="D16" s="19"/>
      <c r="E16" s="19"/>
      <c r="F16" s="36"/>
      <c r="G16" s="508"/>
      <c r="H16" s="510"/>
      <c r="I16" s="424" t="str">
        <f t="shared" si="2"/>
        <v/>
      </c>
      <c r="J16" s="417"/>
      <c r="K16" s="424" t="str">
        <f t="shared" si="17"/>
        <v/>
      </c>
      <c r="L16" s="417"/>
      <c r="M16" s="424" t="str">
        <f t="shared" si="3"/>
        <v/>
      </c>
      <c r="N16" s="424" t="str">
        <f t="shared" si="4"/>
        <v/>
      </c>
      <c r="O16" s="512"/>
      <c r="P16" s="532"/>
      <c r="Q16" s="1415" t="str">
        <f t="shared" si="5"/>
        <v/>
      </c>
      <c r="R16" s="57"/>
      <c r="S16" s="436" t="str">
        <f t="shared" si="6"/>
        <v/>
      </c>
      <c r="T16" s="418" t="str">
        <f t="shared" si="7"/>
        <v/>
      </c>
      <c r="U16" s="424" t="str">
        <f t="shared" si="1"/>
        <v/>
      </c>
      <c r="V16" s="418" t="str">
        <f t="shared" si="8"/>
        <v/>
      </c>
      <c r="W16" s="489" t="str">
        <f t="shared" si="9"/>
        <v/>
      </c>
      <c r="X16" s="418" t="str">
        <f t="shared" si="10"/>
        <v/>
      </c>
      <c r="Y16" s="424" t="str">
        <f t="shared" si="11"/>
        <v/>
      </c>
      <c r="Z16" s="418" t="str">
        <f t="shared" si="12"/>
        <v/>
      </c>
      <c r="AA16" s="424" t="str">
        <f t="shared" si="13"/>
        <v/>
      </c>
      <c r="AB16" s="424" t="str">
        <f t="shared" si="14"/>
        <v/>
      </c>
      <c r="AC16" s="424" t="str">
        <f t="shared" si="13"/>
        <v/>
      </c>
      <c r="AD16" s="454"/>
      <c r="AE16" s="524" t="str">
        <f t="shared" si="15"/>
        <v/>
      </c>
      <c r="AF16" s="476"/>
      <c r="AG16" s="1182" t="str" cm="1">
        <f t="array" ref="AG16">IF(OR(AE16="",N16=""),"",_xlfn.IFS(
ROUND(IFERROR(VALUE(TRIM(SUBSTITUTE(AE16,CHAR(160),""))),0),2)&gt;
ROUND(IFERROR(VALUE(TRIM(SUBSTITUTE(N16,CHAR(160),""))),0),2),
"KO : Le montant retenu est supérieur au montant présenté. Merci de revoir la ligne de contributions ou plafonner son montant.",
ROUND(IFERROR(VALUE(TRIM(SUBSTITUTE(N16,CHAR(160),""))),0),2)=0,
"",
ROUND(IFERROR(VALUE(TRIM(SUBSTITUTE(AE16,CHAR(160),""))),0),2)=
ROUND(IFERROR(VALUE(TRIM(SUBSTITUTE(N16,CHAR(160),""))),0),2),
"OK",
ROUND(IFERROR(VALUE(TRIM(SUBSTITUTE(AE16,CHAR(160),""))),0),2)=0,
"Attention : Montant présenté entièrement rejeté.",
ROUND(IFERROR(VALUE(TRIM(SUBSTITUTE(AE16,CHAR(160),""))),0),2)&lt;
ROUND(IFERROR(VALUE(TRIM(SUBSTITUTE(N16,CHAR(160),""))),0),2),
"Attention : Montant présenté partiellement rejeté.",
TRUE,""
))</f>
        <v/>
      </c>
      <c r="AH16" s="549" t="str">
        <f t="shared" si="16"/>
        <v/>
      </c>
      <c r="AK16" s="324"/>
      <c r="AL16" s="324"/>
      <c r="AM16" s="324"/>
    </row>
    <row r="17" spans="2:39" ht="15.95">
      <c r="B17" s="531">
        <v>9</v>
      </c>
      <c r="C17" s="126"/>
      <c r="D17" s="19"/>
      <c r="E17" s="19"/>
      <c r="F17" s="36"/>
      <c r="G17" s="508"/>
      <c r="H17" s="510"/>
      <c r="I17" s="424" t="str">
        <f t="shared" si="2"/>
        <v/>
      </c>
      <c r="J17" s="417"/>
      <c r="K17" s="424" t="str">
        <f t="shared" si="17"/>
        <v/>
      </c>
      <c r="L17" s="417"/>
      <c r="M17" s="424" t="str">
        <f t="shared" si="3"/>
        <v/>
      </c>
      <c r="N17" s="424" t="str">
        <f t="shared" si="4"/>
        <v/>
      </c>
      <c r="O17" s="512"/>
      <c r="P17" s="532"/>
      <c r="Q17" s="1415" t="str">
        <f t="shared" si="5"/>
        <v/>
      </c>
      <c r="R17" s="57"/>
      <c r="S17" s="436" t="str">
        <f t="shared" si="6"/>
        <v/>
      </c>
      <c r="T17" s="418" t="str">
        <f t="shared" si="7"/>
        <v/>
      </c>
      <c r="U17" s="424" t="str">
        <f t="shared" si="1"/>
        <v/>
      </c>
      <c r="V17" s="418" t="str">
        <f t="shared" si="8"/>
        <v/>
      </c>
      <c r="W17" s="489" t="str">
        <f t="shared" si="9"/>
        <v/>
      </c>
      <c r="X17" s="418" t="str">
        <f t="shared" si="10"/>
        <v/>
      </c>
      <c r="Y17" s="424" t="str">
        <f t="shared" si="11"/>
        <v/>
      </c>
      <c r="Z17" s="418" t="str">
        <f t="shared" si="12"/>
        <v/>
      </c>
      <c r="AA17" s="424" t="str">
        <f t="shared" si="13"/>
        <v/>
      </c>
      <c r="AB17" s="424" t="str">
        <f t="shared" si="14"/>
        <v/>
      </c>
      <c r="AC17" s="424" t="str">
        <f t="shared" si="13"/>
        <v/>
      </c>
      <c r="AD17" s="454"/>
      <c r="AE17" s="524" t="str">
        <f t="shared" si="15"/>
        <v/>
      </c>
      <c r="AF17" s="476"/>
      <c r="AG17" s="1182" t="str" cm="1">
        <f t="array" ref="AG17">IF(OR(AE17="",N17=""),"",_xlfn.IFS(
ROUND(IFERROR(VALUE(TRIM(SUBSTITUTE(AE17,CHAR(160),""))),0),2)&gt;
ROUND(IFERROR(VALUE(TRIM(SUBSTITUTE(N17,CHAR(160),""))),0),2),
"KO : Le montant retenu est supérieur au montant présenté. Merci de revoir la ligne de contributions ou plafonner son montant.",
ROUND(IFERROR(VALUE(TRIM(SUBSTITUTE(N17,CHAR(160),""))),0),2)=0,
"",
ROUND(IFERROR(VALUE(TRIM(SUBSTITUTE(AE17,CHAR(160),""))),0),2)=
ROUND(IFERROR(VALUE(TRIM(SUBSTITUTE(N17,CHAR(160),""))),0),2),
"OK",
ROUND(IFERROR(VALUE(TRIM(SUBSTITUTE(AE17,CHAR(160),""))),0),2)=0,
"Attention : Montant présenté entièrement rejeté.",
ROUND(IFERROR(VALUE(TRIM(SUBSTITUTE(AE17,CHAR(160),""))),0),2)&lt;
ROUND(IFERROR(VALUE(TRIM(SUBSTITUTE(N17,CHAR(160),""))),0),2),
"Attention : Montant présenté partiellement rejeté.",
TRUE,""
))</f>
        <v/>
      </c>
      <c r="AH17" s="549" t="str">
        <f t="shared" si="16"/>
        <v/>
      </c>
      <c r="AK17" s="324"/>
      <c r="AL17" s="324"/>
      <c r="AM17" s="324"/>
    </row>
    <row r="18" spans="2:39" ht="15.95">
      <c r="B18" s="531">
        <v>10</v>
      </c>
      <c r="C18" s="126"/>
      <c r="D18" s="19"/>
      <c r="E18" s="19"/>
      <c r="F18" s="36"/>
      <c r="G18" s="508"/>
      <c r="H18" s="510"/>
      <c r="I18" s="424" t="str">
        <f t="shared" si="2"/>
        <v/>
      </c>
      <c r="J18" s="417"/>
      <c r="K18" s="424" t="str">
        <f t="shared" si="17"/>
        <v/>
      </c>
      <c r="L18" s="417"/>
      <c r="M18" s="424" t="str">
        <f t="shared" si="3"/>
        <v/>
      </c>
      <c r="N18" s="424" t="str">
        <f t="shared" si="4"/>
        <v/>
      </c>
      <c r="O18" s="512"/>
      <c r="P18" s="532"/>
      <c r="Q18" s="1415" t="str">
        <f t="shared" si="5"/>
        <v/>
      </c>
      <c r="R18" s="57"/>
      <c r="S18" s="436" t="str">
        <f t="shared" si="6"/>
        <v/>
      </c>
      <c r="T18" s="418" t="str">
        <f t="shared" si="7"/>
        <v/>
      </c>
      <c r="U18" s="424" t="str">
        <f t="shared" si="1"/>
        <v/>
      </c>
      <c r="V18" s="418" t="str">
        <f t="shared" si="8"/>
        <v/>
      </c>
      <c r="W18" s="489" t="str">
        <f t="shared" si="9"/>
        <v/>
      </c>
      <c r="X18" s="418" t="str">
        <f t="shared" si="10"/>
        <v/>
      </c>
      <c r="Y18" s="424" t="str">
        <f t="shared" si="11"/>
        <v/>
      </c>
      <c r="Z18" s="418" t="str">
        <f t="shared" si="12"/>
        <v/>
      </c>
      <c r="AA18" s="424" t="str">
        <f t="shared" si="13"/>
        <v/>
      </c>
      <c r="AB18" s="424" t="str">
        <f t="shared" si="14"/>
        <v/>
      </c>
      <c r="AC18" s="424" t="str">
        <f t="shared" si="13"/>
        <v/>
      </c>
      <c r="AD18" s="454"/>
      <c r="AE18" s="524" t="str">
        <f t="shared" si="15"/>
        <v/>
      </c>
      <c r="AF18" s="476"/>
      <c r="AG18" s="1182" t="str" cm="1">
        <f t="array" ref="AG18">IF(OR(AE18="",N18=""),"",_xlfn.IFS(
ROUND(IFERROR(VALUE(TRIM(SUBSTITUTE(AE18,CHAR(160),""))),0),2)&gt;
ROUND(IFERROR(VALUE(TRIM(SUBSTITUTE(N18,CHAR(160),""))),0),2),
"KO : Le montant retenu est supérieur au montant présenté. Merci de revoir la ligne de contributions ou plafonner son montant.",
ROUND(IFERROR(VALUE(TRIM(SUBSTITUTE(N18,CHAR(160),""))),0),2)=0,
"",
ROUND(IFERROR(VALUE(TRIM(SUBSTITUTE(AE18,CHAR(160),""))),0),2)=
ROUND(IFERROR(VALUE(TRIM(SUBSTITUTE(N18,CHAR(160),""))),0),2),
"OK",
ROUND(IFERROR(VALUE(TRIM(SUBSTITUTE(AE18,CHAR(160),""))),0),2)=0,
"Attention : Montant présenté entièrement rejeté.",
ROUND(IFERROR(VALUE(TRIM(SUBSTITUTE(AE18,CHAR(160),""))),0),2)&lt;
ROUND(IFERROR(VALUE(TRIM(SUBSTITUTE(N18,CHAR(160),""))),0),2),
"Attention : Montant présenté partiellement rejeté.",
TRUE,""
))</f>
        <v/>
      </c>
      <c r="AH18" s="549" t="str">
        <f t="shared" si="16"/>
        <v/>
      </c>
      <c r="AK18" s="324"/>
      <c r="AL18" s="324"/>
      <c r="AM18" s="324"/>
    </row>
    <row r="19" spans="2:39" ht="15.95">
      <c r="B19" s="531">
        <v>11</v>
      </c>
      <c r="C19" s="126"/>
      <c r="D19" s="19"/>
      <c r="E19" s="19"/>
      <c r="F19" s="36"/>
      <c r="G19" s="508"/>
      <c r="H19" s="510"/>
      <c r="I19" s="424" t="str">
        <f t="shared" si="2"/>
        <v/>
      </c>
      <c r="J19" s="417"/>
      <c r="K19" s="424" t="str">
        <f t="shared" si="17"/>
        <v/>
      </c>
      <c r="L19" s="417"/>
      <c r="M19" s="424" t="str">
        <f t="shared" si="3"/>
        <v/>
      </c>
      <c r="N19" s="424" t="str">
        <f t="shared" si="4"/>
        <v/>
      </c>
      <c r="O19" s="512"/>
      <c r="P19" s="532"/>
      <c r="Q19" s="1415" t="str">
        <f t="shared" si="5"/>
        <v/>
      </c>
      <c r="R19" s="57"/>
      <c r="S19" s="436" t="str">
        <f t="shared" si="6"/>
        <v/>
      </c>
      <c r="T19" s="418" t="str">
        <f t="shared" si="7"/>
        <v/>
      </c>
      <c r="U19" s="424" t="str">
        <f t="shared" si="1"/>
        <v/>
      </c>
      <c r="V19" s="418" t="str">
        <f t="shared" si="8"/>
        <v/>
      </c>
      <c r="W19" s="489" t="str">
        <f t="shared" si="9"/>
        <v/>
      </c>
      <c r="X19" s="418" t="str">
        <f t="shared" si="10"/>
        <v/>
      </c>
      <c r="Y19" s="424" t="str">
        <f t="shared" si="11"/>
        <v/>
      </c>
      <c r="Z19" s="418" t="str">
        <f t="shared" si="12"/>
        <v/>
      </c>
      <c r="AA19" s="424" t="str">
        <f t="shared" si="13"/>
        <v/>
      </c>
      <c r="AB19" s="424" t="str">
        <f t="shared" si="14"/>
        <v/>
      </c>
      <c r="AC19" s="424" t="str">
        <f t="shared" si="13"/>
        <v/>
      </c>
      <c r="AD19" s="454"/>
      <c r="AE19" s="524" t="str">
        <f t="shared" si="15"/>
        <v/>
      </c>
      <c r="AF19" s="476"/>
      <c r="AG19" s="1182" t="str" cm="1">
        <f t="array" ref="AG19">IF(OR(AE19="",N19=""),"",_xlfn.IFS(
ROUND(IFERROR(VALUE(TRIM(SUBSTITUTE(AE19,CHAR(160),""))),0),2)&gt;
ROUND(IFERROR(VALUE(TRIM(SUBSTITUTE(N19,CHAR(160),""))),0),2),
"KO : Le montant retenu est supérieur au montant présenté. Merci de revoir la ligne de contributions ou plafonner son montant.",
ROUND(IFERROR(VALUE(TRIM(SUBSTITUTE(N19,CHAR(160),""))),0),2)=0,
"",
ROUND(IFERROR(VALUE(TRIM(SUBSTITUTE(AE19,CHAR(160),""))),0),2)=
ROUND(IFERROR(VALUE(TRIM(SUBSTITUTE(N19,CHAR(160),""))),0),2),
"OK",
ROUND(IFERROR(VALUE(TRIM(SUBSTITUTE(AE19,CHAR(160),""))),0),2)=0,
"Attention : Montant présenté entièrement rejeté.",
ROUND(IFERROR(VALUE(TRIM(SUBSTITUTE(AE19,CHAR(160),""))),0),2)&lt;
ROUND(IFERROR(VALUE(TRIM(SUBSTITUTE(N19,CHAR(160),""))),0),2),
"Attention : Montant présenté partiellement rejeté.",
TRUE,""
))</f>
        <v/>
      </c>
      <c r="AH19" s="549" t="str">
        <f t="shared" si="16"/>
        <v/>
      </c>
      <c r="AK19" s="324"/>
      <c r="AL19" s="324"/>
      <c r="AM19" s="324"/>
    </row>
    <row r="20" spans="2:39" ht="15.95">
      <c r="B20" s="531">
        <v>12</v>
      </c>
      <c r="C20" s="126"/>
      <c r="D20" s="19"/>
      <c r="E20" s="19"/>
      <c r="F20" s="36"/>
      <c r="G20" s="508"/>
      <c r="H20" s="510"/>
      <c r="I20" s="424" t="str">
        <f t="shared" si="2"/>
        <v/>
      </c>
      <c r="J20" s="417"/>
      <c r="K20" s="424" t="str">
        <f t="shared" si="17"/>
        <v/>
      </c>
      <c r="L20" s="417"/>
      <c r="M20" s="424" t="str">
        <f t="shared" si="3"/>
        <v/>
      </c>
      <c r="N20" s="424" t="str">
        <f t="shared" si="4"/>
        <v/>
      </c>
      <c r="O20" s="512"/>
      <c r="P20" s="532"/>
      <c r="Q20" s="1415" t="str">
        <f t="shared" si="5"/>
        <v/>
      </c>
      <c r="R20" s="57"/>
      <c r="S20" s="436" t="str">
        <f t="shared" si="6"/>
        <v/>
      </c>
      <c r="T20" s="418" t="str">
        <f t="shared" si="7"/>
        <v/>
      </c>
      <c r="U20" s="424" t="str">
        <f t="shared" si="1"/>
        <v/>
      </c>
      <c r="V20" s="418" t="str">
        <f t="shared" si="8"/>
        <v/>
      </c>
      <c r="W20" s="489" t="str">
        <f t="shared" si="9"/>
        <v/>
      </c>
      <c r="X20" s="418" t="str">
        <f t="shared" si="10"/>
        <v/>
      </c>
      <c r="Y20" s="424" t="str">
        <f t="shared" si="11"/>
        <v/>
      </c>
      <c r="Z20" s="418" t="str">
        <f t="shared" si="12"/>
        <v/>
      </c>
      <c r="AA20" s="424" t="str">
        <f t="shared" si="13"/>
        <v/>
      </c>
      <c r="AB20" s="424" t="str">
        <f t="shared" si="14"/>
        <v/>
      </c>
      <c r="AC20" s="424" t="str">
        <f t="shared" si="13"/>
        <v/>
      </c>
      <c r="AD20" s="454"/>
      <c r="AE20" s="524" t="str">
        <f t="shared" si="15"/>
        <v/>
      </c>
      <c r="AF20" s="476"/>
      <c r="AG20" s="1182" t="str" cm="1">
        <f t="array" ref="AG20">IF(OR(AE20="",N20=""),"",_xlfn.IFS(
ROUND(IFERROR(VALUE(TRIM(SUBSTITUTE(AE20,CHAR(160),""))),0),2)&gt;
ROUND(IFERROR(VALUE(TRIM(SUBSTITUTE(N20,CHAR(160),""))),0),2),
"KO : Le montant retenu est supérieur au montant présenté. Merci de revoir la ligne de contributions ou plafonner son montant.",
ROUND(IFERROR(VALUE(TRIM(SUBSTITUTE(N20,CHAR(160),""))),0),2)=0,
"",
ROUND(IFERROR(VALUE(TRIM(SUBSTITUTE(AE20,CHAR(160),""))),0),2)=
ROUND(IFERROR(VALUE(TRIM(SUBSTITUTE(N20,CHAR(160),""))),0),2),
"OK",
ROUND(IFERROR(VALUE(TRIM(SUBSTITUTE(AE20,CHAR(160),""))),0),2)=0,
"Attention : Montant présenté entièrement rejeté.",
ROUND(IFERROR(VALUE(TRIM(SUBSTITUTE(AE20,CHAR(160),""))),0),2)&lt;
ROUND(IFERROR(VALUE(TRIM(SUBSTITUTE(N20,CHAR(160),""))),0),2),
"Attention : Montant présenté partiellement rejeté.",
TRUE,""
))</f>
        <v/>
      </c>
      <c r="AH20" s="549" t="str">
        <f t="shared" si="16"/>
        <v/>
      </c>
      <c r="AK20" s="324"/>
      <c r="AL20" s="324"/>
      <c r="AM20" s="324"/>
    </row>
    <row r="21" spans="2:39" ht="15.95">
      <c r="B21" s="531">
        <v>13</v>
      </c>
      <c r="C21" s="126"/>
      <c r="D21" s="19"/>
      <c r="E21" s="19"/>
      <c r="F21" s="36"/>
      <c r="G21" s="508"/>
      <c r="H21" s="510"/>
      <c r="I21" s="424" t="str">
        <f t="shared" si="2"/>
        <v/>
      </c>
      <c r="J21" s="417"/>
      <c r="K21" s="424" t="str">
        <f t="shared" si="17"/>
        <v/>
      </c>
      <c r="L21" s="417"/>
      <c r="M21" s="424" t="str">
        <f t="shared" si="3"/>
        <v/>
      </c>
      <c r="N21" s="424" t="str">
        <f t="shared" si="4"/>
        <v/>
      </c>
      <c r="O21" s="512"/>
      <c r="P21" s="532"/>
      <c r="Q21" s="1415" t="str">
        <f t="shared" si="5"/>
        <v/>
      </c>
      <c r="R21" s="57"/>
      <c r="S21" s="436" t="str">
        <f t="shared" si="6"/>
        <v/>
      </c>
      <c r="T21" s="418" t="str">
        <f t="shared" si="7"/>
        <v/>
      </c>
      <c r="U21" s="424" t="str">
        <f t="shared" si="1"/>
        <v/>
      </c>
      <c r="V21" s="418" t="str">
        <f t="shared" si="8"/>
        <v/>
      </c>
      <c r="W21" s="489" t="str">
        <f t="shared" si="9"/>
        <v/>
      </c>
      <c r="X21" s="418" t="str">
        <f t="shared" si="10"/>
        <v/>
      </c>
      <c r="Y21" s="424" t="str">
        <f t="shared" si="11"/>
        <v/>
      </c>
      <c r="Z21" s="418" t="str">
        <f t="shared" si="12"/>
        <v/>
      </c>
      <c r="AA21" s="424" t="str">
        <f t="shared" si="13"/>
        <v/>
      </c>
      <c r="AB21" s="424" t="str">
        <f t="shared" si="14"/>
        <v/>
      </c>
      <c r="AC21" s="424" t="str">
        <f t="shared" si="13"/>
        <v/>
      </c>
      <c r="AD21" s="454"/>
      <c r="AE21" s="524" t="str">
        <f t="shared" si="15"/>
        <v/>
      </c>
      <c r="AF21" s="476"/>
      <c r="AG21" s="1182" t="str" cm="1">
        <f t="array" ref="AG21">IF(OR(AE21="",N21=""),"",_xlfn.IFS(
ROUND(IFERROR(VALUE(TRIM(SUBSTITUTE(AE21,CHAR(160),""))),0),2)&gt;
ROUND(IFERROR(VALUE(TRIM(SUBSTITUTE(N21,CHAR(160),""))),0),2),
"KO : Le montant retenu est supérieur au montant présenté. Merci de revoir la ligne de contributions ou plafonner son montant.",
ROUND(IFERROR(VALUE(TRIM(SUBSTITUTE(N21,CHAR(160),""))),0),2)=0,
"",
ROUND(IFERROR(VALUE(TRIM(SUBSTITUTE(AE21,CHAR(160),""))),0),2)=
ROUND(IFERROR(VALUE(TRIM(SUBSTITUTE(N21,CHAR(160),""))),0),2),
"OK",
ROUND(IFERROR(VALUE(TRIM(SUBSTITUTE(AE21,CHAR(160),""))),0),2)=0,
"Attention : Montant présenté entièrement rejeté.",
ROUND(IFERROR(VALUE(TRIM(SUBSTITUTE(AE21,CHAR(160),""))),0),2)&lt;
ROUND(IFERROR(VALUE(TRIM(SUBSTITUTE(N21,CHAR(160),""))),0),2),
"Attention : Montant présenté partiellement rejeté.",
TRUE,""
))</f>
        <v/>
      </c>
      <c r="AH21" s="549" t="str">
        <f t="shared" si="16"/>
        <v/>
      </c>
      <c r="AK21" s="324"/>
      <c r="AL21" s="324"/>
      <c r="AM21" s="324"/>
    </row>
    <row r="22" spans="2:39" ht="15.95">
      <c r="B22" s="531">
        <v>14</v>
      </c>
      <c r="C22" s="126"/>
      <c r="D22" s="19"/>
      <c r="E22" s="19"/>
      <c r="F22" s="36"/>
      <c r="G22" s="508"/>
      <c r="H22" s="510"/>
      <c r="I22" s="424" t="str">
        <f t="shared" si="2"/>
        <v/>
      </c>
      <c r="J22" s="417"/>
      <c r="K22" s="424" t="str">
        <f t="shared" si="17"/>
        <v/>
      </c>
      <c r="L22" s="417"/>
      <c r="M22" s="424" t="str">
        <f t="shared" si="3"/>
        <v/>
      </c>
      <c r="N22" s="424" t="str">
        <f t="shared" si="4"/>
        <v/>
      </c>
      <c r="O22" s="512"/>
      <c r="P22" s="532"/>
      <c r="Q22" s="1415" t="str">
        <f t="shared" si="5"/>
        <v/>
      </c>
      <c r="R22" s="57"/>
      <c r="S22" s="436" t="str">
        <f t="shared" si="6"/>
        <v/>
      </c>
      <c r="T22" s="418" t="str">
        <f t="shared" si="7"/>
        <v/>
      </c>
      <c r="U22" s="424" t="str">
        <f t="shared" si="1"/>
        <v/>
      </c>
      <c r="V22" s="418" t="str">
        <f t="shared" si="8"/>
        <v/>
      </c>
      <c r="W22" s="489" t="str">
        <f t="shared" si="9"/>
        <v/>
      </c>
      <c r="X22" s="418" t="str">
        <f t="shared" si="10"/>
        <v/>
      </c>
      <c r="Y22" s="424" t="str">
        <f t="shared" si="11"/>
        <v/>
      </c>
      <c r="Z22" s="418" t="str">
        <f t="shared" si="12"/>
        <v/>
      </c>
      <c r="AA22" s="424" t="str">
        <f t="shared" si="13"/>
        <v/>
      </c>
      <c r="AB22" s="424" t="str">
        <f t="shared" si="14"/>
        <v/>
      </c>
      <c r="AC22" s="424" t="str">
        <f t="shared" si="13"/>
        <v/>
      </c>
      <c r="AD22" s="454"/>
      <c r="AE22" s="524" t="str">
        <f t="shared" si="15"/>
        <v/>
      </c>
      <c r="AF22" s="476"/>
      <c r="AG22" s="1182" t="str" cm="1">
        <f t="array" ref="AG22">IF(OR(AE22="",N22=""),"",_xlfn.IFS(
ROUND(IFERROR(VALUE(TRIM(SUBSTITUTE(AE22,CHAR(160),""))),0),2)&gt;
ROUND(IFERROR(VALUE(TRIM(SUBSTITUTE(N22,CHAR(160),""))),0),2),
"KO : Le montant retenu est supérieur au montant présenté. Merci de revoir la ligne de contributions ou plafonner son montant.",
ROUND(IFERROR(VALUE(TRIM(SUBSTITUTE(N22,CHAR(160),""))),0),2)=0,
"",
ROUND(IFERROR(VALUE(TRIM(SUBSTITUTE(AE22,CHAR(160),""))),0),2)=
ROUND(IFERROR(VALUE(TRIM(SUBSTITUTE(N22,CHAR(160),""))),0),2),
"OK",
ROUND(IFERROR(VALUE(TRIM(SUBSTITUTE(AE22,CHAR(160),""))),0),2)=0,
"Attention : Montant présenté entièrement rejeté.",
ROUND(IFERROR(VALUE(TRIM(SUBSTITUTE(AE22,CHAR(160),""))),0),2)&lt;
ROUND(IFERROR(VALUE(TRIM(SUBSTITUTE(N22,CHAR(160),""))),0),2),
"Attention : Montant présenté partiellement rejeté.",
TRUE,""
))</f>
        <v/>
      </c>
      <c r="AH22" s="549" t="str">
        <f t="shared" si="16"/>
        <v/>
      </c>
      <c r="AK22" s="324"/>
      <c r="AL22" s="324"/>
      <c r="AM22" s="324"/>
    </row>
    <row r="23" spans="2:39" ht="15.95">
      <c r="B23" s="531">
        <v>15</v>
      </c>
      <c r="C23" s="126"/>
      <c r="D23" s="19"/>
      <c r="E23" s="19"/>
      <c r="F23" s="36"/>
      <c r="G23" s="508"/>
      <c r="H23" s="510"/>
      <c r="I23" s="424" t="str">
        <f t="shared" si="2"/>
        <v/>
      </c>
      <c r="J23" s="417"/>
      <c r="K23" s="424" t="str">
        <f t="shared" si="17"/>
        <v/>
      </c>
      <c r="L23" s="417"/>
      <c r="M23" s="424" t="str">
        <f t="shared" si="3"/>
        <v/>
      </c>
      <c r="N23" s="424" t="str">
        <f t="shared" si="4"/>
        <v/>
      </c>
      <c r="O23" s="512"/>
      <c r="P23" s="532"/>
      <c r="Q23" s="1415" t="str">
        <f t="shared" si="5"/>
        <v/>
      </c>
      <c r="R23" s="57"/>
      <c r="S23" s="436" t="str">
        <f t="shared" si="6"/>
        <v/>
      </c>
      <c r="T23" s="418" t="str">
        <f t="shared" si="7"/>
        <v/>
      </c>
      <c r="U23" s="424" t="str">
        <f t="shared" si="1"/>
        <v/>
      </c>
      <c r="V23" s="418" t="str">
        <f t="shared" si="8"/>
        <v/>
      </c>
      <c r="W23" s="489" t="str">
        <f t="shared" si="9"/>
        <v/>
      </c>
      <c r="X23" s="418" t="str">
        <f t="shared" si="10"/>
        <v/>
      </c>
      <c r="Y23" s="424" t="str">
        <f t="shared" si="11"/>
        <v/>
      </c>
      <c r="Z23" s="418" t="str">
        <f t="shared" si="12"/>
        <v/>
      </c>
      <c r="AA23" s="424" t="str">
        <f t="shared" si="13"/>
        <v/>
      </c>
      <c r="AB23" s="424" t="str">
        <f t="shared" si="14"/>
        <v/>
      </c>
      <c r="AC23" s="424" t="str">
        <f t="shared" si="13"/>
        <v/>
      </c>
      <c r="AD23" s="454"/>
      <c r="AE23" s="524" t="str">
        <f t="shared" si="15"/>
        <v/>
      </c>
      <c r="AF23" s="476"/>
      <c r="AG23" s="1182" t="str" cm="1">
        <f t="array" ref="AG23">IF(OR(AE23="",N23=""),"",_xlfn.IFS(
ROUND(IFERROR(VALUE(TRIM(SUBSTITUTE(AE23,CHAR(160),""))),0),2)&gt;
ROUND(IFERROR(VALUE(TRIM(SUBSTITUTE(N23,CHAR(160),""))),0),2),
"KO : Le montant retenu est supérieur au montant présenté. Merci de revoir la ligne de contributions ou plafonner son montant.",
ROUND(IFERROR(VALUE(TRIM(SUBSTITUTE(N23,CHAR(160),""))),0),2)=0,
"",
ROUND(IFERROR(VALUE(TRIM(SUBSTITUTE(AE23,CHAR(160),""))),0),2)=
ROUND(IFERROR(VALUE(TRIM(SUBSTITUTE(N23,CHAR(160),""))),0),2),
"OK",
ROUND(IFERROR(VALUE(TRIM(SUBSTITUTE(AE23,CHAR(160),""))),0),2)=0,
"Attention : Montant présenté entièrement rejeté.",
ROUND(IFERROR(VALUE(TRIM(SUBSTITUTE(AE23,CHAR(160),""))),0),2)&lt;
ROUND(IFERROR(VALUE(TRIM(SUBSTITUTE(N23,CHAR(160),""))),0),2),
"Attention : Montant présenté partiellement rejeté.",
TRUE,""
))</f>
        <v/>
      </c>
      <c r="AH23" s="549" t="str">
        <f t="shared" si="16"/>
        <v/>
      </c>
      <c r="AK23" s="324"/>
      <c r="AL23" s="324"/>
      <c r="AM23" s="324"/>
    </row>
    <row r="24" spans="2:39" ht="15.95">
      <c r="B24" s="531">
        <v>16</v>
      </c>
      <c r="C24" s="126"/>
      <c r="D24" s="19"/>
      <c r="E24" s="19"/>
      <c r="F24" s="36"/>
      <c r="G24" s="508"/>
      <c r="H24" s="510"/>
      <c r="I24" s="424" t="str">
        <f t="shared" si="2"/>
        <v/>
      </c>
      <c r="J24" s="417"/>
      <c r="K24" s="424" t="str">
        <f t="shared" si="17"/>
        <v/>
      </c>
      <c r="L24" s="417"/>
      <c r="M24" s="424" t="str">
        <f t="shared" si="3"/>
        <v/>
      </c>
      <c r="N24" s="424" t="str">
        <f t="shared" si="4"/>
        <v/>
      </c>
      <c r="O24" s="512"/>
      <c r="P24" s="532"/>
      <c r="Q24" s="1415" t="str">
        <f t="shared" si="5"/>
        <v/>
      </c>
      <c r="R24" s="57"/>
      <c r="S24" s="436" t="str">
        <f t="shared" si="6"/>
        <v/>
      </c>
      <c r="T24" s="418" t="str">
        <f t="shared" si="7"/>
        <v/>
      </c>
      <c r="U24" s="424" t="str">
        <f t="shared" si="1"/>
        <v/>
      </c>
      <c r="V24" s="418" t="str">
        <f t="shared" si="8"/>
        <v/>
      </c>
      <c r="W24" s="489" t="str">
        <f t="shared" si="9"/>
        <v/>
      </c>
      <c r="X24" s="418" t="str">
        <f t="shared" si="10"/>
        <v/>
      </c>
      <c r="Y24" s="424" t="str">
        <f t="shared" si="11"/>
        <v/>
      </c>
      <c r="Z24" s="418" t="str">
        <f t="shared" si="12"/>
        <v/>
      </c>
      <c r="AA24" s="424" t="str">
        <f t="shared" si="13"/>
        <v/>
      </c>
      <c r="AB24" s="424" t="str">
        <f t="shared" si="14"/>
        <v/>
      </c>
      <c r="AC24" s="424" t="str">
        <f t="shared" si="13"/>
        <v/>
      </c>
      <c r="AD24" s="454"/>
      <c r="AE24" s="524" t="str">
        <f t="shared" si="15"/>
        <v/>
      </c>
      <c r="AF24" s="476"/>
      <c r="AG24" s="1182" t="str" cm="1">
        <f t="array" ref="AG24">IF(OR(AE24="",N24=""),"",_xlfn.IFS(
ROUND(IFERROR(VALUE(TRIM(SUBSTITUTE(AE24,CHAR(160),""))),0),2)&gt;
ROUND(IFERROR(VALUE(TRIM(SUBSTITUTE(N24,CHAR(160),""))),0),2),
"KO : Le montant retenu est supérieur au montant présenté. Merci de revoir la ligne de contributions ou plafonner son montant.",
ROUND(IFERROR(VALUE(TRIM(SUBSTITUTE(N24,CHAR(160),""))),0),2)=0,
"",
ROUND(IFERROR(VALUE(TRIM(SUBSTITUTE(AE24,CHAR(160),""))),0),2)=
ROUND(IFERROR(VALUE(TRIM(SUBSTITUTE(N24,CHAR(160),""))),0),2),
"OK",
ROUND(IFERROR(VALUE(TRIM(SUBSTITUTE(AE24,CHAR(160),""))),0),2)=0,
"Attention : Montant présenté entièrement rejeté.",
ROUND(IFERROR(VALUE(TRIM(SUBSTITUTE(AE24,CHAR(160),""))),0),2)&lt;
ROUND(IFERROR(VALUE(TRIM(SUBSTITUTE(N24,CHAR(160),""))),0),2),
"Attention : Montant présenté partiellement rejeté.",
TRUE,""
))</f>
        <v/>
      </c>
      <c r="AH24" s="549" t="str">
        <f t="shared" si="16"/>
        <v/>
      </c>
      <c r="AK24" s="324"/>
      <c r="AL24" s="324"/>
      <c r="AM24" s="324"/>
    </row>
    <row r="25" spans="2:39" ht="15.95">
      <c r="B25" s="531">
        <v>17</v>
      </c>
      <c r="C25" s="126"/>
      <c r="D25" s="19"/>
      <c r="E25" s="19"/>
      <c r="F25" s="36"/>
      <c r="G25" s="508"/>
      <c r="H25" s="510"/>
      <c r="I25" s="424" t="str">
        <f t="shared" si="2"/>
        <v/>
      </c>
      <c r="J25" s="417"/>
      <c r="K25" s="424" t="str">
        <f t="shared" si="17"/>
        <v/>
      </c>
      <c r="L25" s="417"/>
      <c r="M25" s="424" t="str">
        <f t="shared" si="3"/>
        <v/>
      </c>
      <c r="N25" s="424" t="str">
        <f t="shared" si="4"/>
        <v/>
      </c>
      <c r="O25" s="512"/>
      <c r="P25" s="532"/>
      <c r="Q25" s="1415" t="str">
        <f t="shared" si="5"/>
        <v/>
      </c>
      <c r="R25" s="57"/>
      <c r="S25" s="436" t="str">
        <f t="shared" si="6"/>
        <v/>
      </c>
      <c r="T25" s="418" t="str">
        <f t="shared" si="7"/>
        <v/>
      </c>
      <c r="U25" s="424" t="str">
        <f t="shared" si="1"/>
        <v/>
      </c>
      <c r="V25" s="418" t="str">
        <f t="shared" si="8"/>
        <v/>
      </c>
      <c r="W25" s="489" t="str">
        <f t="shared" si="9"/>
        <v/>
      </c>
      <c r="X25" s="418" t="str">
        <f t="shared" si="10"/>
        <v/>
      </c>
      <c r="Y25" s="424" t="str">
        <f t="shared" si="11"/>
        <v/>
      </c>
      <c r="Z25" s="418" t="str">
        <f t="shared" si="12"/>
        <v/>
      </c>
      <c r="AA25" s="424" t="str">
        <f t="shared" si="13"/>
        <v/>
      </c>
      <c r="AB25" s="424" t="str">
        <f t="shared" si="14"/>
        <v/>
      </c>
      <c r="AC25" s="424" t="str">
        <f t="shared" si="13"/>
        <v/>
      </c>
      <c r="AD25" s="454"/>
      <c r="AE25" s="524" t="str">
        <f t="shared" si="15"/>
        <v/>
      </c>
      <c r="AF25" s="476"/>
      <c r="AG25" s="1182" t="str" cm="1">
        <f t="array" ref="AG25">IF(OR(AE25="",N25=""),"",_xlfn.IFS(
ROUND(IFERROR(VALUE(TRIM(SUBSTITUTE(AE25,CHAR(160),""))),0),2)&gt;
ROUND(IFERROR(VALUE(TRIM(SUBSTITUTE(N25,CHAR(160),""))),0),2),
"KO : Le montant retenu est supérieur au montant présenté. Merci de revoir la ligne de contributions ou plafonner son montant.",
ROUND(IFERROR(VALUE(TRIM(SUBSTITUTE(N25,CHAR(160),""))),0),2)=0,
"",
ROUND(IFERROR(VALUE(TRIM(SUBSTITUTE(AE25,CHAR(160),""))),0),2)=
ROUND(IFERROR(VALUE(TRIM(SUBSTITUTE(N25,CHAR(160),""))),0),2),
"OK",
ROUND(IFERROR(VALUE(TRIM(SUBSTITUTE(AE25,CHAR(160),""))),0),2)=0,
"Attention : Montant présenté entièrement rejeté.",
ROUND(IFERROR(VALUE(TRIM(SUBSTITUTE(AE25,CHAR(160),""))),0),2)&lt;
ROUND(IFERROR(VALUE(TRIM(SUBSTITUTE(N25,CHAR(160),""))),0),2),
"Attention : Montant présenté partiellement rejeté.",
TRUE,""
))</f>
        <v/>
      </c>
      <c r="AH25" s="549" t="str">
        <f t="shared" si="16"/>
        <v/>
      </c>
      <c r="AK25" s="324"/>
      <c r="AL25" s="324"/>
      <c r="AM25" s="324"/>
    </row>
    <row r="26" spans="2:39" ht="15.95">
      <c r="B26" s="531">
        <v>18</v>
      </c>
      <c r="C26" s="126"/>
      <c r="D26" s="19"/>
      <c r="E26" s="19"/>
      <c r="F26" s="36"/>
      <c r="G26" s="508"/>
      <c r="H26" s="510"/>
      <c r="I26" s="424" t="str">
        <f t="shared" si="2"/>
        <v/>
      </c>
      <c r="J26" s="417"/>
      <c r="K26" s="424" t="str">
        <f t="shared" si="17"/>
        <v/>
      </c>
      <c r="L26" s="417"/>
      <c r="M26" s="424" t="str">
        <f t="shared" si="3"/>
        <v/>
      </c>
      <c r="N26" s="424" t="str">
        <f t="shared" si="4"/>
        <v/>
      </c>
      <c r="O26" s="512"/>
      <c r="P26" s="532"/>
      <c r="Q26" s="1415" t="str">
        <f t="shared" si="5"/>
        <v/>
      </c>
      <c r="R26" s="57"/>
      <c r="S26" s="436" t="str">
        <f t="shared" si="6"/>
        <v/>
      </c>
      <c r="T26" s="418" t="str">
        <f t="shared" si="7"/>
        <v/>
      </c>
      <c r="U26" s="424" t="str">
        <f t="shared" si="1"/>
        <v/>
      </c>
      <c r="V26" s="418" t="str">
        <f t="shared" si="8"/>
        <v/>
      </c>
      <c r="W26" s="489" t="str">
        <f t="shared" si="9"/>
        <v/>
      </c>
      <c r="X26" s="418" t="str">
        <f t="shared" si="10"/>
        <v/>
      </c>
      <c r="Y26" s="424" t="str">
        <f t="shared" si="11"/>
        <v/>
      </c>
      <c r="Z26" s="418" t="str">
        <f t="shared" si="12"/>
        <v/>
      </c>
      <c r="AA26" s="424" t="str">
        <f t="shared" si="13"/>
        <v/>
      </c>
      <c r="AB26" s="424" t="str">
        <f t="shared" si="14"/>
        <v/>
      </c>
      <c r="AC26" s="424" t="str">
        <f t="shared" si="13"/>
        <v/>
      </c>
      <c r="AD26" s="454"/>
      <c r="AE26" s="524" t="str">
        <f t="shared" si="15"/>
        <v/>
      </c>
      <c r="AF26" s="476"/>
      <c r="AG26" s="1182" t="str" cm="1">
        <f t="array" ref="AG26">IF(OR(AE26="",N26=""),"",_xlfn.IFS(
ROUND(IFERROR(VALUE(TRIM(SUBSTITUTE(AE26,CHAR(160),""))),0),2)&gt;
ROUND(IFERROR(VALUE(TRIM(SUBSTITUTE(N26,CHAR(160),""))),0),2),
"KO : Le montant retenu est supérieur au montant présenté. Merci de revoir la ligne de contributions ou plafonner son montant.",
ROUND(IFERROR(VALUE(TRIM(SUBSTITUTE(N26,CHAR(160),""))),0),2)=0,
"",
ROUND(IFERROR(VALUE(TRIM(SUBSTITUTE(AE26,CHAR(160),""))),0),2)=
ROUND(IFERROR(VALUE(TRIM(SUBSTITUTE(N26,CHAR(160),""))),0),2),
"OK",
ROUND(IFERROR(VALUE(TRIM(SUBSTITUTE(AE26,CHAR(160),""))),0),2)=0,
"Attention : Montant présenté entièrement rejeté.",
ROUND(IFERROR(VALUE(TRIM(SUBSTITUTE(AE26,CHAR(160),""))),0),2)&lt;
ROUND(IFERROR(VALUE(TRIM(SUBSTITUTE(N26,CHAR(160),""))),0),2),
"Attention : Montant présenté partiellement rejeté.",
TRUE,""
))</f>
        <v/>
      </c>
      <c r="AH26" s="549" t="str">
        <f t="shared" si="16"/>
        <v/>
      </c>
      <c r="AK26" s="324"/>
      <c r="AL26" s="324"/>
      <c r="AM26" s="324"/>
    </row>
    <row r="27" spans="2:39" ht="15.95">
      <c r="B27" s="531">
        <v>19</v>
      </c>
      <c r="C27" s="126"/>
      <c r="D27" s="19"/>
      <c r="E27" s="19"/>
      <c r="F27" s="36"/>
      <c r="G27" s="508"/>
      <c r="H27" s="510"/>
      <c r="I27" s="424" t="str">
        <f t="shared" si="2"/>
        <v/>
      </c>
      <c r="J27" s="417"/>
      <c r="K27" s="424" t="str">
        <f t="shared" si="17"/>
        <v/>
      </c>
      <c r="L27" s="417"/>
      <c r="M27" s="424" t="str">
        <f t="shared" si="3"/>
        <v/>
      </c>
      <c r="N27" s="424" t="str">
        <f t="shared" si="4"/>
        <v/>
      </c>
      <c r="O27" s="512"/>
      <c r="P27" s="532"/>
      <c r="Q27" s="1415" t="str">
        <f t="shared" si="5"/>
        <v/>
      </c>
      <c r="R27" s="57"/>
      <c r="S27" s="436" t="str">
        <f t="shared" si="6"/>
        <v/>
      </c>
      <c r="T27" s="418" t="str">
        <f t="shared" si="7"/>
        <v/>
      </c>
      <c r="U27" s="424" t="str">
        <f t="shared" si="1"/>
        <v/>
      </c>
      <c r="V27" s="418" t="str">
        <f t="shared" si="8"/>
        <v/>
      </c>
      <c r="W27" s="489" t="str">
        <f t="shared" si="9"/>
        <v/>
      </c>
      <c r="X27" s="418" t="str">
        <f t="shared" si="10"/>
        <v/>
      </c>
      <c r="Y27" s="424" t="str">
        <f t="shared" si="11"/>
        <v/>
      </c>
      <c r="Z27" s="418" t="str">
        <f t="shared" si="12"/>
        <v/>
      </c>
      <c r="AA27" s="424" t="str">
        <f t="shared" si="13"/>
        <v/>
      </c>
      <c r="AB27" s="424" t="str">
        <f t="shared" si="14"/>
        <v/>
      </c>
      <c r="AC27" s="424" t="str">
        <f t="shared" si="13"/>
        <v/>
      </c>
      <c r="AD27" s="454"/>
      <c r="AE27" s="524" t="str">
        <f t="shared" si="15"/>
        <v/>
      </c>
      <c r="AF27" s="476"/>
      <c r="AG27" s="1182" t="str" cm="1">
        <f t="array" ref="AG27">IF(OR(AE27="",N27=""),"",_xlfn.IFS(
ROUND(IFERROR(VALUE(TRIM(SUBSTITUTE(AE27,CHAR(160),""))),0),2)&gt;
ROUND(IFERROR(VALUE(TRIM(SUBSTITUTE(N27,CHAR(160),""))),0),2),
"KO : Le montant retenu est supérieur au montant présenté. Merci de revoir la ligne de contributions ou plafonner son montant.",
ROUND(IFERROR(VALUE(TRIM(SUBSTITUTE(N27,CHAR(160),""))),0),2)=0,
"",
ROUND(IFERROR(VALUE(TRIM(SUBSTITUTE(AE27,CHAR(160),""))),0),2)=
ROUND(IFERROR(VALUE(TRIM(SUBSTITUTE(N27,CHAR(160),""))),0),2),
"OK",
ROUND(IFERROR(VALUE(TRIM(SUBSTITUTE(AE27,CHAR(160),""))),0),2)=0,
"Attention : Montant présenté entièrement rejeté.",
ROUND(IFERROR(VALUE(TRIM(SUBSTITUTE(AE27,CHAR(160),""))),0),2)&lt;
ROUND(IFERROR(VALUE(TRIM(SUBSTITUTE(N27,CHAR(160),""))),0),2),
"Attention : Montant présenté partiellement rejeté.",
TRUE,""
))</f>
        <v/>
      </c>
      <c r="AH27" s="549" t="str">
        <f t="shared" si="16"/>
        <v/>
      </c>
      <c r="AK27" s="324"/>
      <c r="AL27" s="324"/>
      <c r="AM27" s="324"/>
    </row>
    <row r="28" spans="2:39" ht="15.95">
      <c r="B28" s="531">
        <v>20</v>
      </c>
      <c r="C28" s="126"/>
      <c r="D28" s="19"/>
      <c r="E28" s="19"/>
      <c r="F28" s="36"/>
      <c r="G28" s="508"/>
      <c r="H28" s="510"/>
      <c r="I28" s="424" t="str">
        <f t="shared" si="2"/>
        <v/>
      </c>
      <c r="J28" s="417"/>
      <c r="K28" s="424" t="str">
        <f t="shared" si="17"/>
        <v/>
      </c>
      <c r="L28" s="417"/>
      <c r="M28" s="424" t="str">
        <f t="shared" si="3"/>
        <v/>
      </c>
      <c r="N28" s="424" t="str">
        <f t="shared" si="4"/>
        <v/>
      </c>
      <c r="O28" s="512"/>
      <c r="P28" s="532"/>
      <c r="Q28" s="1415" t="str">
        <f t="shared" si="5"/>
        <v/>
      </c>
      <c r="R28" s="57"/>
      <c r="S28" s="436" t="str">
        <f t="shared" si="6"/>
        <v/>
      </c>
      <c r="T28" s="418" t="str">
        <f t="shared" si="7"/>
        <v/>
      </c>
      <c r="U28" s="424" t="str">
        <f t="shared" si="1"/>
        <v/>
      </c>
      <c r="V28" s="418" t="str">
        <f t="shared" si="8"/>
        <v/>
      </c>
      <c r="W28" s="489" t="str">
        <f t="shared" si="9"/>
        <v/>
      </c>
      <c r="X28" s="418" t="str">
        <f t="shared" si="10"/>
        <v/>
      </c>
      <c r="Y28" s="424" t="str">
        <f t="shared" si="11"/>
        <v/>
      </c>
      <c r="Z28" s="418" t="str">
        <f t="shared" si="12"/>
        <v/>
      </c>
      <c r="AA28" s="424" t="str">
        <f t="shared" si="13"/>
        <v/>
      </c>
      <c r="AB28" s="424" t="str">
        <f t="shared" si="14"/>
        <v/>
      </c>
      <c r="AC28" s="424" t="str">
        <f t="shared" si="13"/>
        <v/>
      </c>
      <c r="AD28" s="454"/>
      <c r="AE28" s="524" t="str">
        <f t="shared" si="15"/>
        <v/>
      </c>
      <c r="AF28" s="476"/>
      <c r="AG28" s="1182" t="str" cm="1">
        <f t="array" ref="AG28">IF(OR(AE28="",N28=""),"",_xlfn.IFS(
ROUND(IFERROR(VALUE(TRIM(SUBSTITUTE(AE28,CHAR(160),""))),0),2)&gt;
ROUND(IFERROR(VALUE(TRIM(SUBSTITUTE(N28,CHAR(160),""))),0),2),
"KO : Le montant retenu est supérieur au montant présenté. Merci de revoir la ligne de contributions ou plafonner son montant.",
ROUND(IFERROR(VALUE(TRIM(SUBSTITUTE(N28,CHAR(160),""))),0),2)=0,
"",
ROUND(IFERROR(VALUE(TRIM(SUBSTITUTE(AE28,CHAR(160),""))),0),2)=
ROUND(IFERROR(VALUE(TRIM(SUBSTITUTE(N28,CHAR(160),""))),0),2),
"OK",
ROUND(IFERROR(VALUE(TRIM(SUBSTITUTE(AE28,CHAR(160),""))),0),2)=0,
"Attention : Montant présenté entièrement rejeté.",
ROUND(IFERROR(VALUE(TRIM(SUBSTITUTE(AE28,CHAR(160),""))),0),2)&lt;
ROUND(IFERROR(VALUE(TRIM(SUBSTITUTE(N28,CHAR(160),""))),0),2),
"Attention : Montant présenté partiellement rejeté.",
TRUE,""
))</f>
        <v/>
      </c>
      <c r="AH28" s="549" t="str">
        <f t="shared" si="16"/>
        <v/>
      </c>
      <c r="AK28" s="324"/>
      <c r="AL28" s="324"/>
      <c r="AM28" s="324"/>
    </row>
    <row r="29" spans="2:39" ht="15.95">
      <c r="B29" s="531">
        <v>21</v>
      </c>
      <c r="C29" s="126"/>
      <c r="D29" s="19"/>
      <c r="E29" s="19"/>
      <c r="F29" s="36"/>
      <c r="G29" s="508"/>
      <c r="H29" s="510"/>
      <c r="I29" s="424" t="str">
        <f t="shared" si="2"/>
        <v/>
      </c>
      <c r="J29" s="417"/>
      <c r="K29" s="424" t="str">
        <f t="shared" si="17"/>
        <v/>
      </c>
      <c r="L29" s="417"/>
      <c r="M29" s="424" t="str">
        <f t="shared" si="3"/>
        <v/>
      </c>
      <c r="N29" s="424" t="str">
        <f t="shared" si="4"/>
        <v/>
      </c>
      <c r="O29" s="512"/>
      <c r="P29" s="532"/>
      <c r="Q29" s="1415" t="str">
        <f t="shared" si="5"/>
        <v/>
      </c>
      <c r="R29" s="57"/>
      <c r="S29" s="436" t="str">
        <f t="shared" si="6"/>
        <v/>
      </c>
      <c r="T29" s="418" t="str">
        <f t="shared" si="7"/>
        <v/>
      </c>
      <c r="U29" s="424" t="str">
        <f t="shared" si="1"/>
        <v/>
      </c>
      <c r="V29" s="418" t="str">
        <f t="shared" si="8"/>
        <v/>
      </c>
      <c r="W29" s="489" t="str">
        <f t="shared" si="9"/>
        <v/>
      </c>
      <c r="X29" s="418" t="str">
        <f t="shared" si="10"/>
        <v/>
      </c>
      <c r="Y29" s="424" t="str">
        <f t="shared" si="11"/>
        <v/>
      </c>
      <c r="Z29" s="418" t="str">
        <f t="shared" si="12"/>
        <v/>
      </c>
      <c r="AA29" s="424" t="str">
        <f t="shared" si="13"/>
        <v/>
      </c>
      <c r="AB29" s="424" t="str">
        <f t="shared" si="14"/>
        <v/>
      </c>
      <c r="AC29" s="424" t="str">
        <f t="shared" si="13"/>
        <v/>
      </c>
      <c r="AD29" s="454"/>
      <c r="AE29" s="524" t="str">
        <f t="shared" si="15"/>
        <v/>
      </c>
      <c r="AF29" s="476"/>
      <c r="AG29" s="1182" t="str" cm="1">
        <f t="array" ref="AG29">IF(OR(AE29="",N29=""),"",_xlfn.IFS(
ROUND(IFERROR(VALUE(TRIM(SUBSTITUTE(AE29,CHAR(160),""))),0),2)&gt;
ROUND(IFERROR(VALUE(TRIM(SUBSTITUTE(N29,CHAR(160),""))),0),2),
"KO : Le montant retenu est supérieur au montant présenté. Merci de revoir la ligne de contributions ou plafonner son montant.",
ROUND(IFERROR(VALUE(TRIM(SUBSTITUTE(N29,CHAR(160),""))),0),2)=0,
"",
ROUND(IFERROR(VALUE(TRIM(SUBSTITUTE(AE29,CHAR(160),""))),0),2)=
ROUND(IFERROR(VALUE(TRIM(SUBSTITUTE(N29,CHAR(160),""))),0),2),
"OK",
ROUND(IFERROR(VALUE(TRIM(SUBSTITUTE(AE29,CHAR(160),""))),0),2)=0,
"Attention : Montant présenté entièrement rejeté.",
ROUND(IFERROR(VALUE(TRIM(SUBSTITUTE(AE29,CHAR(160),""))),0),2)&lt;
ROUND(IFERROR(VALUE(TRIM(SUBSTITUTE(N29,CHAR(160),""))),0),2),
"Attention : Montant présenté partiellement rejeté.",
TRUE,""
))</f>
        <v/>
      </c>
      <c r="AH29" s="549" t="str">
        <f t="shared" si="16"/>
        <v/>
      </c>
      <c r="AK29" s="324"/>
      <c r="AL29" s="324"/>
      <c r="AM29" s="324"/>
    </row>
    <row r="30" spans="2:39" ht="15.95">
      <c r="B30" s="531">
        <v>22</v>
      </c>
      <c r="C30" s="119"/>
      <c r="D30" s="11"/>
      <c r="E30" s="11"/>
      <c r="F30" s="22"/>
      <c r="G30" s="509"/>
      <c r="H30" s="511"/>
      <c r="I30" s="424" t="str">
        <f t="shared" si="2"/>
        <v/>
      </c>
      <c r="J30" s="417"/>
      <c r="K30" s="424" t="str">
        <f t="shared" si="17"/>
        <v/>
      </c>
      <c r="L30" s="417"/>
      <c r="M30" s="424" t="str">
        <f t="shared" si="3"/>
        <v/>
      </c>
      <c r="N30" s="424" t="str">
        <f t="shared" si="4"/>
        <v/>
      </c>
      <c r="O30" s="513"/>
      <c r="P30" s="533"/>
      <c r="Q30" s="1415" t="str">
        <f t="shared" si="5"/>
        <v/>
      </c>
      <c r="R30" s="57"/>
      <c r="S30" s="436" t="str">
        <f t="shared" si="6"/>
        <v/>
      </c>
      <c r="T30" s="418" t="str">
        <f t="shared" si="7"/>
        <v/>
      </c>
      <c r="U30" s="424" t="str">
        <f t="shared" si="1"/>
        <v/>
      </c>
      <c r="V30" s="418" t="str">
        <f t="shared" si="8"/>
        <v/>
      </c>
      <c r="W30" s="489" t="str">
        <f t="shared" si="9"/>
        <v/>
      </c>
      <c r="X30" s="418" t="str">
        <f t="shared" si="10"/>
        <v/>
      </c>
      <c r="Y30" s="424" t="str">
        <f t="shared" si="11"/>
        <v/>
      </c>
      <c r="Z30" s="418" t="str">
        <f t="shared" si="12"/>
        <v/>
      </c>
      <c r="AA30" s="424" t="str">
        <f t="shared" si="13"/>
        <v/>
      </c>
      <c r="AB30" s="424" t="str">
        <f t="shared" si="14"/>
        <v/>
      </c>
      <c r="AC30" s="424" t="str">
        <f t="shared" si="13"/>
        <v/>
      </c>
      <c r="AD30" s="454"/>
      <c r="AE30" s="524" t="str">
        <f t="shared" si="15"/>
        <v/>
      </c>
      <c r="AF30" s="476"/>
      <c r="AG30" s="1182" t="str" cm="1">
        <f t="array" ref="AG30">IF(OR(AE30="",N30=""),"",_xlfn.IFS(
ROUND(IFERROR(VALUE(TRIM(SUBSTITUTE(AE30,CHAR(160),""))),0),2)&gt;
ROUND(IFERROR(VALUE(TRIM(SUBSTITUTE(N30,CHAR(160),""))),0),2),
"KO : Le montant retenu est supérieur au montant présenté. Merci de revoir la ligne de contributions ou plafonner son montant.",
ROUND(IFERROR(VALUE(TRIM(SUBSTITUTE(N30,CHAR(160),""))),0),2)=0,
"",
ROUND(IFERROR(VALUE(TRIM(SUBSTITUTE(AE30,CHAR(160),""))),0),2)=
ROUND(IFERROR(VALUE(TRIM(SUBSTITUTE(N30,CHAR(160),""))),0),2),
"OK",
ROUND(IFERROR(VALUE(TRIM(SUBSTITUTE(AE30,CHAR(160),""))),0),2)=0,
"Attention : Montant présenté entièrement rejeté.",
ROUND(IFERROR(VALUE(TRIM(SUBSTITUTE(AE30,CHAR(160),""))),0),2)&lt;
ROUND(IFERROR(VALUE(TRIM(SUBSTITUTE(N30,CHAR(160),""))),0),2),
"Attention : Montant présenté partiellement rejeté.",
TRUE,""
))</f>
        <v/>
      </c>
      <c r="AH30" s="549" t="str">
        <f t="shared" si="16"/>
        <v/>
      </c>
      <c r="AK30" s="324"/>
      <c r="AL30" s="324"/>
      <c r="AM30" s="324"/>
    </row>
    <row r="31" spans="2:39" ht="15.95">
      <c r="B31" s="531">
        <v>23</v>
      </c>
      <c r="C31" s="119"/>
      <c r="D31" s="11"/>
      <c r="E31" s="11"/>
      <c r="F31" s="22"/>
      <c r="G31" s="509"/>
      <c r="H31" s="511"/>
      <c r="I31" s="424" t="str">
        <f t="shared" si="2"/>
        <v/>
      </c>
      <c r="J31" s="417"/>
      <c r="K31" s="424" t="str">
        <f t="shared" si="17"/>
        <v/>
      </c>
      <c r="L31" s="417"/>
      <c r="M31" s="424" t="str">
        <f t="shared" si="3"/>
        <v/>
      </c>
      <c r="N31" s="424" t="str">
        <f t="shared" si="4"/>
        <v/>
      </c>
      <c r="O31" s="513"/>
      <c r="P31" s="533"/>
      <c r="Q31" s="1415" t="str">
        <f t="shared" si="5"/>
        <v/>
      </c>
      <c r="R31" s="57"/>
      <c r="S31" s="436" t="str">
        <f t="shared" si="6"/>
        <v/>
      </c>
      <c r="T31" s="418" t="str">
        <f t="shared" si="7"/>
        <v/>
      </c>
      <c r="U31" s="424" t="str">
        <f t="shared" si="1"/>
        <v/>
      </c>
      <c r="V31" s="418" t="str">
        <f t="shared" si="8"/>
        <v/>
      </c>
      <c r="W31" s="489" t="str">
        <f t="shared" si="9"/>
        <v/>
      </c>
      <c r="X31" s="418" t="str">
        <f t="shared" si="10"/>
        <v/>
      </c>
      <c r="Y31" s="424" t="str">
        <f t="shared" si="11"/>
        <v/>
      </c>
      <c r="Z31" s="418" t="str">
        <f t="shared" si="12"/>
        <v/>
      </c>
      <c r="AA31" s="424" t="str">
        <f t="shared" si="13"/>
        <v/>
      </c>
      <c r="AB31" s="424" t="str">
        <f t="shared" si="14"/>
        <v/>
      </c>
      <c r="AC31" s="424" t="str">
        <f t="shared" si="13"/>
        <v/>
      </c>
      <c r="AD31" s="454"/>
      <c r="AE31" s="524" t="str">
        <f t="shared" si="15"/>
        <v/>
      </c>
      <c r="AF31" s="476"/>
      <c r="AG31" s="1182" t="str" cm="1">
        <f t="array" ref="AG31">IF(OR(AE31="",N31=""),"",_xlfn.IFS(
ROUND(IFERROR(VALUE(TRIM(SUBSTITUTE(AE31,CHAR(160),""))),0),2)&gt;
ROUND(IFERROR(VALUE(TRIM(SUBSTITUTE(N31,CHAR(160),""))),0),2),
"KO : Le montant retenu est supérieur au montant présenté. Merci de revoir la ligne de contributions ou plafonner son montant.",
ROUND(IFERROR(VALUE(TRIM(SUBSTITUTE(N31,CHAR(160),""))),0),2)=0,
"",
ROUND(IFERROR(VALUE(TRIM(SUBSTITUTE(AE31,CHAR(160),""))),0),2)=
ROUND(IFERROR(VALUE(TRIM(SUBSTITUTE(N31,CHAR(160),""))),0),2),
"OK",
ROUND(IFERROR(VALUE(TRIM(SUBSTITUTE(AE31,CHAR(160),""))),0),2)=0,
"Attention : Montant présenté entièrement rejeté.",
ROUND(IFERROR(VALUE(TRIM(SUBSTITUTE(AE31,CHAR(160),""))),0),2)&lt;
ROUND(IFERROR(VALUE(TRIM(SUBSTITUTE(N31,CHAR(160),""))),0),2),
"Attention : Montant présenté partiellement rejeté.",
TRUE,""
))</f>
        <v/>
      </c>
      <c r="AH31" s="549" t="str">
        <f t="shared" si="16"/>
        <v/>
      </c>
      <c r="AK31" s="324"/>
      <c r="AL31" s="324"/>
      <c r="AM31" s="324"/>
    </row>
    <row r="32" spans="2:39" ht="15.95">
      <c r="B32" s="531">
        <v>24</v>
      </c>
      <c r="C32" s="119"/>
      <c r="D32" s="11"/>
      <c r="E32" s="11"/>
      <c r="F32" s="22"/>
      <c r="G32" s="509"/>
      <c r="H32" s="511"/>
      <c r="I32" s="424" t="str">
        <f t="shared" si="2"/>
        <v/>
      </c>
      <c r="J32" s="417"/>
      <c r="K32" s="424" t="str">
        <f t="shared" si="17"/>
        <v/>
      </c>
      <c r="L32" s="417"/>
      <c r="M32" s="424" t="str">
        <f t="shared" si="3"/>
        <v/>
      </c>
      <c r="N32" s="424" t="str">
        <f t="shared" si="4"/>
        <v/>
      </c>
      <c r="O32" s="513"/>
      <c r="P32" s="533"/>
      <c r="Q32" s="1415" t="str">
        <f t="shared" si="5"/>
        <v/>
      </c>
      <c r="R32" s="57"/>
      <c r="S32" s="436" t="str">
        <f t="shared" si="6"/>
        <v/>
      </c>
      <c r="T32" s="418" t="str">
        <f t="shared" si="7"/>
        <v/>
      </c>
      <c r="U32" s="424" t="str">
        <f t="shared" si="1"/>
        <v/>
      </c>
      <c r="V32" s="418" t="str">
        <f t="shared" si="8"/>
        <v/>
      </c>
      <c r="W32" s="489" t="str">
        <f t="shared" si="9"/>
        <v/>
      </c>
      <c r="X32" s="418" t="str">
        <f t="shared" si="10"/>
        <v/>
      </c>
      <c r="Y32" s="424" t="str">
        <f t="shared" si="11"/>
        <v/>
      </c>
      <c r="Z32" s="418" t="str">
        <f t="shared" si="12"/>
        <v/>
      </c>
      <c r="AA32" s="424" t="str">
        <f t="shared" si="13"/>
        <v/>
      </c>
      <c r="AB32" s="424" t="str">
        <f t="shared" si="14"/>
        <v/>
      </c>
      <c r="AC32" s="424" t="str">
        <f t="shared" si="13"/>
        <v/>
      </c>
      <c r="AD32" s="454"/>
      <c r="AE32" s="524" t="str">
        <f t="shared" si="15"/>
        <v/>
      </c>
      <c r="AF32" s="476"/>
      <c r="AG32" s="1182" t="str" cm="1">
        <f t="array" ref="AG32">IF(OR(AE32="",N32=""),"",_xlfn.IFS(
ROUND(IFERROR(VALUE(TRIM(SUBSTITUTE(AE32,CHAR(160),""))),0),2)&gt;
ROUND(IFERROR(VALUE(TRIM(SUBSTITUTE(N32,CHAR(160),""))),0),2),
"KO : Le montant retenu est supérieur au montant présenté. Merci de revoir la ligne de contributions ou plafonner son montant.",
ROUND(IFERROR(VALUE(TRIM(SUBSTITUTE(N32,CHAR(160),""))),0),2)=0,
"",
ROUND(IFERROR(VALUE(TRIM(SUBSTITUTE(AE32,CHAR(160),""))),0),2)=
ROUND(IFERROR(VALUE(TRIM(SUBSTITUTE(N32,CHAR(160),""))),0),2),
"OK",
ROUND(IFERROR(VALUE(TRIM(SUBSTITUTE(AE32,CHAR(160),""))),0),2)=0,
"Attention : Montant présenté entièrement rejeté.",
ROUND(IFERROR(VALUE(TRIM(SUBSTITUTE(AE32,CHAR(160),""))),0),2)&lt;
ROUND(IFERROR(VALUE(TRIM(SUBSTITUTE(N32,CHAR(160),""))),0),2),
"Attention : Montant présenté partiellement rejeté.",
TRUE,""
))</f>
        <v/>
      </c>
      <c r="AH32" s="549" t="str">
        <f t="shared" si="16"/>
        <v/>
      </c>
      <c r="AK32" s="324"/>
      <c r="AL32" s="324"/>
      <c r="AM32" s="324"/>
    </row>
    <row r="33" spans="2:39" ht="15.95">
      <c r="B33" s="531">
        <v>25</v>
      </c>
      <c r="C33" s="119"/>
      <c r="D33" s="11"/>
      <c r="E33" s="11"/>
      <c r="F33" s="22"/>
      <c r="G33" s="509"/>
      <c r="H33" s="511"/>
      <c r="I33" s="424" t="str">
        <f t="shared" si="2"/>
        <v/>
      </c>
      <c r="J33" s="417"/>
      <c r="K33" s="424" t="str">
        <f t="shared" si="17"/>
        <v/>
      </c>
      <c r="L33" s="417"/>
      <c r="M33" s="424" t="str">
        <f t="shared" si="3"/>
        <v/>
      </c>
      <c r="N33" s="424" t="str">
        <f t="shared" si="4"/>
        <v/>
      </c>
      <c r="O33" s="513"/>
      <c r="P33" s="534"/>
      <c r="Q33" s="1415" t="str">
        <f t="shared" si="5"/>
        <v/>
      </c>
      <c r="R33" s="57"/>
      <c r="S33" s="436" t="str">
        <f t="shared" si="6"/>
        <v/>
      </c>
      <c r="T33" s="418" t="str">
        <f t="shared" si="7"/>
        <v/>
      </c>
      <c r="U33" s="424" t="str">
        <f t="shared" si="1"/>
        <v/>
      </c>
      <c r="V33" s="418" t="str">
        <f t="shared" si="8"/>
        <v/>
      </c>
      <c r="W33" s="489" t="str">
        <f t="shared" si="9"/>
        <v/>
      </c>
      <c r="X33" s="418" t="str">
        <f t="shared" si="10"/>
        <v/>
      </c>
      <c r="Y33" s="424" t="str">
        <f t="shared" si="11"/>
        <v/>
      </c>
      <c r="Z33" s="418" t="str">
        <f t="shared" si="12"/>
        <v/>
      </c>
      <c r="AA33" s="424" t="str">
        <f t="shared" si="13"/>
        <v/>
      </c>
      <c r="AB33" s="424" t="str">
        <f t="shared" si="14"/>
        <v/>
      </c>
      <c r="AC33" s="424" t="str">
        <f t="shared" si="13"/>
        <v/>
      </c>
      <c r="AD33" s="454"/>
      <c r="AE33" s="524" t="str">
        <f t="shared" si="15"/>
        <v/>
      </c>
      <c r="AF33" s="476"/>
      <c r="AG33" s="1182" t="str" cm="1">
        <f t="array" ref="AG33">IF(OR(AE33="",N33=""),"",_xlfn.IFS(
ROUND(IFERROR(VALUE(TRIM(SUBSTITUTE(AE33,CHAR(160),""))),0),2)&gt;
ROUND(IFERROR(VALUE(TRIM(SUBSTITUTE(N33,CHAR(160),""))),0),2),
"KO : Le montant retenu est supérieur au montant présenté. Merci de revoir la ligne de contributions ou plafonner son montant.",
ROUND(IFERROR(VALUE(TRIM(SUBSTITUTE(N33,CHAR(160),""))),0),2)=0,
"",
ROUND(IFERROR(VALUE(TRIM(SUBSTITUTE(AE33,CHAR(160),""))),0),2)=
ROUND(IFERROR(VALUE(TRIM(SUBSTITUTE(N33,CHAR(160),""))),0),2),
"OK",
ROUND(IFERROR(VALUE(TRIM(SUBSTITUTE(AE33,CHAR(160),""))),0),2)=0,
"Attention : Montant présenté entièrement rejeté.",
ROUND(IFERROR(VALUE(TRIM(SUBSTITUTE(AE33,CHAR(160),""))),0),2)&lt;
ROUND(IFERROR(VALUE(TRIM(SUBSTITUTE(N33,CHAR(160),""))),0),2),
"Attention : Montant présenté partiellement rejeté.",
TRUE,""
))</f>
        <v/>
      </c>
      <c r="AH33" s="549" t="str">
        <f t="shared" si="16"/>
        <v/>
      </c>
      <c r="AK33" s="324"/>
      <c r="AL33" s="324"/>
      <c r="AM33" s="324"/>
    </row>
    <row r="34" spans="2:39" ht="15.95">
      <c r="B34" s="531">
        <v>26</v>
      </c>
      <c r="C34" s="119"/>
      <c r="D34" s="11"/>
      <c r="E34" s="11"/>
      <c r="F34" s="22"/>
      <c r="G34" s="509"/>
      <c r="H34" s="511"/>
      <c r="I34" s="424" t="str">
        <f t="shared" si="2"/>
        <v/>
      </c>
      <c r="J34" s="417"/>
      <c r="K34" s="424" t="str">
        <f t="shared" si="17"/>
        <v/>
      </c>
      <c r="L34" s="417"/>
      <c r="M34" s="424" t="str">
        <f t="shared" si="3"/>
        <v/>
      </c>
      <c r="N34" s="424" t="str">
        <f t="shared" si="4"/>
        <v/>
      </c>
      <c r="O34" s="513"/>
      <c r="P34" s="534"/>
      <c r="Q34" s="1415" t="str">
        <f t="shared" si="5"/>
        <v/>
      </c>
      <c r="R34" s="57"/>
      <c r="S34" s="436" t="str">
        <f t="shared" si="6"/>
        <v/>
      </c>
      <c r="T34" s="418" t="str">
        <f t="shared" si="7"/>
        <v/>
      </c>
      <c r="U34" s="424" t="str">
        <f t="shared" si="1"/>
        <v/>
      </c>
      <c r="V34" s="418" t="str">
        <f t="shared" si="8"/>
        <v/>
      </c>
      <c r="W34" s="489" t="str">
        <f t="shared" si="9"/>
        <v/>
      </c>
      <c r="X34" s="418" t="str">
        <f t="shared" si="10"/>
        <v/>
      </c>
      <c r="Y34" s="424" t="str">
        <f t="shared" si="11"/>
        <v/>
      </c>
      <c r="Z34" s="418" t="str">
        <f t="shared" si="12"/>
        <v/>
      </c>
      <c r="AA34" s="424" t="str">
        <f t="shared" si="13"/>
        <v/>
      </c>
      <c r="AB34" s="424" t="str">
        <f t="shared" si="14"/>
        <v/>
      </c>
      <c r="AC34" s="424" t="str">
        <f t="shared" si="13"/>
        <v/>
      </c>
      <c r="AD34" s="454"/>
      <c r="AE34" s="524" t="str">
        <f t="shared" si="15"/>
        <v/>
      </c>
      <c r="AF34" s="476"/>
      <c r="AG34" s="1182" t="str" cm="1">
        <f t="array" ref="AG34">IF(OR(AE34="",N34=""),"",_xlfn.IFS(
ROUND(IFERROR(VALUE(TRIM(SUBSTITUTE(AE34,CHAR(160),""))),0),2)&gt;
ROUND(IFERROR(VALUE(TRIM(SUBSTITUTE(N34,CHAR(160),""))),0),2),
"KO : Le montant retenu est supérieur au montant présenté. Merci de revoir la ligne de contributions ou plafonner son montant.",
ROUND(IFERROR(VALUE(TRIM(SUBSTITUTE(N34,CHAR(160),""))),0),2)=0,
"",
ROUND(IFERROR(VALUE(TRIM(SUBSTITUTE(AE34,CHAR(160),""))),0),2)=
ROUND(IFERROR(VALUE(TRIM(SUBSTITUTE(N34,CHAR(160),""))),0),2),
"OK",
ROUND(IFERROR(VALUE(TRIM(SUBSTITUTE(AE34,CHAR(160),""))),0),2)=0,
"Attention : Montant présenté entièrement rejeté.",
ROUND(IFERROR(VALUE(TRIM(SUBSTITUTE(AE34,CHAR(160),""))),0),2)&lt;
ROUND(IFERROR(VALUE(TRIM(SUBSTITUTE(N34,CHAR(160),""))),0),2),
"Attention : Montant présenté partiellement rejeté.",
TRUE,""
))</f>
        <v/>
      </c>
      <c r="AH34" s="549" t="str">
        <f t="shared" si="16"/>
        <v/>
      </c>
      <c r="AK34" s="324"/>
      <c r="AL34" s="324"/>
      <c r="AM34" s="324"/>
    </row>
    <row r="35" spans="2:39" ht="15.95">
      <c r="B35" s="531">
        <v>27</v>
      </c>
      <c r="C35" s="119"/>
      <c r="D35" s="11"/>
      <c r="E35" s="11"/>
      <c r="F35" s="22"/>
      <c r="G35" s="509"/>
      <c r="H35" s="511"/>
      <c r="I35" s="424" t="str">
        <f t="shared" si="2"/>
        <v/>
      </c>
      <c r="J35" s="417"/>
      <c r="K35" s="424" t="str">
        <f t="shared" si="17"/>
        <v/>
      </c>
      <c r="L35" s="417"/>
      <c r="M35" s="424" t="str">
        <f t="shared" si="3"/>
        <v/>
      </c>
      <c r="N35" s="424" t="str">
        <f t="shared" si="4"/>
        <v/>
      </c>
      <c r="O35" s="513"/>
      <c r="P35" s="534"/>
      <c r="Q35" s="1415" t="str">
        <f t="shared" si="5"/>
        <v/>
      </c>
      <c r="R35" s="57"/>
      <c r="S35" s="436" t="str">
        <f t="shared" si="6"/>
        <v/>
      </c>
      <c r="T35" s="418" t="str">
        <f t="shared" si="7"/>
        <v/>
      </c>
      <c r="U35" s="424" t="str">
        <f t="shared" si="1"/>
        <v/>
      </c>
      <c r="V35" s="418" t="str">
        <f t="shared" si="8"/>
        <v/>
      </c>
      <c r="W35" s="489" t="str">
        <f t="shared" si="9"/>
        <v/>
      </c>
      <c r="X35" s="418" t="str">
        <f t="shared" si="10"/>
        <v/>
      </c>
      <c r="Y35" s="424" t="str">
        <f t="shared" si="11"/>
        <v/>
      </c>
      <c r="Z35" s="418" t="str">
        <f t="shared" si="12"/>
        <v/>
      </c>
      <c r="AA35" s="424" t="str">
        <f t="shared" si="13"/>
        <v/>
      </c>
      <c r="AB35" s="424" t="str">
        <f t="shared" si="14"/>
        <v/>
      </c>
      <c r="AC35" s="424" t="str">
        <f t="shared" si="13"/>
        <v/>
      </c>
      <c r="AD35" s="454"/>
      <c r="AE35" s="524" t="str">
        <f t="shared" si="15"/>
        <v/>
      </c>
      <c r="AF35" s="476"/>
      <c r="AG35" s="1182" t="str" cm="1">
        <f t="array" ref="AG35">IF(OR(AE35="",N35=""),"",_xlfn.IFS(
ROUND(IFERROR(VALUE(TRIM(SUBSTITUTE(AE35,CHAR(160),""))),0),2)&gt;
ROUND(IFERROR(VALUE(TRIM(SUBSTITUTE(N35,CHAR(160),""))),0),2),
"KO : Le montant retenu est supérieur au montant présenté. Merci de revoir la ligne de contributions ou plafonner son montant.",
ROUND(IFERROR(VALUE(TRIM(SUBSTITUTE(N35,CHAR(160),""))),0),2)=0,
"",
ROUND(IFERROR(VALUE(TRIM(SUBSTITUTE(AE35,CHAR(160),""))),0),2)=
ROUND(IFERROR(VALUE(TRIM(SUBSTITUTE(N35,CHAR(160),""))),0),2),
"OK",
ROUND(IFERROR(VALUE(TRIM(SUBSTITUTE(AE35,CHAR(160),""))),0),2)=0,
"Attention : Montant présenté entièrement rejeté.",
ROUND(IFERROR(VALUE(TRIM(SUBSTITUTE(AE35,CHAR(160),""))),0),2)&lt;
ROUND(IFERROR(VALUE(TRIM(SUBSTITUTE(N35,CHAR(160),""))),0),2),
"Attention : Montant présenté partiellement rejeté.",
TRUE,""
))</f>
        <v/>
      </c>
      <c r="AH35" s="549" t="str">
        <f t="shared" si="16"/>
        <v/>
      </c>
      <c r="AK35" s="324"/>
      <c r="AL35" s="324"/>
      <c r="AM35" s="324"/>
    </row>
    <row r="36" spans="2:39" ht="15.95">
      <c r="B36" s="531">
        <v>28</v>
      </c>
      <c r="C36" s="119"/>
      <c r="D36" s="11"/>
      <c r="E36" s="11"/>
      <c r="F36" s="22"/>
      <c r="G36" s="509"/>
      <c r="H36" s="511"/>
      <c r="I36" s="424" t="str">
        <f t="shared" si="2"/>
        <v/>
      </c>
      <c r="J36" s="417"/>
      <c r="K36" s="424" t="str">
        <f t="shared" si="17"/>
        <v/>
      </c>
      <c r="L36" s="417"/>
      <c r="M36" s="424" t="str">
        <f t="shared" si="3"/>
        <v/>
      </c>
      <c r="N36" s="424" t="str">
        <f t="shared" si="4"/>
        <v/>
      </c>
      <c r="O36" s="513"/>
      <c r="P36" s="534"/>
      <c r="Q36" s="1415" t="str">
        <f t="shared" si="5"/>
        <v/>
      </c>
      <c r="R36" s="57"/>
      <c r="S36" s="436" t="str">
        <f t="shared" si="6"/>
        <v/>
      </c>
      <c r="T36" s="418" t="str">
        <f t="shared" si="7"/>
        <v/>
      </c>
      <c r="U36" s="424" t="str">
        <f t="shared" si="1"/>
        <v/>
      </c>
      <c r="V36" s="418" t="str">
        <f t="shared" si="8"/>
        <v/>
      </c>
      <c r="W36" s="489" t="str">
        <f t="shared" si="9"/>
        <v/>
      </c>
      <c r="X36" s="418" t="str">
        <f t="shared" si="10"/>
        <v/>
      </c>
      <c r="Y36" s="424" t="str">
        <f t="shared" si="11"/>
        <v/>
      </c>
      <c r="Z36" s="418" t="str">
        <f t="shared" si="12"/>
        <v/>
      </c>
      <c r="AA36" s="424" t="str">
        <f t="shared" si="13"/>
        <v/>
      </c>
      <c r="AB36" s="424" t="str">
        <f t="shared" si="14"/>
        <v/>
      </c>
      <c r="AC36" s="424" t="str">
        <f t="shared" si="13"/>
        <v/>
      </c>
      <c r="AD36" s="454"/>
      <c r="AE36" s="524" t="str">
        <f t="shared" si="15"/>
        <v/>
      </c>
      <c r="AF36" s="476"/>
      <c r="AG36" s="1182" t="str" cm="1">
        <f t="array" ref="AG36">IF(OR(AE36="",N36=""),"",_xlfn.IFS(
ROUND(IFERROR(VALUE(TRIM(SUBSTITUTE(AE36,CHAR(160),""))),0),2)&gt;
ROUND(IFERROR(VALUE(TRIM(SUBSTITUTE(N36,CHAR(160),""))),0),2),
"KO : Le montant retenu est supérieur au montant présenté. Merci de revoir la ligne de contributions ou plafonner son montant.",
ROUND(IFERROR(VALUE(TRIM(SUBSTITUTE(N36,CHAR(160),""))),0),2)=0,
"",
ROUND(IFERROR(VALUE(TRIM(SUBSTITUTE(AE36,CHAR(160),""))),0),2)=
ROUND(IFERROR(VALUE(TRIM(SUBSTITUTE(N36,CHAR(160),""))),0),2),
"OK",
ROUND(IFERROR(VALUE(TRIM(SUBSTITUTE(AE36,CHAR(160),""))),0),2)=0,
"Attention : Montant présenté entièrement rejeté.",
ROUND(IFERROR(VALUE(TRIM(SUBSTITUTE(AE36,CHAR(160),""))),0),2)&lt;
ROUND(IFERROR(VALUE(TRIM(SUBSTITUTE(N36,CHAR(160),""))),0),2),
"Attention : Montant présenté partiellement rejeté.",
TRUE,""
))</f>
        <v/>
      </c>
      <c r="AH36" s="549" t="str">
        <f t="shared" si="16"/>
        <v/>
      </c>
    </row>
    <row r="37" spans="2:39" ht="15.95">
      <c r="B37" s="531">
        <v>29</v>
      </c>
      <c r="C37" s="119"/>
      <c r="D37" s="11"/>
      <c r="E37" s="11"/>
      <c r="F37" s="22"/>
      <c r="G37" s="509"/>
      <c r="H37" s="511"/>
      <c r="I37" s="424" t="str">
        <f t="shared" si="2"/>
        <v/>
      </c>
      <c r="J37" s="417"/>
      <c r="K37" s="424" t="str">
        <f t="shared" si="17"/>
        <v/>
      </c>
      <c r="L37" s="417"/>
      <c r="M37" s="424" t="str">
        <f t="shared" si="3"/>
        <v/>
      </c>
      <c r="N37" s="424" t="str">
        <f t="shared" si="4"/>
        <v/>
      </c>
      <c r="O37" s="513"/>
      <c r="P37" s="534"/>
      <c r="Q37" s="1415" t="str">
        <f t="shared" si="5"/>
        <v/>
      </c>
      <c r="R37" s="57"/>
      <c r="S37" s="436" t="str">
        <f t="shared" si="6"/>
        <v/>
      </c>
      <c r="T37" s="418" t="str">
        <f t="shared" si="7"/>
        <v/>
      </c>
      <c r="U37" s="424" t="str">
        <f t="shared" si="1"/>
        <v/>
      </c>
      <c r="V37" s="418" t="str">
        <f t="shared" si="8"/>
        <v/>
      </c>
      <c r="W37" s="489" t="str">
        <f t="shared" si="9"/>
        <v/>
      </c>
      <c r="X37" s="418" t="str">
        <f t="shared" si="10"/>
        <v/>
      </c>
      <c r="Y37" s="424" t="str">
        <f t="shared" si="11"/>
        <v/>
      </c>
      <c r="Z37" s="418" t="str">
        <f t="shared" si="12"/>
        <v/>
      </c>
      <c r="AA37" s="424" t="str">
        <f t="shared" si="13"/>
        <v/>
      </c>
      <c r="AB37" s="424" t="str">
        <f t="shared" si="14"/>
        <v/>
      </c>
      <c r="AC37" s="424" t="str">
        <f t="shared" si="13"/>
        <v/>
      </c>
      <c r="AD37" s="454"/>
      <c r="AE37" s="524" t="str">
        <f t="shared" si="15"/>
        <v/>
      </c>
      <c r="AF37" s="476"/>
      <c r="AG37" s="1182" t="str" cm="1">
        <f t="array" ref="AG37">IF(OR(AE37="",N37=""),"",_xlfn.IFS(
ROUND(IFERROR(VALUE(TRIM(SUBSTITUTE(AE37,CHAR(160),""))),0),2)&gt;
ROUND(IFERROR(VALUE(TRIM(SUBSTITUTE(N37,CHAR(160),""))),0),2),
"KO : Le montant retenu est supérieur au montant présenté. Merci de revoir la ligne de contributions ou plafonner son montant.",
ROUND(IFERROR(VALUE(TRIM(SUBSTITUTE(N37,CHAR(160),""))),0),2)=0,
"",
ROUND(IFERROR(VALUE(TRIM(SUBSTITUTE(AE37,CHAR(160),""))),0),2)=
ROUND(IFERROR(VALUE(TRIM(SUBSTITUTE(N37,CHAR(160),""))),0),2),
"OK",
ROUND(IFERROR(VALUE(TRIM(SUBSTITUTE(AE37,CHAR(160),""))),0),2)=0,
"Attention : Montant présenté entièrement rejeté.",
ROUND(IFERROR(VALUE(TRIM(SUBSTITUTE(AE37,CHAR(160),""))),0),2)&lt;
ROUND(IFERROR(VALUE(TRIM(SUBSTITUTE(N37,CHAR(160),""))),0),2),
"Attention : Montant présenté partiellement rejeté.",
TRUE,""
))</f>
        <v/>
      </c>
      <c r="AH37" s="549" t="str">
        <f t="shared" si="16"/>
        <v/>
      </c>
    </row>
    <row r="38" spans="2:39" ht="15.95">
      <c r="B38" s="531">
        <v>30</v>
      </c>
      <c r="C38" s="119"/>
      <c r="D38" s="11"/>
      <c r="E38" s="11"/>
      <c r="F38" s="22"/>
      <c r="G38" s="509"/>
      <c r="H38" s="511"/>
      <c r="I38" s="424" t="str">
        <f t="shared" si="2"/>
        <v/>
      </c>
      <c r="J38" s="417"/>
      <c r="K38" s="424" t="str">
        <f t="shared" si="17"/>
        <v/>
      </c>
      <c r="L38" s="417"/>
      <c r="M38" s="424" t="str">
        <f t="shared" si="3"/>
        <v/>
      </c>
      <c r="N38" s="424" t="str">
        <f t="shared" si="4"/>
        <v/>
      </c>
      <c r="O38" s="513"/>
      <c r="P38" s="534"/>
      <c r="Q38" s="1415" t="str">
        <f t="shared" si="5"/>
        <v/>
      </c>
      <c r="R38" s="57"/>
      <c r="S38" s="436" t="str">
        <f t="shared" si="6"/>
        <v/>
      </c>
      <c r="T38" s="418" t="str">
        <f t="shared" si="7"/>
        <v/>
      </c>
      <c r="U38" s="424" t="str">
        <f t="shared" si="1"/>
        <v/>
      </c>
      <c r="V38" s="418" t="str">
        <f t="shared" si="8"/>
        <v/>
      </c>
      <c r="W38" s="489" t="str">
        <f t="shared" si="9"/>
        <v/>
      </c>
      <c r="X38" s="418" t="str">
        <f t="shared" si="10"/>
        <v/>
      </c>
      <c r="Y38" s="424" t="str">
        <f t="shared" si="11"/>
        <v/>
      </c>
      <c r="Z38" s="418" t="str">
        <f t="shared" si="12"/>
        <v/>
      </c>
      <c r="AA38" s="424" t="str">
        <f t="shared" si="13"/>
        <v/>
      </c>
      <c r="AB38" s="424" t="str">
        <f t="shared" si="14"/>
        <v/>
      </c>
      <c r="AC38" s="424" t="str">
        <f t="shared" si="13"/>
        <v/>
      </c>
      <c r="AD38" s="454"/>
      <c r="AE38" s="524" t="str">
        <f t="shared" si="15"/>
        <v/>
      </c>
      <c r="AF38" s="476"/>
      <c r="AG38" s="1182" t="str" cm="1">
        <f t="array" ref="AG38">IF(OR(AE38="",N38=""),"",_xlfn.IFS(
ROUND(IFERROR(VALUE(TRIM(SUBSTITUTE(AE38,CHAR(160),""))),0),2)&gt;
ROUND(IFERROR(VALUE(TRIM(SUBSTITUTE(N38,CHAR(160),""))),0),2),
"KO : Le montant retenu est supérieur au montant présenté. Merci de revoir la ligne de contributions ou plafonner son montant.",
ROUND(IFERROR(VALUE(TRIM(SUBSTITUTE(N38,CHAR(160),""))),0),2)=0,
"",
ROUND(IFERROR(VALUE(TRIM(SUBSTITUTE(AE38,CHAR(160),""))),0),2)=
ROUND(IFERROR(VALUE(TRIM(SUBSTITUTE(N38,CHAR(160),""))),0),2),
"OK",
ROUND(IFERROR(VALUE(TRIM(SUBSTITUTE(AE38,CHAR(160),""))),0),2)=0,
"Attention : Montant présenté entièrement rejeté.",
ROUND(IFERROR(VALUE(TRIM(SUBSTITUTE(AE38,CHAR(160),""))),0),2)&lt;
ROUND(IFERROR(VALUE(TRIM(SUBSTITUTE(N38,CHAR(160),""))),0),2),
"Attention : Montant présenté partiellement rejeté.",
TRUE,""
))</f>
        <v/>
      </c>
      <c r="AH38" s="549" t="str">
        <f t="shared" si="16"/>
        <v/>
      </c>
    </row>
    <row r="39" spans="2:39" ht="15.95">
      <c r="B39" s="531">
        <v>31</v>
      </c>
      <c r="C39" s="119"/>
      <c r="D39" s="11"/>
      <c r="E39" s="11"/>
      <c r="F39" s="22"/>
      <c r="G39" s="509"/>
      <c r="H39" s="511"/>
      <c r="I39" s="424" t="str">
        <f t="shared" si="2"/>
        <v/>
      </c>
      <c r="J39" s="417"/>
      <c r="K39" s="424" t="str">
        <f t="shared" si="17"/>
        <v/>
      </c>
      <c r="L39" s="417"/>
      <c r="M39" s="424" t="str">
        <f t="shared" si="3"/>
        <v/>
      </c>
      <c r="N39" s="424" t="str">
        <f t="shared" si="4"/>
        <v/>
      </c>
      <c r="O39" s="513"/>
      <c r="P39" s="534"/>
      <c r="Q39" s="1415" t="str">
        <f t="shared" si="5"/>
        <v/>
      </c>
      <c r="R39" s="57"/>
      <c r="S39" s="436" t="str">
        <f t="shared" si="6"/>
        <v/>
      </c>
      <c r="T39" s="418" t="str">
        <f t="shared" si="7"/>
        <v/>
      </c>
      <c r="U39" s="424" t="str">
        <f t="shared" si="1"/>
        <v/>
      </c>
      <c r="V39" s="418" t="str">
        <f t="shared" si="8"/>
        <v/>
      </c>
      <c r="W39" s="489" t="str">
        <f t="shared" si="9"/>
        <v/>
      </c>
      <c r="X39" s="418" t="str">
        <f t="shared" si="10"/>
        <v/>
      </c>
      <c r="Y39" s="424" t="str">
        <f t="shared" si="11"/>
        <v/>
      </c>
      <c r="Z39" s="418" t="str">
        <f t="shared" si="12"/>
        <v/>
      </c>
      <c r="AA39" s="424" t="str">
        <f t="shared" si="13"/>
        <v/>
      </c>
      <c r="AB39" s="424" t="str">
        <f t="shared" si="14"/>
        <v/>
      </c>
      <c r="AC39" s="424" t="str">
        <f t="shared" si="13"/>
        <v/>
      </c>
      <c r="AD39" s="454"/>
      <c r="AE39" s="524" t="str">
        <f t="shared" si="15"/>
        <v/>
      </c>
      <c r="AF39" s="476"/>
      <c r="AG39" s="1182" t="str" cm="1">
        <f t="array" ref="AG39">IF(OR(AE39="",N39=""),"",_xlfn.IFS(
ROUND(IFERROR(VALUE(TRIM(SUBSTITUTE(AE39,CHAR(160),""))),0),2)&gt;
ROUND(IFERROR(VALUE(TRIM(SUBSTITUTE(N39,CHAR(160),""))),0),2),
"KO : Le montant retenu est supérieur au montant présenté. Merci de revoir la ligne de contributions ou plafonner son montant.",
ROUND(IFERROR(VALUE(TRIM(SUBSTITUTE(N39,CHAR(160),""))),0),2)=0,
"",
ROUND(IFERROR(VALUE(TRIM(SUBSTITUTE(AE39,CHAR(160),""))),0),2)=
ROUND(IFERROR(VALUE(TRIM(SUBSTITUTE(N39,CHAR(160),""))),0),2),
"OK",
ROUND(IFERROR(VALUE(TRIM(SUBSTITUTE(AE39,CHAR(160),""))),0),2)=0,
"Attention : Montant présenté entièrement rejeté.",
ROUND(IFERROR(VALUE(TRIM(SUBSTITUTE(AE39,CHAR(160),""))),0),2)&lt;
ROUND(IFERROR(VALUE(TRIM(SUBSTITUTE(N39,CHAR(160),""))),0),2),
"Attention : Montant présenté partiellement rejeté.",
TRUE,""
))</f>
        <v/>
      </c>
      <c r="AH39" s="549" t="str">
        <f t="shared" si="16"/>
        <v/>
      </c>
    </row>
    <row r="40" spans="2:39" ht="15.95">
      <c r="B40" s="531">
        <v>32</v>
      </c>
      <c r="C40" s="119"/>
      <c r="D40" s="11"/>
      <c r="E40" s="11"/>
      <c r="F40" s="22"/>
      <c r="G40" s="509"/>
      <c r="H40" s="511"/>
      <c r="I40" s="424" t="str">
        <f t="shared" si="2"/>
        <v/>
      </c>
      <c r="J40" s="417"/>
      <c r="K40" s="424" t="str">
        <f t="shared" si="17"/>
        <v/>
      </c>
      <c r="L40" s="417"/>
      <c r="M40" s="424" t="str">
        <f t="shared" si="3"/>
        <v/>
      </c>
      <c r="N40" s="424" t="str">
        <f t="shared" si="4"/>
        <v/>
      </c>
      <c r="O40" s="513"/>
      <c r="P40" s="534"/>
      <c r="Q40" s="1415" t="str">
        <f t="shared" si="5"/>
        <v/>
      </c>
      <c r="R40" s="57"/>
      <c r="S40" s="436" t="str">
        <f t="shared" si="6"/>
        <v/>
      </c>
      <c r="T40" s="418" t="str">
        <f t="shared" si="7"/>
        <v/>
      </c>
      <c r="U40" s="424" t="str">
        <f t="shared" si="1"/>
        <v/>
      </c>
      <c r="V40" s="418" t="str">
        <f t="shared" si="8"/>
        <v/>
      </c>
      <c r="W40" s="489" t="str">
        <f t="shared" si="9"/>
        <v/>
      </c>
      <c r="X40" s="418" t="str">
        <f t="shared" si="10"/>
        <v/>
      </c>
      <c r="Y40" s="424" t="str">
        <f t="shared" si="11"/>
        <v/>
      </c>
      <c r="Z40" s="418" t="str">
        <f t="shared" si="12"/>
        <v/>
      </c>
      <c r="AA40" s="424" t="str">
        <f t="shared" si="13"/>
        <v/>
      </c>
      <c r="AB40" s="424" t="str">
        <f t="shared" si="14"/>
        <v/>
      </c>
      <c r="AC40" s="424" t="str">
        <f t="shared" si="13"/>
        <v/>
      </c>
      <c r="AD40" s="454"/>
      <c r="AE40" s="524" t="str">
        <f t="shared" si="15"/>
        <v/>
      </c>
      <c r="AF40" s="476"/>
      <c r="AG40" s="1182" t="str" cm="1">
        <f t="array" ref="AG40">IF(OR(AE40="",N40=""),"",_xlfn.IFS(
ROUND(IFERROR(VALUE(TRIM(SUBSTITUTE(AE40,CHAR(160),""))),0),2)&gt;
ROUND(IFERROR(VALUE(TRIM(SUBSTITUTE(N40,CHAR(160),""))),0),2),
"KO : Le montant retenu est supérieur au montant présenté. Merci de revoir la ligne de contributions ou plafonner son montant.",
ROUND(IFERROR(VALUE(TRIM(SUBSTITUTE(N40,CHAR(160),""))),0),2)=0,
"",
ROUND(IFERROR(VALUE(TRIM(SUBSTITUTE(AE40,CHAR(160),""))),0),2)=
ROUND(IFERROR(VALUE(TRIM(SUBSTITUTE(N40,CHAR(160),""))),0),2),
"OK",
ROUND(IFERROR(VALUE(TRIM(SUBSTITUTE(AE40,CHAR(160),""))),0),2)=0,
"Attention : Montant présenté entièrement rejeté.",
ROUND(IFERROR(VALUE(TRIM(SUBSTITUTE(AE40,CHAR(160),""))),0),2)&lt;
ROUND(IFERROR(VALUE(TRIM(SUBSTITUTE(N40,CHAR(160),""))),0),2),
"Attention : Montant présenté partiellement rejeté.",
TRUE,""
))</f>
        <v/>
      </c>
      <c r="AH40" s="549" t="str">
        <f t="shared" si="16"/>
        <v/>
      </c>
    </row>
    <row r="41" spans="2:39" ht="15.95">
      <c r="B41" s="531">
        <v>33</v>
      </c>
      <c r="C41" s="119"/>
      <c r="D41" s="11"/>
      <c r="E41" s="11"/>
      <c r="F41" s="22"/>
      <c r="G41" s="509"/>
      <c r="H41" s="511"/>
      <c r="I41" s="424" t="str">
        <f t="shared" si="2"/>
        <v/>
      </c>
      <c r="J41" s="417"/>
      <c r="K41" s="424" t="str">
        <f t="shared" si="17"/>
        <v/>
      </c>
      <c r="L41" s="417"/>
      <c r="M41" s="424" t="str">
        <f t="shared" si="3"/>
        <v/>
      </c>
      <c r="N41" s="424" t="str">
        <f t="shared" si="4"/>
        <v/>
      </c>
      <c r="O41" s="513"/>
      <c r="P41" s="534"/>
      <c r="Q41" s="1415" t="str">
        <f t="shared" si="5"/>
        <v/>
      </c>
      <c r="R41" s="57"/>
      <c r="S41" s="436" t="str">
        <f t="shared" si="6"/>
        <v/>
      </c>
      <c r="T41" s="418" t="str">
        <f t="shared" si="7"/>
        <v/>
      </c>
      <c r="U41" s="424" t="str">
        <f t="shared" si="1"/>
        <v/>
      </c>
      <c r="V41" s="418" t="str">
        <f t="shared" si="8"/>
        <v/>
      </c>
      <c r="W41" s="489" t="str">
        <f t="shared" si="9"/>
        <v/>
      </c>
      <c r="X41" s="418" t="str">
        <f t="shared" si="10"/>
        <v/>
      </c>
      <c r="Y41" s="424" t="str">
        <f t="shared" si="11"/>
        <v/>
      </c>
      <c r="Z41" s="418" t="str">
        <f t="shared" si="12"/>
        <v/>
      </c>
      <c r="AA41" s="424" t="str">
        <f t="shared" si="13"/>
        <v/>
      </c>
      <c r="AB41" s="424" t="str">
        <f t="shared" si="14"/>
        <v/>
      </c>
      <c r="AC41" s="424" t="str">
        <f t="shared" si="13"/>
        <v/>
      </c>
      <c r="AD41" s="454"/>
      <c r="AE41" s="524" t="str">
        <f t="shared" si="15"/>
        <v/>
      </c>
      <c r="AF41" s="476"/>
      <c r="AG41" s="1182" t="str" cm="1">
        <f t="array" ref="AG41">IF(OR(AE41="",N41=""),"",_xlfn.IFS(
ROUND(IFERROR(VALUE(TRIM(SUBSTITUTE(AE41,CHAR(160),""))),0),2)&gt;
ROUND(IFERROR(VALUE(TRIM(SUBSTITUTE(N41,CHAR(160),""))),0),2),
"KO : Le montant retenu est supérieur au montant présenté. Merci de revoir la ligne de contributions ou plafonner son montant.",
ROUND(IFERROR(VALUE(TRIM(SUBSTITUTE(N41,CHAR(160),""))),0),2)=0,
"",
ROUND(IFERROR(VALUE(TRIM(SUBSTITUTE(AE41,CHAR(160),""))),0),2)=
ROUND(IFERROR(VALUE(TRIM(SUBSTITUTE(N41,CHAR(160),""))),0),2),
"OK",
ROUND(IFERROR(VALUE(TRIM(SUBSTITUTE(AE41,CHAR(160),""))),0),2)=0,
"Attention : Montant présenté entièrement rejeté.",
ROUND(IFERROR(VALUE(TRIM(SUBSTITUTE(AE41,CHAR(160),""))),0),2)&lt;
ROUND(IFERROR(VALUE(TRIM(SUBSTITUTE(N41,CHAR(160),""))),0),2),
"Attention : Montant présenté partiellement rejeté.",
TRUE,""
))</f>
        <v/>
      </c>
      <c r="AH41" s="549" t="str">
        <f t="shared" si="16"/>
        <v/>
      </c>
    </row>
    <row r="42" spans="2:39" ht="15.95">
      <c r="B42" s="531">
        <v>34</v>
      </c>
      <c r="C42" s="119"/>
      <c r="D42" s="11"/>
      <c r="E42" s="11"/>
      <c r="F42" s="22"/>
      <c r="G42" s="509"/>
      <c r="H42" s="511"/>
      <c r="I42" s="424" t="str">
        <f t="shared" si="2"/>
        <v/>
      </c>
      <c r="J42" s="417"/>
      <c r="K42" s="424" t="str">
        <f t="shared" si="17"/>
        <v/>
      </c>
      <c r="L42" s="417"/>
      <c r="M42" s="424" t="str">
        <f t="shared" si="3"/>
        <v/>
      </c>
      <c r="N42" s="424" t="str">
        <f t="shared" si="4"/>
        <v/>
      </c>
      <c r="O42" s="513"/>
      <c r="P42" s="534"/>
      <c r="Q42" s="1415" t="str">
        <f t="shared" si="5"/>
        <v/>
      </c>
      <c r="R42" s="57"/>
      <c r="S42" s="436" t="str">
        <f t="shared" si="6"/>
        <v/>
      </c>
      <c r="T42" s="418" t="str">
        <f t="shared" si="7"/>
        <v/>
      </c>
      <c r="U42" s="424" t="str">
        <f t="shared" si="1"/>
        <v/>
      </c>
      <c r="V42" s="418" t="str">
        <f t="shared" si="8"/>
        <v/>
      </c>
      <c r="W42" s="489" t="str">
        <f t="shared" si="9"/>
        <v/>
      </c>
      <c r="X42" s="418" t="str">
        <f t="shared" si="10"/>
        <v/>
      </c>
      <c r="Y42" s="424" t="str">
        <f t="shared" si="11"/>
        <v/>
      </c>
      <c r="Z42" s="418" t="str">
        <f t="shared" si="12"/>
        <v/>
      </c>
      <c r="AA42" s="424" t="str">
        <f t="shared" si="13"/>
        <v/>
      </c>
      <c r="AB42" s="424" t="str">
        <f t="shared" si="14"/>
        <v/>
      </c>
      <c r="AC42" s="424" t="str">
        <f t="shared" si="13"/>
        <v/>
      </c>
      <c r="AD42" s="454"/>
      <c r="AE42" s="524" t="str">
        <f t="shared" si="15"/>
        <v/>
      </c>
      <c r="AF42" s="476"/>
      <c r="AG42" s="1182" t="str" cm="1">
        <f t="array" ref="AG42">IF(OR(AE42="",N42=""),"",_xlfn.IFS(
ROUND(IFERROR(VALUE(TRIM(SUBSTITUTE(AE42,CHAR(160),""))),0),2)&gt;
ROUND(IFERROR(VALUE(TRIM(SUBSTITUTE(N42,CHAR(160),""))),0),2),
"KO : Le montant retenu est supérieur au montant présenté. Merci de revoir la ligne de contributions ou plafonner son montant.",
ROUND(IFERROR(VALUE(TRIM(SUBSTITUTE(N42,CHAR(160),""))),0),2)=0,
"",
ROUND(IFERROR(VALUE(TRIM(SUBSTITUTE(AE42,CHAR(160),""))),0),2)=
ROUND(IFERROR(VALUE(TRIM(SUBSTITUTE(N42,CHAR(160),""))),0),2),
"OK",
ROUND(IFERROR(VALUE(TRIM(SUBSTITUTE(AE42,CHAR(160),""))),0),2)=0,
"Attention : Montant présenté entièrement rejeté.",
ROUND(IFERROR(VALUE(TRIM(SUBSTITUTE(AE42,CHAR(160),""))),0),2)&lt;
ROUND(IFERROR(VALUE(TRIM(SUBSTITUTE(N42,CHAR(160),""))),0),2),
"Attention : Montant présenté partiellement rejeté.",
TRUE,""
))</f>
        <v/>
      </c>
      <c r="AH42" s="549" t="str">
        <f t="shared" si="16"/>
        <v/>
      </c>
    </row>
    <row r="43" spans="2:39" ht="15.95">
      <c r="B43" s="531">
        <v>35</v>
      </c>
      <c r="C43" s="119"/>
      <c r="D43" s="11"/>
      <c r="E43" s="11"/>
      <c r="F43" s="22"/>
      <c r="G43" s="509"/>
      <c r="H43" s="511"/>
      <c r="I43" s="424" t="str">
        <f t="shared" si="2"/>
        <v/>
      </c>
      <c r="J43" s="417"/>
      <c r="K43" s="424" t="str">
        <f t="shared" si="17"/>
        <v/>
      </c>
      <c r="L43" s="417"/>
      <c r="M43" s="424" t="str">
        <f t="shared" si="3"/>
        <v/>
      </c>
      <c r="N43" s="424" t="str">
        <f t="shared" si="4"/>
        <v/>
      </c>
      <c r="O43" s="513"/>
      <c r="P43" s="534"/>
      <c r="Q43" s="1415" t="str">
        <f t="shared" si="5"/>
        <v/>
      </c>
      <c r="R43" s="57"/>
      <c r="S43" s="436" t="str">
        <f t="shared" si="6"/>
        <v/>
      </c>
      <c r="T43" s="418" t="str">
        <f t="shared" si="7"/>
        <v/>
      </c>
      <c r="U43" s="424" t="str">
        <f t="shared" si="1"/>
        <v/>
      </c>
      <c r="V43" s="418" t="str">
        <f t="shared" si="8"/>
        <v/>
      </c>
      <c r="W43" s="489" t="str">
        <f t="shared" si="9"/>
        <v/>
      </c>
      <c r="X43" s="418" t="str">
        <f t="shared" si="10"/>
        <v/>
      </c>
      <c r="Y43" s="424" t="str">
        <f t="shared" si="11"/>
        <v/>
      </c>
      <c r="Z43" s="418" t="str">
        <f t="shared" si="12"/>
        <v/>
      </c>
      <c r="AA43" s="424" t="str">
        <f t="shared" si="13"/>
        <v/>
      </c>
      <c r="AB43" s="424" t="str">
        <f t="shared" si="14"/>
        <v/>
      </c>
      <c r="AC43" s="424" t="str">
        <f t="shared" si="13"/>
        <v/>
      </c>
      <c r="AD43" s="454"/>
      <c r="AE43" s="524" t="str">
        <f t="shared" si="15"/>
        <v/>
      </c>
      <c r="AF43" s="476"/>
      <c r="AG43" s="1182" t="str" cm="1">
        <f t="array" ref="AG43">IF(OR(AE43="",N43=""),"",_xlfn.IFS(
ROUND(IFERROR(VALUE(TRIM(SUBSTITUTE(AE43,CHAR(160),""))),0),2)&gt;
ROUND(IFERROR(VALUE(TRIM(SUBSTITUTE(N43,CHAR(160),""))),0),2),
"KO : Le montant retenu est supérieur au montant présenté. Merci de revoir la ligne de contributions ou plafonner son montant.",
ROUND(IFERROR(VALUE(TRIM(SUBSTITUTE(N43,CHAR(160),""))),0),2)=0,
"",
ROUND(IFERROR(VALUE(TRIM(SUBSTITUTE(AE43,CHAR(160),""))),0),2)=
ROUND(IFERROR(VALUE(TRIM(SUBSTITUTE(N43,CHAR(160),""))),0),2),
"OK",
ROUND(IFERROR(VALUE(TRIM(SUBSTITUTE(AE43,CHAR(160),""))),0),2)=0,
"Attention : Montant présenté entièrement rejeté.",
ROUND(IFERROR(VALUE(TRIM(SUBSTITUTE(AE43,CHAR(160),""))),0),2)&lt;
ROUND(IFERROR(VALUE(TRIM(SUBSTITUTE(N43,CHAR(160),""))),0),2),
"Attention : Montant présenté partiellement rejeté.",
TRUE,""
))</f>
        <v/>
      </c>
      <c r="AH43" s="549" t="str">
        <f t="shared" si="16"/>
        <v/>
      </c>
    </row>
    <row r="44" spans="2:39" ht="15.95">
      <c r="B44" s="531">
        <v>36</v>
      </c>
      <c r="C44" s="119"/>
      <c r="D44" s="11"/>
      <c r="E44" s="11"/>
      <c r="F44" s="22"/>
      <c r="G44" s="509"/>
      <c r="H44" s="511"/>
      <c r="I44" s="424" t="str">
        <f t="shared" si="2"/>
        <v/>
      </c>
      <c r="J44" s="417"/>
      <c r="K44" s="424" t="str">
        <f t="shared" si="17"/>
        <v/>
      </c>
      <c r="L44" s="417"/>
      <c r="M44" s="424" t="str">
        <f t="shared" si="3"/>
        <v/>
      </c>
      <c r="N44" s="424" t="str">
        <f t="shared" si="4"/>
        <v/>
      </c>
      <c r="O44" s="513"/>
      <c r="P44" s="534"/>
      <c r="Q44" s="1415" t="str">
        <f t="shared" si="5"/>
        <v/>
      </c>
      <c r="R44" s="57"/>
      <c r="S44" s="436" t="str">
        <f t="shared" si="6"/>
        <v/>
      </c>
      <c r="T44" s="418" t="str">
        <f t="shared" si="7"/>
        <v/>
      </c>
      <c r="U44" s="424" t="str">
        <f t="shared" si="1"/>
        <v/>
      </c>
      <c r="V44" s="418" t="str">
        <f t="shared" si="8"/>
        <v/>
      </c>
      <c r="W44" s="489" t="str">
        <f t="shared" si="9"/>
        <v/>
      </c>
      <c r="X44" s="418" t="str">
        <f t="shared" si="10"/>
        <v/>
      </c>
      <c r="Y44" s="424" t="str">
        <f t="shared" si="11"/>
        <v/>
      </c>
      <c r="Z44" s="418" t="str">
        <f t="shared" si="12"/>
        <v/>
      </c>
      <c r="AA44" s="424" t="str">
        <f t="shared" si="13"/>
        <v/>
      </c>
      <c r="AB44" s="424" t="str">
        <f t="shared" si="14"/>
        <v/>
      </c>
      <c r="AC44" s="424" t="str">
        <f t="shared" si="13"/>
        <v/>
      </c>
      <c r="AD44" s="454"/>
      <c r="AE44" s="524" t="str">
        <f t="shared" si="15"/>
        <v/>
      </c>
      <c r="AF44" s="476"/>
      <c r="AG44" s="1182" t="str" cm="1">
        <f t="array" ref="AG44">IF(OR(AE44="",N44=""),"",_xlfn.IFS(
ROUND(IFERROR(VALUE(TRIM(SUBSTITUTE(AE44,CHAR(160),""))),0),2)&gt;
ROUND(IFERROR(VALUE(TRIM(SUBSTITUTE(N44,CHAR(160),""))),0),2),
"KO : Le montant retenu est supérieur au montant présenté. Merci de revoir la ligne de contributions ou plafonner son montant.",
ROUND(IFERROR(VALUE(TRIM(SUBSTITUTE(N44,CHAR(160),""))),0),2)=0,
"",
ROUND(IFERROR(VALUE(TRIM(SUBSTITUTE(AE44,CHAR(160),""))),0),2)=
ROUND(IFERROR(VALUE(TRIM(SUBSTITUTE(N44,CHAR(160),""))),0),2),
"OK",
ROUND(IFERROR(VALUE(TRIM(SUBSTITUTE(AE44,CHAR(160),""))),0),2)=0,
"Attention : Montant présenté entièrement rejeté.",
ROUND(IFERROR(VALUE(TRIM(SUBSTITUTE(AE44,CHAR(160),""))),0),2)&lt;
ROUND(IFERROR(VALUE(TRIM(SUBSTITUTE(N44,CHAR(160),""))),0),2),
"Attention : Montant présenté partiellement rejeté.",
TRUE,""
))</f>
        <v/>
      </c>
      <c r="AH44" s="549" t="str">
        <f t="shared" si="16"/>
        <v/>
      </c>
    </row>
    <row r="45" spans="2:39" ht="15.95">
      <c r="B45" s="531">
        <v>37</v>
      </c>
      <c r="C45" s="119"/>
      <c r="D45" s="11"/>
      <c r="E45" s="11"/>
      <c r="F45" s="22"/>
      <c r="G45" s="509"/>
      <c r="H45" s="511"/>
      <c r="I45" s="424" t="str">
        <f t="shared" si="2"/>
        <v/>
      </c>
      <c r="J45" s="417"/>
      <c r="K45" s="424" t="str">
        <f t="shared" si="17"/>
        <v/>
      </c>
      <c r="L45" s="417"/>
      <c r="M45" s="424" t="str">
        <f t="shared" si="3"/>
        <v/>
      </c>
      <c r="N45" s="424" t="str">
        <f t="shared" si="4"/>
        <v/>
      </c>
      <c r="O45" s="513"/>
      <c r="P45" s="534"/>
      <c r="Q45" s="1415" t="str">
        <f t="shared" si="5"/>
        <v/>
      </c>
      <c r="R45" s="57"/>
      <c r="S45" s="436" t="str">
        <f t="shared" si="6"/>
        <v/>
      </c>
      <c r="T45" s="418" t="str">
        <f t="shared" si="7"/>
        <v/>
      </c>
      <c r="U45" s="424" t="str">
        <f t="shared" si="1"/>
        <v/>
      </c>
      <c r="V45" s="418" t="str">
        <f t="shared" si="8"/>
        <v/>
      </c>
      <c r="W45" s="489" t="str">
        <f t="shared" si="9"/>
        <v/>
      </c>
      <c r="X45" s="418" t="str">
        <f t="shared" si="10"/>
        <v/>
      </c>
      <c r="Y45" s="424" t="str">
        <f t="shared" si="11"/>
        <v/>
      </c>
      <c r="Z45" s="418" t="str">
        <f t="shared" si="12"/>
        <v/>
      </c>
      <c r="AA45" s="424" t="str">
        <f t="shared" si="13"/>
        <v/>
      </c>
      <c r="AB45" s="424" t="str">
        <f t="shared" si="14"/>
        <v/>
      </c>
      <c r="AC45" s="424" t="str">
        <f t="shared" si="13"/>
        <v/>
      </c>
      <c r="AD45" s="454"/>
      <c r="AE45" s="524" t="str">
        <f t="shared" si="15"/>
        <v/>
      </c>
      <c r="AF45" s="476"/>
      <c r="AG45" s="1182" t="str" cm="1">
        <f t="array" ref="AG45">IF(OR(AE45="",N45=""),"",_xlfn.IFS(
ROUND(IFERROR(VALUE(TRIM(SUBSTITUTE(AE45,CHAR(160),""))),0),2)&gt;
ROUND(IFERROR(VALUE(TRIM(SUBSTITUTE(N45,CHAR(160),""))),0),2),
"KO : Le montant retenu est supérieur au montant présenté. Merci de revoir la ligne de contributions ou plafonner son montant.",
ROUND(IFERROR(VALUE(TRIM(SUBSTITUTE(N45,CHAR(160),""))),0),2)=0,
"",
ROUND(IFERROR(VALUE(TRIM(SUBSTITUTE(AE45,CHAR(160),""))),0),2)=
ROUND(IFERROR(VALUE(TRIM(SUBSTITUTE(N45,CHAR(160),""))),0),2),
"OK",
ROUND(IFERROR(VALUE(TRIM(SUBSTITUTE(AE45,CHAR(160),""))),0),2)=0,
"Attention : Montant présenté entièrement rejeté.",
ROUND(IFERROR(VALUE(TRIM(SUBSTITUTE(AE45,CHAR(160),""))),0),2)&lt;
ROUND(IFERROR(VALUE(TRIM(SUBSTITUTE(N45,CHAR(160),""))),0),2),
"Attention : Montant présenté partiellement rejeté.",
TRUE,""
))</f>
        <v/>
      </c>
      <c r="AH45" s="549" t="str">
        <f t="shared" si="16"/>
        <v/>
      </c>
    </row>
    <row r="46" spans="2:39" ht="15.95">
      <c r="B46" s="531">
        <v>38</v>
      </c>
      <c r="C46" s="119"/>
      <c r="D46" s="11"/>
      <c r="E46" s="11"/>
      <c r="F46" s="22"/>
      <c r="G46" s="509"/>
      <c r="H46" s="511"/>
      <c r="I46" s="424" t="str">
        <f t="shared" si="2"/>
        <v/>
      </c>
      <c r="J46" s="417"/>
      <c r="K46" s="424" t="str">
        <f t="shared" si="17"/>
        <v/>
      </c>
      <c r="L46" s="417"/>
      <c r="M46" s="424" t="str">
        <f t="shared" si="3"/>
        <v/>
      </c>
      <c r="N46" s="424" t="str">
        <f t="shared" si="4"/>
        <v/>
      </c>
      <c r="O46" s="513"/>
      <c r="P46" s="534"/>
      <c r="Q46" s="1415" t="str">
        <f t="shared" si="5"/>
        <v/>
      </c>
      <c r="R46" s="57"/>
      <c r="S46" s="436" t="str">
        <f t="shared" si="6"/>
        <v/>
      </c>
      <c r="T46" s="418" t="str">
        <f t="shared" si="7"/>
        <v/>
      </c>
      <c r="U46" s="424" t="str">
        <f t="shared" si="1"/>
        <v/>
      </c>
      <c r="V46" s="418" t="str">
        <f t="shared" si="8"/>
        <v/>
      </c>
      <c r="W46" s="489" t="str">
        <f t="shared" si="9"/>
        <v/>
      </c>
      <c r="X46" s="418" t="str">
        <f t="shared" si="10"/>
        <v/>
      </c>
      <c r="Y46" s="424" t="str">
        <f t="shared" si="11"/>
        <v/>
      </c>
      <c r="Z46" s="418" t="str">
        <f t="shared" si="12"/>
        <v/>
      </c>
      <c r="AA46" s="424" t="str">
        <f t="shared" si="13"/>
        <v/>
      </c>
      <c r="AB46" s="424" t="str">
        <f t="shared" si="14"/>
        <v/>
      </c>
      <c r="AC46" s="424" t="str">
        <f t="shared" si="13"/>
        <v/>
      </c>
      <c r="AD46" s="454"/>
      <c r="AE46" s="524" t="str">
        <f t="shared" si="15"/>
        <v/>
      </c>
      <c r="AF46" s="476"/>
      <c r="AG46" s="1182" t="str" cm="1">
        <f t="array" ref="AG46">IF(OR(AE46="",N46=""),"",_xlfn.IFS(
ROUND(IFERROR(VALUE(TRIM(SUBSTITUTE(AE46,CHAR(160),""))),0),2)&gt;
ROUND(IFERROR(VALUE(TRIM(SUBSTITUTE(N46,CHAR(160),""))),0),2),
"KO : Le montant retenu est supérieur au montant présenté. Merci de revoir la ligne de contributions ou plafonner son montant.",
ROUND(IFERROR(VALUE(TRIM(SUBSTITUTE(N46,CHAR(160),""))),0),2)=0,
"",
ROUND(IFERROR(VALUE(TRIM(SUBSTITUTE(AE46,CHAR(160),""))),0),2)=
ROUND(IFERROR(VALUE(TRIM(SUBSTITUTE(N46,CHAR(160),""))),0),2),
"OK",
ROUND(IFERROR(VALUE(TRIM(SUBSTITUTE(AE46,CHAR(160),""))),0),2)=0,
"Attention : Montant présenté entièrement rejeté.",
ROUND(IFERROR(VALUE(TRIM(SUBSTITUTE(AE46,CHAR(160),""))),0),2)&lt;
ROUND(IFERROR(VALUE(TRIM(SUBSTITUTE(N46,CHAR(160),""))),0),2),
"Attention : Montant présenté partiellement rejeté.",
TRUE,""
))</f>
        <v/>
      </c>
      <c r="AH46" s="549" t="str">
        <f t="shared" si="16"/>
        <v/>
      </c>
    </row>
    <row r="47" spans="2:39" ht="15.95">
      <c r="B47" s="531">
        <v>39</v>
      </c>
      <c r="C47" s="119"/>
      <c r="D47" s="11"/>
      <c r="E47" s="11"/>
      <c r="F47" s="22"/>
      <c r="G47" s="509"/>
      <c r="H47" s="511"/>
      <c r="I47" s="424" t="str">
        <f t="shared" si="2"/>
        <v/>
      </c>
      <c r="J47" s="417"/>
      <c r="K47" s="424" t="str">
        <f t="shared" si="17"/>
        <v/>
      </c>
      <c r="L47" s="417"/>
      <c r="M47" s="424" t="str">
        <f t="shared" si="3"/>
        <v/>
      </c>
      <c r="N47" s="424" t="str">
        <f t="shared" si="4"/>
        <v/>
      </c>
      <c r="O47" s="513"/>
      <c r="P47" s="534"/>
      <c r="Q47" s="1415" t="str">
        <f t="shared" si="5"/>
        <v/>
      </c>
      <c r="R47" s="57"/>
      <c r="S47" s="436" t="str">
        <f t="shared" si="6"/>
        <v/>
      </c>
      <c r="T47" s="418" t="str">
        <f t="shared" si="7"/>
        <v/>
      </c>
      <c r="U47" s="424" t="str">
        <f t="shared" si="1"/>
        <v/>
      </c>
      <c r="V47" s="418" t="str">
        <f t="shared" si="8"/>
        <v/>
      </c>
      <c r="W47" s="489" t="str">
        <f t="shared" si="9"/>
        <v/>
      </c>
      <c r="X47" s="418" t="str">
        <f t="shared" si="10"/>
        <v/>
      </c>
      <c r="Y47" s="424" t="str">
        <f t="shared" si="11"/>
        <v/>
      </c>
      <c r="Z47" s="418" t="str">
        <f t="shared" si="12"/>
        <v/>
      </c>
      <c r="AA47" s="424" t="str">
        <f t="shared" si="13"/>
        <v/>
      </c>
      <c r="AB47" s="424" t="str">
        <f t="shared" si="14"/>
        <v/>
      </c>
      <c r="AC47" s="424" t="str">
        <f t="shared" si="13"/>
        <v/>
      </c>
      <c r="AD47" s="454"/>
      <c r="AE47" s="524" t="str">
        <f t="shared" si="15"/>
        <v/>
      </c>
      <c r="AF47" s="476"/>
      <c r="AG47" s="1182" t="str" cm="1">
        <f t="array" ref="AG47">IF(OR(AE47="",N47=""),"",_xlfn.IFS(
ROUND(IFERROR(VALUE(TRIM(SUBSTITUTE(AE47,CHAR(160),""))),0),2)&gt;
ROUND(IFERROR(VALUE(TRIM(SUBSTITUTE(N47,CHAR(160),""))),0),2),
"KO : Le montant retenu est supérieur au montant présenté. Merci de revoir la ligne de contributions ou plafonner son montant.",
ROUND(IFERROR(VALUE(TRIM(SUBSTITUTE(N47,CHAR(160),""))),0),2)=0,
"",
ROUND(IFERROR(VALUE(TRIM(SUBSTITUTE(AE47,CHAR(160),""))),0),2)=
ROUND(IFERROR(VALUE(TRIM(SUBSTITUTE(N47,CHAR(160),""))),0),2),
"OK",
ROUND(IFERROR(VALUE(TRIM(SUBSTITUTE(AE47,CHAR(160),""))),0),2)=0,
"Attention : Montant présenté entièrement rejeté.",
ROUND(IFERROR(VALUE(TRIM(SUBSTITUTE(AE47,CHAR(160),""))),0),2)&lt;
ROUND(IFERROR(VALUE(TRIM(SUBSTITUTE(N47,CHAR(160),""))),0),2),
"Attention : Montant présenté partiellement rejeté.",
TRUE,""
))</f>
        <v/>
      </c>
      <c r="AH47" s="549" t="str">
        <f t="shared" si="16"/>
        <v/>
      </c>
    </row>
    <row r="48" spans="2:39" ht="17.100000000000001" thickBot="1">
      <c r="B48" s="423">
        <v>40</v>
      </c>
      <c r="C48" s="457"/>
      <c r="D48" s="458"/>
      <c r="E48" s="458"/>
      <c r="F48" s="535"/>
      <c r="G48" s="536"/>
      <c r="H48" s="537"/>
      <c r="I48" s="459" t="str">
        <f t="shared" si="2"/>
        <v/>
      </c>
      <c r="J48" s="538"/>
      <c r="K48" s="459" t="str">
        <f t="shared" si="17"/>
        <v/>
      </c>
      <c r="L48" s="538"/>
      <c r="M48" s="459" t="str">
        <f t="shared" si="3"/>
        <v/>
      </c>
      <c r="N48" s="459" t="str">
        <f t="shared" si="4"/>
        <v/>
      </c>
      <c r="O48" s="539"/>
      <c r="P48" s="540"/>
      <c r="Q48" s="496" t="str">
        <f t="shared" si="5"/>
        <v/>
      </c>
      <c r="R48" s="1416"/>
      <c r="S48" s="445" t="str">
        <f t="shared" si="6"/>
        <v/>
      </c>
      <c r="T48" s="445" t="str">
        <f t="shared" si="7"/>
        <v/>
      </c>
      <c r="U48" s="459" t="str">
        <f t="shared" si="1"/>
        <v/>
      </c>
      <c r="V48" s="445" t="str">
        <f t="shared" si="8"/>
        <v/>
      </c>
      <c r="W48" s="494" t="str">
        <f t="shared" si="9"/>
        <v/>
      </c>
      <c r="X48" s="445" t="str">
        <f t="shared" si="10"/>
        <v/>
      </c>
      <c r="Y48" s="459" t="str">
        <f t="shared" si="11"/>
        <v/>
      </c>
      <c r="Z48" s="445" t="str">
        <f t="shared" si="12"/>
        <v/>
      </c>
      <c r="AA48" s="459" t="str">
        <f t="shared" si="13"/>
        <v/>
      </c>
      <c r="AB48" s="459" t="str">
        <f t="shared" si="14"/>
        <v/>
      </c>
      <c r="AC48" s="459" t="str">
        <f t="shared" si="13"/>
        <v/>
      </c>
      <c r="AD48" s="460"/>
      <c r="AE48" s="550" t="str">
        <f t="shared" si="15"/>
        <v/>
      </c>
      <c r="AF48" s="477"/>
      <c r="AG48" s="1182" t="str" cm="1">
        <f t="array" ref="AG48">IF(OR(AE48="",N48=""),"",_xlfn.IFS(
ROUND(IFERROR(VALUE(TRIM(SUBSTITUTE(AE48,CHAR(160),""))),0),2)&gt;
ROUND(IFERROR(VALUE(TRIM(SUBSTITUTE(N48,CHAR(160),""))),0),2),
"KO : Le montant retenu est supérieur au montant présenté. Merci de revoir la ligne de contributions ou plafonner son montant.",
ROUND(IFERROR(VALUE(TRIM(SUBSTITUTE(N48,CHAR(160),""))),0),2)=0,
"",
ROUND(IFERROR(VALUE(TRIM(SUBSTITUTE(AE48,CHAR(160),""))),0),2)=
ROUND(IFERROR(VALUE(TRIM(SUBSTITUTE(N48,CHAR(160),""))),0),2),
"OK",
ROUND(IFERROR(VALUE(TRIM(SUBSTITUTE(AE48,CHAR(160),""))),0),2)=0,
"Attention : Montant présenté entièrement rejeté.",
ROUND(IFERROR(VALUE(TRIM(SUBSTITUTE(AE48,CHAR(160),""))),0),2)&lt;
ROUND(IFERROR(VALUE(TRIM(SUBSTITUTE(N48,CHAR(160),""))),0),2),
"Attention : Montant présenté partiellement rejeté.",
TRUE,""
))</f>
        <v/>
      </c>
      <c r="AH48" s="551" t="str">
        <f t="shared" si="16"/>
        <v/>
      </c>
    </row>
    <row r="49" spans="2:34" ht="15.95" thickBot="1">
      <c r="B49" s="336"/>
      <c r="C49" s="332"/>
      <c r="D49" s="117"/>
      <c r="E49" s="333" t="s">
        <v>415</v>
      </c>
      <c r="F49" s="334">
        <f>SUM(F9:F48)</f>
        <v>0</v>
      </c>
      <c r="G49" s="335"/>
      <c r="H49" s="525" t="s">
        <v>415</v>
      </c>
      <c r="I49" s="526">
        <f>SUM(I9:I48)</f>
        <v>0</v>
      </c>
      <c r="J49" s="527" t="s">
        <v>415</v>
      </c>
      <c r="K49" s="526">
        <f>SUM(K9:K48)</f>
        <v>0</v>
      </c>
      <c r="L49" s="527" t="s">
        <v>415</v>
      </c>
      <c r="M49" s="526">
        <f>SUM(M9:M48)</f>
        <v>0</v>
      </c>
      <c r="N49" s="528">
        <f>SUM(N9:N48)</f>
        <v>0</v>
      </c>
      <c r="O49" s="332"/>
      <c r="P49" s="332"/>
      <c r="Q49" s="332"/>
      <c r="R49" s="332"/>
      <c r="S49" s="541" t="s">
        <v>415</v>
      </c>
      <c r="T49" s="542">
        <f>SUM(T9:T48)</f>
        <v>0</v>
      </c>
      <c r="U49" s="332"/>
      <c r="V49" s="541" t="s">
        <v>415</v>
      </c>
      <c r="W49" s="543">
        <f>SUM(W9:W48)</f>
        <v>0</v>
      </c>
      <c r="X49" s="541" t="s">
        <v>415</v>
      </c>
      <c r="Y49" s="544">
        <f>SUM(Y9:Y48)</f>
        <v>0</v>
      </c>
      <c r="Z49" s="541" t="s">
        <v>415</v>
      </c>
      <c r="AA49" s="545">
        <f>SUM(AA9:AA48)</f>
        <v>0</v>
      </c>
      <c r="AB49" s="518">
        <f>SUM(AB9:AB48)</f>
        <v>0</v>
      </c>
      <c r="AC49" s="522"/>
      <c r="AD49" s="523" t="s">
        <v>415</v>
      </c>
      <c r="AE49" s="125">
        <f>SUM(AE9:AE48)</f>
        <v>0</v>
      </c>
      <c r="AF49" s="332"/>
      <c r="AG49" s="333" t="s">
        <v>415</v>
      </c>
      <c r="AH49" s="519">
        <f>SUM(AH9:AH48)</f>
        <v>0</v>
      </c>
    </row>
    <row r="50" spans="2:34">
      <c r="B50" s="336"/>
    </row>
    <row r="52" spans="2:34" ht="112.5" customHeight="1"/>
    <row r="53" spans="2:34" ht="15.95" thickBot="1"/>
    <row r="54" spans="2:34">
      <c r="D54" s="62" t="s">
        <v>149</v>
      </c>
      <c r="E54" s="127"/>
      <c r="F54" s="128"/>
    </row>
    <row r="55" spans="2:34">
      <c r="D55" s="65"/>
      <c r="E55" s="129"/>
      <c r="F55" s="130"/>
    </row>
    <row r="56" spans="2:34">
      <c r="D56" s="68" t="s">
        <v>150</v>
      </c>
      <c r="E56" s="129"/>
      <c r="F56" s="130"/>
    </row>
    <row r="57" spans="2:34">
      <c r="D57" s="131"/>
      <c r="E57" s="129"/>
      <c r="F57" s="130"/>
    </row>
    <row r="58" spans="2:34">
      <c r="D58" s="131"/>
      <c r="E58" s="129"/>
      <c r="F58" s="130"/>
    </row>
    <row r="59" spans="2:34">
      <c r="D59" s="68" t="s">
        <v>151</v>
      </c>
      <c r="E59" s="129"/>
      <c r="F59" s="130"/>
    </row>
    <row r="60" spans="2:34">
      <c r="D60" s="65"/>
      <c r="E60" s="129"/>
      <c r="F60" s="130"/>
    </row>
    <row r="61" spans="2:34">
      <c r="D61" s="65"/>
      <c r="E61" s="129"/>
      <c r="F61" s="130"/>
    </row>
    <row r="62" spans="2:34">
      <c r="D62" s="65"/>
      <c r="E62" s="129"/>
      <c r="F62" s="130"/>
    </row>
    <row r="63" spans="2:34">
      <c r="D63" s="65"/>
      <c r="E63" s="129"/>
      <c r="F63" s="130"/>
    </row>
    <row r="64" spans="2:34" ht="15.95" thickBot="1">
      <c r="D64" s="132"/>
      <c r="E64" s="133"/>
      <c r="F64" s="134"/>
    </row>
  </sheetData>
  <sheetProtection algorithmName="SHA-512" hashValue="+EJRl8vmzsgtFasn4uNmmRpTDTcyyZ5tRwfmeZzr3Ydr0zRBbjyy/zCyp2QWWkuJ1ip2mkrh3dy1Tg9SUEgHmg==" saltValue="YQY5K1zVxU7qUkNJibmF5Q==" spinCount="100000" sheet="1" formatCells="0" formatColumns="0" formatRows="0" insertColumns="0" insertRows="0" insertHyperlinks="0" deleteColumns="0" deleteRows="0" sort="0" autoFilter="0" pivotTables="0"/>
  <mergeCells count="6">
    <mergeCell ref="K3:N3"/>
    <mergeCell ref="Q5:AH5"/>
    <mergeCell ref="B6:B7"/>
    <mergeCell ref="D2:I2"/>
    <mergeCell ref="D3:I3"/>
    <mergeCell ref="B5:P5"/>
  </mergeCells>
  <conditionalFormatting sqref="Q9:AA48 AC9:AC48">
    <cfRule type="expression" dxfId="18" priority="3">
      <formula>Q9&lt;&gt;C9</formula>
    </cfRule>
  </conditionalFormatting>
  <conditionalFormatting sqref="AD9:AD48">
    <cfRule type="containsText" dxfId="17" priority="1" operator="containsText" text="Non">
      <formula>NOT(ISERROR(SEARCH("Non",AD9)))</formula>
    </cfRule>
  </conditionalFormatting>
  <conditionalFormatting sqref="AG8:AG48">
    <cfRule type="containsText" dxfId="16" priority="4" operator="containsText" text="KO">
      <formula>NOT(ISERROR(SEARCH("KO",AG8)))</formula>
    </cfRule>
    <cfRule type="containsText" dxfId="15" priority="5" operator="containsText" text="OK">
      <formula>NOT(ISERROR(SEARCH("OK",AG8)))</formula>
    </cfRule>
  </conditionalFormatting>
  <conditionalFormatting sqref="AG9:AG48">
    <cfRule type="containsText" dxfId="14" priority="2" operator="containsText" text="Attention">
      <formula>NOT(ISERROR(SEARCH("Attention",AG9)))</formula>
    </cfRule>
  </conditionalFormatting>
  <dataValidations count="5">
    <dataValidation type="list" allowBlank="1" showInputMessage="1" showErrorMessage="1" sqref="E8:E48 S8" xr:uid="{4CF9C9AB-B8B1-4682-AEF5-43AA2A709EE3}">
      <formula1>"Séminaire,Journée technique,Réunion,Temps passé expérimentation"</formula1>
    </dataValidation>
    <dataValidation type="list" allowBlank="1" showInputMessage="1" showErrorMessage="1" promptTitle="Sélectionnez un poste de dépense" prompt="Cliquez sur le menu déroulant" sqref="D49" xr:uid="{D3C53334-06E1-423E-84DE-E3720F1F492C}">
      <formula1>"Echanges dev-perf-envir-eco , Renforcement sys-exploit , Adapt-prod-zone-contrainte , Id-protect-prod , Innov-bottom-up , Outils-num-agri-ali , Mentions-valo , Dev-gestion-risques , Fav-territ-souv-ali-écosys , Promouvoir savoir-faire-transfo-ressources"</formula1>
    </dataValidation>
    <dataValidation type="list" allowBlank="1" showInputMessage="1" showErrorMessage="1" sqref="D8:D48 R8:R48" xr:uid="{F8DAF497-6A03-453A-A565-6BD40A5F533F}">
      <formula1>"Création groupes opérationnels, Projets groupes opérationnels, Diffusion résultats"</formula1>
    </dataValidation>
    <dataValidation type="list" allowBlank="1" showInputMessage="1" showErrorMessage="1" sqref="AD8:AD48" xr:uid="{36357DF5-B2ED-4422-8662-AE2EE8DD8901}">
      <formula1>"Oui,Non,Sans objet"</formula1>
    </dataValidation>
    <dataValidation type="list" allowBlank="1" showInputMessage="1" showErrorMessage="1" sqref="C8:C48 Q8" xr:uid="{85166ABC-9A6A-4689-8414-389F07A0FCD4}">
      <formula1>"Chef de file,Partenaire 1,Partenaire 2, Partenaire 3,Partenaire 4, Partenaire 5,Partenaire 6,Partenaire 7"</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A5ED-ED14-4AB8-B0BC-7164B7671296}">
  <sheetPr codeName="Feuil11">
    <tabColor theme="8" tint="0.59999389629810485"/>
  </sheetPr>
  <dimension ref="A1:S45"/>
  <sheetViews>
    <sheetView showGridLines="0" topLeftCell="S5" zoomScale="69" zoomScaleNormal="100" workbookViewId="0">
      <selection activeCell="AP19" sqref="AP19"/>
    </sheetView>
  </sheetViews>
  <sheetFormatPr defaultColWidth="11.42578125" defaultRowHeight="15" outlineLevelCol="1"/>
  <cols>
    <col min="1" max="1" width="5.42578125" customWidth="1"/>
    <col min="2" max="2" width="11.42578125" customWidth="1"/>
    <col min="3" max="5" width="25.42578125" style="290" customWidth="1"/>
    <col min="6" max="6" width="35.85546875" style="290" customWidth="1"/>
    <col min="7" max="9" width="25.42578125" style="290" customWidth="1"/>
    <col min="10" max="10" width="25.85546875" style="290" hidden="1" customWidth="1" outlineLevel="1"/>
    <col min="11" max="11" width="26.42578125" style="290" hidden="1" customWidth="1" outlineLevel="1"/>
    <col min="12" max="12" width="20.140625" style="290" hidden="1" customWidth="1" outlineLevel="1"/>
    <col min="13" max="13" width="35" style="290" hidden="1" customWidth="1" outlineLevel="1"/>
    <col min="14" max="14" width="23.85546875" style="290" hidden="1" customWidth="1" outlineLevel="1"/>
    <col min="15" max="15" width="20.140625" style="576" hidden="1" customWidth="1" outlineLevel="1"/>
    <col min="16" max="16" width="39.42578125" style="290" hidden="1" customWidth="1" outlineLevel="1"/>
    <col min="17" max="17" width="39.85546875" style="290" hidden="1" customWidth="1" outlineLevel="1"/>
    <col min="18" max="18" width="21.140625" style="576" hidden="1" customWidth="1" outlineLevel="1"/>
    <col min="19" max="19" width="11.42578125" collapsed="1"/>
  </cols>
  <sheetData>
    <row r="1" spans="1:18" ht="15.95" thickBot="1">
      <c r="C1"/>
      <c r="D1"/>
      <c r="E1"/>
      <c r="F1"/>
      <c r="G1"/>
      <c r="H1"/>
      <c r="I1"/>
      <c r="J1"/>
      <c r="K1"/>
      <c r="L1"/>
      <c r="M1"/>
      <c r="N1"/>
      <c r="O1" s="353"/>
      <c r="P1"/>
      <c r="Q1"/>
      <c r="R1" s="353"/>
    </row>
    <row r="2" spans="1:18" ht="18.95">
      <c r="D2" s="1872" t="s">
        <v>416</v>
      </c>
      <c r="E2" s="1873"/>
      <c r="F2" s="1873"/>
      <c r="G2" s="1873"/>
      <c r="H2" s="1873"/>
      <c r="I2" s="1874"/>
      <c r="J2" s="346"/>
      <c r="K2"/>
      <c r="L2"/>
      <c r="M2"/>
      <c r="N2"/>
      <c r="O2" s="353"/>
      <c r="P2"/>
      <c r="Q2"/>
      <c r="R2" s="353"/>
    </row>
    <row r="3" spans="1:18" ht="51.6" customHeight="1" thickBot="1">
      <c r="D3" s="1932" t="s">
        <v>417</v>
      </c>
      <c r="E3" s="1870"/>
      <c r="F3" s="1870"/>
      <c r="G3" s="1870"/>
      <c r="H3" s="1870"/>
      <c r="I3" s="1871"/>
      <c r="J3" s="347"/>
      <c r="K3"/>
      <c r="L3"/>
      <c r="M3"/>
      <c r="N3"/>
      <c r="O3" s="353"/>
      <c r="P3"/>
      <c r="Q3"/>
      <c r="R3" s="353"/>
    </row>
    <row r="4" spans="1:18" ht="15.95" thickBot="1">
      <c r="C4" s="338"/>
      <c r="D4" s="338"/>
      <c r="E4" s="339"/>
      <c r="F4" s="339"/>
      <c r="G4" s="339"/>
      <c r="H4" s="339"/>
      <c r="I4"/>
      <c r="J4"/>
      <c r="K4"/>
      <c r="L4"/>
      <c r="M4"/>
      <c r="N4"/>
      <c r="O4" s="353"/>
      <c r="P4"/>
      <c r="Q4"/>
      <c r="R4" s="353"/>
    </row>
    <row r="5" spans="1:18" ht="26.45" customHeight="1" thickBot="1">
      <c r="B5" s="1936" t="s">
        <v>418</v>
      </c>
      <c r="C5" s="1937"/>
      <c r="D5" s="1937"/>
      <c r="E5" s="1937"/>
      <c r="F5" s="1937"/>
      <c r="G5" s="1937"/>
      <c r="H5" s="1937"/>
      <c r="I5" s="1938"/>
      <c r="J5" s="1933" t="s">
        <v>419</v>
      </c>
      <c r="K5" s="1934"/>
      <c r="L5" s="1934"/>
      <c r="M5" s="1934"/>
      <c r="N5" s="1934"/>
      <c r="O5" s="1934"/>
      <c r="P5" s="1934"/>
      <c r="Q5" s="1934"/>
      <c r="R5" s="1935"/>
    </row>
    <row r="6" spans="1:18" ht="72.95" customHeight="1">
      <c r="A6" s="1875"/>
      <c r="B6" s="1923" t="s">
        <v>97</v>
      </c>
      <c r="C6" s="155" t="s">
        <v>98</v>
      </c>
      <c r="D6" s="113" t="s">
        <v>364</v>
      </c>
      <c r="E6" s="114" t="s">
        <v>420</v>
      </c>
      <c r="F6" s="114" t="s">
        <v>421</v>
      </c>
      <c r="G6" s="114" t="s">
        <v>422</v>
      </c>
      <c r="H6" s="114" t="s">
        <v>423</v>
      </c>
      <c r="I6" s="582" t="s">
        <v>34</v>
      </c>
      <c r="J6" s="495" t="s">
        <v>98</v>
      </c>
      <c r="K6" s="115" t="s">
        <v>364</v>
      </c>
      <c r="L6" s="115" t="s">
        <v>424</v>
      </c>
      <c r="M6" s="115" t="s">
        <v>425</v>
      </c>
      <c r="N6" s="115" t="s">
        <v>426</v>
      </c>
      <c r="O6" s="86" t="s">
        <v>427</v>
      </c>
      <c r="P6" s="86" t="s">
        <v>116</v>
      </c>
      <c r="Q6" s="86" t="s">
        <v>52</v>
      </c>
      <c r="R6" s="419" t="s">
        <v>53</v>
      </c>
    </row>
    <row r="7" spans="1:18" ht="109.5" customHeight="1">
      <c r="A7" s="1875"/>
      <c r="B7" s="1924"/>
      <c r="C7" s="156" t="s">
        <v>117</v>
      </c>
      <c r="D7" s="53" t="s">
        <v>118</v>
      </c>
      <c r="E7" s="53" t="s">
        <v>428</v>
      </c>
      <c r="F7" s="254" t="s">
        <v>429</v>
      </c>
      <c r="G7" s="254" t="s">
        <v>430</v>
      </c>
      <c r="H7" s="254" t="s">
        <v>431</v>
      </c>
      <c r="I7" s="530" t="s">
        <v>39</v>
      </c>
      <c r="J7" s="464" t="s">
        <v>57</v>
      </c>
      <c r="K7" s="55" t="s">
        <v>57</v>
      </c>
      <c r="L7" s="90" t="s">
        <v>54</v>
      </c>
      <c r="M7" s="585" t="s">
        <v>54</v>
      </c>
      <c r="N7" s="90" t="s">
        <v>432</v>
      </c>
      <c r="O7" s="90" t="s">
        <v>54</v>
      </c>
      <c r="P7" s="55" t="s">
        <v>55</v>
      </c>
      <c r="Q7" s="55" t="s">
        <v>56</v>
      </c>
      <c r="R7" s="420" t="s">
        <v>57</v>
      </c>
    </row>
    <row r="8" spans="1:18" s="344" customFormat="1" ht="33" thickBot="1">
      <c r="A8" s="1875"/>
      <c r="B8" s="421" t="s">
        <v>84</v>
      </c>
      <c r="C8" s="369" t="s">
        <v>10</v>
      </c>
      <c r="D8" s="446" t="s">
        <v>88</v>
      </c>
      <c r="E8" s="1418">
        <v>38500</v>
      </c>
      <c r="F8" s="348">
        <v>9625</v>
      </c>
      <c r="G8" s="575" t="s">
        <v>141</v>
      </c>
      <c r="H8" s="348">
        <v>9625</v>
      </c>
      <c r="I8" s="556"/>
      <c r="J8" s="573" t="str">
        <f t="shared" ref="J8" si="0">C8</f>
        <v>Chef de file</v>
      </c>
      <c r="K8" s="371" t="str">
        <f t="shared" ref="K8" si="1">D8</f>
        <v>Projets groupes opérationnels</v>
      </c>
      <c r="L8" s="343">
        <v>35000</v>
      </c>
      <c r="M8" s="1428">
        <v>8750</v>
      </c>
      <c r="N8" s="343"/>
      <c r="O8" s="343">
        <f>M8</f>
        <v>8750</v>
      </c>
      <c r="P8" s="566"/>
      <c r="Q8" s="349" t="str" cm="1">
        <f t="array" ref="Q8">IF(OR(O8="",H8=""),"",_xlfn.IFS(
ROUND(IFERROR(VALUE(TRIM(SUBSTITUTE(O8,CHAR(160),""))),0),2)&gt;
ROUND(IFERROR(VALUE(TRIM(SUBSTITUTE(H8,CHAR(160),""))),0),2),
"KO : Le montant retenu est supérieur au montant présenté. Merci de revoir la ligne de contributions ou plafonner son montant.",
ROUND(IFERROR(VALUE(TRIM(SUBSTITUTE(H8,CHAR(160),""))),0),2)=0,
"",
ROUND(IFERROR(VALUE(TRIM(SUBSTITUTE(O8,CHAR(160),""))),0),2)=
ROUND(IFERROR(VALUE(TRIM(SUBSTITUTE(H8,CHAR(160),""))),0),2),
"OK",
ROUND(IFERROR(VALUE(TRIM(SUBSTITUTE(O8,CHAR(160),""))),0),2)=0,
"Attention : Montant présenté entièrement rejeté.",
ROUND(IFERROR(VALUE(TRIM(SUBSTITUTE(O8,CHAR(160),""))),0),2)&lt;
ROUND(IFERROR(VALUE(TRIM(SUBSTITUTE(H8,CHAR(160),""))),0),2),
"Attention : Montant présenté partiellement rejeté.",
TRUE,""
))</f>
        <v>Attention : Montant présenté partiellement rejeté.</v>
      </c>
      <c r="R8" s="583">
        <f>F8-O8</f>
        <v>875</v>
      </c>
    </row>
    <row r="9" spans="1:18" ht="21.95" customHeight="1">
      <c r="A9" s="1875"/>
      <c r="B9" s="359">
        <v>1</v>
      </c>
      <c r="C9" s="1419" t="s">
        <v>10</v>
      </c>
      <c r="D9" s="1419" t="s">
        <v>85</v>
      </c>
      <c r="E9" s="1420">
        <f>SUMIFS('1- Frais personnel'!$Q$9:$Q$68,'1- Frais personnel'!$D$9:$D$68,D9,'1- Frais personnel'!$C$9:$C$68,C9)+SUMIFS('2.1- Investissements'!$AH$11:$AH$50,'2.1- Investissements'!$D$11:$D$50,D9,'2.1- Investissements'!$C$11:$C$50,C9,'2.1- Investissements'!$G$11:$G$50,"Non")+SUMIFS('4- Déplacement &amp; hébergement'!$AF$10:$AF$49,'4- Déplacement &amp; hébergement'!$D$10:$D$49,D9,'4- Déplacement &amp; hébergement'!$C$10:$C$49,C9)+SUMIFS('5- Contribution en nature'!$M$9:$M$48,'5- Contribution en nature'!$D$9:$D$48,D9,'5- Contribution en nature'!$C$9:$C$48,C9)+SUMIFS('2.2- Amortissement'!$Q$9:$Q$23,'2.2- Amortissement'!$D$9:$D$23,D9,'2.2- Amortissement'!$C$9:$C$23,C9)</f>
        <v>0</v>
      </c>
      <c r="F9" s="1421">
        <f>IF(E9="","",0.25*E9)</f>
        <v>0</v>
      </c>
      <c r="G9" s="1422"/>
      <c r="H9" s="1421" t="str">
        <f>IF(AND(F9&lt;&gt;"",G9="Oui"),F9,"")</f>
        <v/>
      </c>
      <c r="I9" s="1429"/>
      <c r="J9" s="1432" t="str">
        <f>IF(C9="","",C9)</f>
        <v>Chef de file</v>
      </c>
      <c r="K9" s="1433" t="str">
        <f t="shared" ref="K9:N9" si="2">IF(D9="","",D9)</f>
        <v>Création groupes opérationnels</v>
      </c>
      <c r="L9" s="1276">
        <f>SUMIFS('1- Frais personnel'!$AI$9:$AI$68,'1- Frais personnel'!$T$9:$T$68,K9,'1- Frais personnel'!$S$9:$S$68,J9)+SUMIFS('2.1- Investissements'!$BS$11:$BS$50,'2.1- Investissements'!$AK$11:$AK$50,K9,'2.1- Investissements'!$AJ$11:$AJ$50,J9,'2.1- Investissements'!$AN$11:$AN$50,"Non")+SUMIFS('4- Déplacement &amp; hébergement'!$BO$10:$BO$49,'4- Déplacement &amp; hébergement'!$AI$10:$AI$49,K9,'4- Déplacement &amp; hébergement'!$AH$10:$AH$49,J9)+SUMIFS('5- Contribution en nature'!$Z$9:$Z$48,'5- Contribution en nature'!$P$9:$P$48,K9,'5- Contribution en nature'!$O$9:$O$48,J9)+SUMIFS('2.2- Amortissement'!$AJ$9:$AJ$23,'2.2- Amortissement'!$U$9:$U$23,K9,'2.2- Amortissement'!$T$9:$T$23,J9)</f>
        <v>0</v>
      </c>
      <c r="M9" s="1434">
        <f>IFERROR(0.25*L9,"")</f>
        <v>0</v>
      </c>
      <c r="N9" s="1435" t="str">
        <f t="shared" si="2"/>
        <v/>
      </c>
      <c r="O9" s="1436" t="str">
        <f>IF(AND(M9&lt;&gt;"",N9="Oui"),M9,"")</f>
        <v/>
      </c>
      <c r="P9" s="1437"/>
      <c r="Q9" s="1181" t="str" cm="1">
        <f t="array" ref="Q9">IF(OR(O9="",H9=""),"",_xlfn.IFS(
ROUND(IFERROR(VALUE(TRIM(SUBSTITUTE(O9,CHAR(160),""))),0),2)&gt;
ROUND(IFERROR(VALUE(TRIM(SUBSTITUTE(H9,CHAR(160),""))),0),2),
"KO : Le montant retenu est supérieur au montant présenté. Merci de revoir la ligne de contributions ou plafonner son montant.",
ROUND(IFERROR(VALUE(TRIM(SUBSTITUTE(H9,CHAR(160),""))),0),2)=0,
"",
ROUND(IFERROR(VALUE(TRIM(SUBSTITUTE(O9,CHAR(160),""))),0),2)=
ROUND(IFERROR(VALUE(TRIM(SUBSTITUTE(H9,CHAR(160),""))),0),2),
"OK",
ROUND(IFERROR(VALUE(TRIM(SUBSTITUTE(O9,CHAR(160),""))),0),2)=0,
"Attention : Montant présenté entièrement rejeté.",
ROUND(IFERROR(VALUE(TRIM(SUBSTITUTE(O9,CHAR(160),""))),0),2)&lt;
ROUND(IFERROR(VALUE(TRIM(SUBSTITUTE(H9,CHAR(160),""))),0),2),
"Attention : Montant présenté partiellement rejeté.",
TRUE,""
))</f>
        <v/>
      </c>
      <c r="R9" s="1438" t="str">
        <f>IF(OR(H9="",O9=""),"",(IFERROR(VALUE(TRIM(SUBSTITUTE(H9,CHAR(160),""))),0))-(IFERROR(VALUE(TRIM(SUBSTITUTE(O9,CHAR(160),""))),0)))</f>
        <v/>
      </c>
    </row>
    <row r="10" spans="1:18" ht="21.95" customHeight="1">
      <c r="A10" s="1875"/>
      <c r="B10" s="303">
        <v>2</v>
      </c>
      <c r="C10" s="851" t="s">
        <v>10</v>
      </c>
      <c r="D10" s="851" t="s">
        <v>88</v>
      </c>
      <c r="E10" s="305">
        <f>SUMIFS('1- Frais personnel'!$Q$9:$Q$68,'1- Frais personnel'!$D$9:$D$68,D10,'1- Frais personnel'!$C$9:$C$68,C10)+SUMIFS('2.1- Investissements'!$AH$11:$AH$50,'2.1- Investissements'!$D$11:$D$50,D10,'2.1- Investissements'!$C$11:$C$50,C10,'2.1- Investissements'!$G$11:$G$50,"Non")+SUMIFS('4- Déplacement &amp; hébergement'!$AF$10:$AF$49,'4- Déplacement &amp; hébergement'!$D$10:$D$49,D10,'4- Déplacement &amp; hébergement'!$C$10:$C$49,C10)+SUMIFS('5- Contribution en nature'!$M$9:$M$48,'5- Contribution en nature'!$D$9:$D$48,D10,'5- Contribution en nature'!$C$9:$C$48,C10)+SUMIFS('2.2- Amortissement'!$Q$9:$Q$23,'2.2- Amortissement'!$D$9:$D$23,D10,'2.2- Amortissement'!$C$9:$C$23,C10)</f>
        <v>0</v>
      </c>
      <c r="F10" s="677">
        <f t="shared" ref="F10:F32" si="3">IF(E10="","",0.25*E10)</f>
        <v>0</v>
      </c>
      <c r="G10" s="581"/>
      <c r="H10" s="569" t="str">
        <f t="shared" ref="H10:H32" si="4">IF(AND(F10&lt;&gt;"",G10="Oui"),F10,"")</f>
        <v/>
      </c>
      <c r="I10" s="1430"/>
      <c r="J10" s="1439" t="str">
        <f t="shared" ref="J10:J32" si="5">IF(C10="","",C10)</f>
        <v>Chef de file</v>
      </c>
      <c r="K10" s="1240" t="str">
        <f t="shared" ref="K10:K32" si="6">IF(D10="","",D10)</f>
        <v>Projets groupes opérationnels</v>
      </c>
      <c r="L10" s="1417">
        <f>IF(AND(K10="",J10=""),"",SUMIFS('1- Frais personnel'!$AI$9:$AI$68,'1- Frais personnel'!$T$9:$T$68,K10,'1- Frais personnel'!$S$9:$S$68,J10)+SUMIFS('2.1- Investissements'!$BS$11:$BS$50,'2.1- Investissements'!$AK$11:$AK$50,K10,'2.1- Investissements'!$AJ$11:$AJ$50,J10,'2.1- Investissements'!$AN$11:$AN$50,"Non")+SUMIFS('4- Déplacement &amp; hébergement'!$BO$10:$BO$49,'4- Déplacement &amp; hébergement'!$AI$10:$AI$49,K10,'4- Déplacement &amp; hébergement'!$AH$10:$AH$49,J10)+SUMIFS('5- Contribution en nature'!$Z$9:$Z$48,'5- Contribution en nature'!$P$9:$P$48,K10,'5- Contribution en nature'!$O$9:$O$48,J10)+SUMIFS('2.2- Amortissement'!$AJ$9:$AJ$23,'2.2- Amortissement'!$U$9:$U$23,K10,'2.2- Amortissement'!$T$9:$T$23,J10))</f>
        <v>0</v>
      </c>
      <c r="M10" s="678">
        <f t="shared" ref="M10:M32" si="7">IFERROR(0.25*L10,"")</f>
        <v>0</v>
      </c>
      <c r="N10" s="567" t="str">
        <f t="shared" ref="N10:N32" si="8">IF(G10="","",G10)</f>
        <v/>
      </c>
      <c r="O10" s="568" t="str">
        <f t="shared" ref="O10:O32" si="9">IF(AND(M10&lt;&gt;"",N10="Oui"),M10,"")</f>
        <v/>
      </c>
      <c r="P10" s="570"/>
      <c r="Q10" s="1181" t="str" cm="1">
        <f t="array" ref="Q10">IF(OR(O10="",H10=""),"",_xlfn.IFS(
ROUND(IFERROR(VALUE(TRIM(SUBSTITUTE(O10,CHAR(160),""))),0),2)&gt;
ROUND(IFERROR(VALUE(TRIM(SUBSTITUTE(H10,CHAR(160),""))),0),2),
"KO : Le montant retenu est supérieur au montant présenté. Merci de revoir la ligne de contributions ou plafonner son montant.",
ROUND(IFERROR(VALUE(TRIM(SUBSTITUTE(H10,CHAR(160),""))),0),2)=0,
"",
ROUND(IFERROR(VALUE(TRIM(SUBSTITUTE(O10,CHAR(160),""))),0),2)=
ROUND(IFERROR(VALUE(TRIM(SUBSTITUTE(H10,CHAR(160),""))),0),2),
"OK",
ROUND(IFERROR(VALUE(TRIM(SUBSTITUTE(O10,CHAR(160),""))),0),2)=0,
"Attention : Montant présenté entièrement rejeté.",
ROUND(IFERROR(VALUE(TRIM(SUBSTITUTE(O10,CHAR(160),""))),0),2)&lt;
ROUND(IFERROR(VALUE(TRIM(SUBSTITUTE(H10,CHAR(160),""))),0),2),
"Attention : Montant présenté partiellement rejeté.",
TRUE,""
))</f>
        <v/>
      </c>
      <c r="R10" s="1440" t="str">
        <f t="shared" ref="R10:R32" si="10">IF(OR(H10="",O10=""),"",(IFERROR(VALUE(TRIM(SUBSTITUTE(H10,CHAR(160),""))),0))-(IFERROR(VALUE(TRIM(SUBSTITUTE(O10,CHAR(160),""))),0)))</f>
        <v/>
      </c>
    </row>
    <row r="11" spans="1:18" ht="21.95" customHeight="1">
      <c r="A11" s="1875"/>
      <c r="B11" s="303">
        <v>3</v>
      </c>
      <c r="C11" s="851" t="s">
        <v>10</v>
      </c>
      <c r="D11" s="851" t="s">
        <v>91</v>
      </c>
      <c r="E11" s="305">
        <f>SUMIFS('1- Frais personnel'!$Q$9:$Q$68,'1- Frais personnel'!$D$9:$D$68,D11,'1- Frais personnel'!$C$9:$C$68,C11)+SUMIFS('2.1- Investissements'!$AH$11:$AH$50,'2.1- Investissements'!$D$11:$D$50,D11,'2.1- Investissements'!$C$11:$C$50,C11,'2.1- Investissements'!$G$11:$G$50,"Non")+SUMIFS('4- Déplacement &amp; hébergement'!$AF$10:$AF$49,'4- Déplacement &amp; hébergement'!$D$10:$D$49,D11,'4- Déplacement &amp; hébergement'!$C$10:$C$49,C11)+SUMIFS('5- Contribution en nature'!$M$9:$M$48,'5- Contribution en nature'!$D$9:$D$48,D11,'5- Contribution en nature'!$C$9:$C$48,C11)+SUMIFS('2.2- Amortissement'!$Q$9:$Q$23,'2.2- Amortissement'!$D$9:$D$23,D11,'2.2- Amortissement'!$C$9:$C$23,C11)</f>
        <v>0</v>
      </c>
      <c r="F11" s="677">
        <f t="shared" si="3"/>
        <v>0</v>
      </c>
      <c r="G11" s="581"/>
      <c r="H11" s="569" t="str">
        <f t="shared" si="4"/>
        <v/>
      </c>
      <c r="I11" s="1430"/>
      <c r="J11" s="1441" t="str">
        <f t="shared" si="5"/>
        <v>Chef de file</v>
      </c>
      <c r="K11" s="1240" t="str">
        <f t="shared" si="6"/>
        <v>Diffusion résultats</v>
      </c>
      <c r="L11" s="679">
        <f>IF(AND(K11="",J11=""),"",SUMIFS('1- Frais personnel'!$AI$9:$AI$68,'1- Frais personnel'!$T$9:$T$68,K11,'1- Frais personnel'!$S$9:$S$68,J11)+SUMIFS('2.1- Investissements'!$BS$11:$BS$50,'2.1- Investissements'!$AK$11:$AK$50,K11,'2.1- Investissements'!$AJ$11:$AJ$50,J11,'2.1- Investissements'!$AN$11:$AN$50,"Non")+SUMIFS('4- Déplacement &amp; hébergement'!$BO$10:$BO$49,'4- Déplacement &amp; hébergement'!$AI$10:$AI$49,K11,'4- Déplacement &amp; hébergement'!$AH$10:$AH$49,J11)+SUMIFS('5- Contribution en nature'!$Z$9:$Z$48,'5- Contribution en nature'!$P$9:$P$48,K11,'5- Contribution en nature'!$O$9:$O$48,J11)+SUMIFS('2.2- Amortissement'!$AJ$9:$AJ$23,'2.2- Amortissement'!$U$9:$U$23,K11,'2.2- Amortissement'!$T$9:$T$23,J11))</f>
        <v>0</v>
      </c>
      <c r="M11" s="678">
        <f t="shared" si="7"/>
        <v>0</v>
      </c>
      <c r="N11" s="567" t="str">
        <f t="shared" si="8"/>
        <v/>
      </c>
      <c r="O11" s="568" t="str">
        <f t="shared" si="9"/>
        <v/>
      </c>
      <c r="P11" s="570"/>
      <c r="Q11" s="1181" t="str" cm="1">
        <f t="array" ref="Q11">IF(OR(O11="",H11=""),"",_xlfn.IFS(
ROUND(IFERROR(VALUE(TRIM(SUBSTITUTE(O11,CHAR(160),""))),0),2)&gt;
ROUND(IFERROR(VALUE(TRIM(SUBSTITUTE(H11,CHAR(160),""))),0),2),
"KO : Le montant retenu est supérieur au montant présenté. Merci de revoir la ligne de contributions ou plafonner son montant.",
ROUND(IFERROR(VALUE(TRIM(SUBSTITUTE(H11,CHAR(160),""))),0),2)=0,
"",
ROUND(IFERROR(VALUE(TRIM(SUBSTITUTE(O11,CHAR(160),""))),0),2)=
ROUND(IFERROR(VALUE(TRIM(SUBSTITUTE(H11,CHAR(160),""))),0),2),
"OK",
ROUND(IFERROR(VALUE(TRIM(SUBSTITUTE(O11,CHAR(160),""))),0),2)=0,
"Attention : Montant présenté entièrement rejeté.",
ROUND(IFERROR(VALUE(TRIM(SUBSTITUTE(O11,CHAR(160),""))),0),2)&lt;
ROUND(IFERROR(VALUE(TRIM(SUBSTITUTE(H11,CHAR(160),""))),0),2),
"Attention : Montant présenté partiellement rejeté.",
TRUE,""
))</f>
        <v/>
      </c>
      <c r="R11" s="1440" t="str">
        <f t="shared" si="10"/>
        <v/>
      </c>
    </row>
    <row r="12" spans="1:18" ht="21.95" customHeight="1">
      <c r="A12" s="1875"/>
      <c r="B12" s="303">
        <v>4</v>
      </c>
      <c r="C12" s="851" t="s">
        <v>11</v>
      </c>
      <c r="D12" s="851" t="s">
        <v>85</v>
      </c>
      <c r="E12" s="305">
        <f>SUMIFS('1- Frais personnel'!$Q$9:$Q$68,'1- Frais personnel'!$D$9:$D$68,D12,'1- Frais personnel'!$C$9:$C$68,C12)+SUMIFS('2.1- Investissements'!$AH$11:$AH$50,'2.1- Investissements'!$D$11:$D$50,D12,'2.1- Investissements'!$C$11:$C$50,C12,'2.1- Investissements'!$G$11:$G$50,"Non")+SUMIFS('4- Déplacement &amp; hébergement'!$AF$10:$AF$49,'4- Déplacement &amp; hébergement'!$D$10:$D$49,D12,'4- Déplacement &amp; hébergement'!$C$10:$C$49,C12)+SUMIFS('5- Contribution en nature'!$M$9:$M$48,'5- Contribution en nature'!$D$9:$D$48,D12,'5- Contribution en nature'!$C$9:$C$48,C12)+SUMIFS('2.2- Amortissement'!$Q$9:$Q$23,'2.2- Amortissement'!$D$9:$D$23,D12,'2.2- Amortissement'!$C$9:$C$23,C12)</f>
        <v>0</v>
      </c>
      <c r="F12" s="677">
        <f t="shared" si="3"/>
        <v>0</v>
      </c>
      <c r="G12" s="581"/>
      <c r="H12" s="569" t="str">
        <f t="shared" si="4"/>
        <v/>
      </c>
      <c r="I12" s="1430"/>
      <c r="J12" s="1441" t="str">
        <f t="shared" si="5"/>
        <v>Partenaire 1</v>
      </c>
      <c r="K12" s="1240" t="str">
        <f t="shared" si="6"/>
        <v>Création groupes opérationnels</v>
      </c>
      <c r="L12" s="679">
        <f>IF(AND(K12="",J12=""),"",SUMIFS('1- Frais personnel'!$AI$9:$AI$68,'1- Frais personnel'!$T$9:$T$68,K12,'1- Frais personnel'!$S$9:$S$68,J12)+SUMIFS('2.1- Investissements'!$BS$11:$BS$50,'2.1- Investissements'!$AK$11:$AK$50,K12,'2.1- Investissements'!$AJ$11:$AJ$50,J12,'2.1- Investissements'!$AN$11:$AN$50,"Non")+SUMIFS('4- Déplacement &amp; hébergement'!$BO$10:$BO$49,'4- Déplacement &amp; hébergement'!$AI$10:$AI$49,K12,'4- Déplacement &amp; hébergement'!$AH$10:$AH$49,J12)+SUMIFS('5- Contribution en nature'!$Z$9:$Z$48,'5- Contribution en nature'!$P$9:$P$48,K12,'5- Contribution en nature'!$O$9:$O$48,J12)+SUMIFS('2.2- Amortissement'!$AJ$9:$AJ$23,'2.2- Amortissement'!$U$9:$U$23,K12,'2.2- Amortissement'!$T$9:$T$23,J12))</f>
        <v>0</v>
      </c>
      <c r="M12" s="678">
        <f t="shared" si="7"/>
        <v>0</v>
      </c>
      <c r="N12" s="567" t="str">
        <f t="shared" si="8"/>
        <v/>
      </c>
      <c r="O12" s="568" t="str">
        <f t="shared" si="9"/>
        <v/>
      </c>
      <c r="P12" s="570"/>
      <c r="Q12" s="1181" t="str" cm="1">
        <f t="array" ref="Q12">IF(OR(O12="",H12=""),"",_xlfn.IFS(
ROUND(IFERROR(VALUE(TRIM(SUBSTITUTE(O12,CHAR(160),""))),0),2)&gt;
ROUND(IFERROR(VALUE(TRIM(SUBSTITUTE(H12,CHAR(160),""))),0),2),
"KO : Le montant retenu est supérieur au montant présenté. Merci de revoir la ligne de contributions ou plafonner son montant.",
ROUND(IFERROR(VALUE(TRIM(SUBSTITUTE(H12,CHAR(160),""))),0),2)=0,
"",
ROUND(IFERROR(VALUE(TRIM(SUBSTITUTE(O12,CHAR(160),""))),0),2)=
ROUND(IFERROR(VALUE(TRIM(SUBSTITUTE(H12,CHAR(160),""))),0),2),
"OK",
ROUND(IFERROR(VALUE(TRIM(SUBSTITUTE(O12,CHAR(160),""))),0),2)=0,
"Attention : Montant présenté entièrement rejeté.",
ROUND(IFERROR(VALUE(TRIM(SUBSTITUTE(O12,CHAR(160),""))),0),2)&lt;
ROUND(IFERROR(VALUE(TRIM(SUBSTITUTE(H12,CHAR(160),""))),0),2),
"Attention : Montant présenté partiellement rejeté.",
TRUE,""
))</f>
        <v/>
      </c>
      <c r="R12" s="1440" t="str">
        <f t="shared" si="10"/>
        <v/>
      </c>
    </row>
    <row r="13" spans="1:18" ht="21.95" customHeight="1">
      <c r="A13" s="1875"/>
      <c r="B13" s="303">
        <v>5</v>
      </c>
      <c r="C13" s="851" t="s">
        <v>11</v>
      </c>
      <c r="D13" s="851" t="s">
        <v>88</v>
      </c>
      <c r="E13" s="305">
        <f>SUMIFS('1- Frais personnel'!$Q$9:$Q$68,'1- Frais personnel'!$D$9:$D$68,D13,'1- Frais personnel'!$C$9:$C$68,C13)+SUMIFS('2.1- Investissements'!$AH$11:$AH$50,'2.1- Investissements'!$D$11:$D$50,D13,'2.1- Investissements'!$C$11:$C$50,C13,'2.1- Investissements'!$G$11:$G$50,"Non")+SUMIFS('4- Déplacement &amp; hébergement'!$AF$10:$AF$49,'4- Déplacement &amp; hébergement'!$D$10:$D$49,D13,'4- Déplacement &amp; hébergement'!$C$10:$C$49,C13)+SUMIFS('5- Contribution en nature'!$M$9:$M$48,'5- Contribution en nature'!$D$9:$D$48,D13,'5- Contribution en nature'!$C$9:$C$48,C13)+SUMIFS('2.2- Amortissement'!$Q$9:$Q$23,'2.2- Amortissement'!$D$9:$D$23,D13,'2.2- Amortissement'!$C$9:$C$23,C13)</f>
        <v>0</v>
      </c>
      <c r="F13" s="677">
        <f t="shared" si="3"/>
        <v>0</v>
      </c>
      <c r="G13" s="581"/>
      <c r="H13" s="569" t="str">
        <f t="shared" si="4"/>
        <v/>
      </c>
      <c r="I13" s="1430"/>
      <c r="J13" s="1441" t="str">
        <f t="shared" si="5"/>
        <v>Partenaire 1</v>
      </c>
      <c r="K13" s="1240" t="str">
        <f t="shared" si="6"/>
        <v>Projets groupes opérationnels</v>
      </c>
      <c r="L13" s="679">
        <f>IF(AND(K13="",J13=""),"",SUMIFS('1- Frais personnel'!$AI$9:$AI$68,'1- Frais personnel'!$T$9:$T$68,K13,'1- Frais personnel'!$S$9:$S$68,J13)+SUMIFS('2.1- Investissements'!$BS$11:$BS$50,'2.1- Investissements'!$AK$11:$AK$50,K13,'2.1- Investissements'!$AJ$11:$AJ$50,J13,'2.1- Investissements'!$AN$11:$AN$50,"Non")+SUMIFS('4- Déplacement &amp; hébergement'!$BO$10:$BO$49,'4- Déplacement &amp; hébergement'!$AI$10:$AI$49,K13,'4- Déplacement &amp; hébergement'!$AH$10:$AH$49,J13)+SUMIFS('5- Contribution en nature'!$Z$9:$Z$48,'5- Contribution en nature'!$P$9:$P$48,K13,'5- Contribution en nature'!$O$9:$O$48,J13)+SUMIFS('2.2- Amortissement'!$AJ$9:$AJ$23,'2.2- Amortissement'!$U$9:$U$23,K13,'2.2- Amortissement'!$T$9:$T$23,J13))</f>
        <v>0</v>
      </c>
      <c r="M13" s="678">
        <f t="shared" si="7"/>
        <v>0</v>
      </c>
      <c r="N13" s="567" t="str">
        <f t="shared" si="8"/>
        <v/>
      </c>
      <c r="O13" s="568" t="str">
        <f t="shared" si="9"/>
        <v/>
      </c>
      <c r="P13" s="570"/>
      <c r="Q13" s="1181" t="str" cm="1">
        <f t="array" ref="Q13">IF(OR(O13="",H13=""),"",_xlfn.IFS(
ROUND(IFERROR(VALUE(TRIM(SUBSTITUTE(O13,CHAR(160),""))),0),2)&gt;
ROUND(IFERROR(VALUE(TRIM(SUBSTITUTE(H13,CHAR(160),""))),0),2),
"KO : Le montant retenu est supérieur au montant présenté. Merci de revoir la ligne de contributions ou plafonner son montant.",
ROUND(IFERROR(VALUE(TRIM(SUBSTITUTE(H13,CHAR(160),""))),0),2)=0,
"",
ROUND(IFERROR(VALUE(TRIM(SUBSTITUTE(O13,CHAR(160),""))),0),2)=
ROUND(IFERROR(VALUE(TRIM(SUBSTITUTE(H13,CHAR(160),""))),0),2),
"OK",
ROUND(IFERROR(VALUE(TRIM(SUBSTITUTE(O13,CHAR(160),""))),0),2)=0,
"Attention : Montant présenté entièrement rejeté.",
ROUND(IFERROR(VALUE(TRIM(SUBSTITUTE(O13,CHAR(160),""))),0),2)&lt;
ROUND(IFERROR(VALUE(TRIM(SUBSTITUTE(H13,CHAR(160),""))),0),2),
"Attention : Montant présenté partiellement rejeté.",
TRUE,""
))</f>
        <v/>
      </c>
      <c r="R13" s="1440" t="str">
        <f t="shared" si="10"/>
        <v/>
      </c>
    </row>
    <row r="14" spans="1:18" ht="21.95" customHeight="1">
      <c r="A14" s="1875"/>
      <c r="B14" s="303">
        <v>6</v>
      </c>
      <c r="C14" s="851" t="s">
        <v>11</v>
      </c>
      <c r="D14" s="851" t="s">
        <v>91</v>
      </c>
      <c r="E14" s="305">
        <f>SUMIFS('1- Frais personnel'!$Q$9:$Q$68,'1- Frais personnel'!$D$9:$D$68,D14,'1- Frais personnel'!$C$9:$C$68,C14)+SUMIFS('2.1- Investissements'!$AH$11:$AH$50,'2.1- Investissements'!$D$11:$D$50,D14,'2.1- Investissements'!$C$11:$C$50,C14,'2.1- Investissements'!$G$11:$G$50,"Non")+SUMIFS('4- Déplacement &amp; hébergement'!$AF$10:$AF$49,'4- Déplacement &amp; hébergement'!$D$10:$D$49,D14,'4- Déplacement &amp; hébergement'!$C$10:$C$49,C14)+SUMIFS('5- Contribution en nature'!$M$9:$M$48,'5- Contribution en nature'!$D$9:$D$48,D14,'5- Contribution en nature'!$C$9:$C$48,C14)+SUMIFS('2.2- Amortissement'!$Q$9:$Q$23,'2.2- Amortissement'!$D$9:$D$23,D14,'2.2- Amortissement'!$C$9:$C$23,C14)</f>
        <v>0</v>
      </c>
      <c r="F14" s="677">
        <f t="shared" si="3"/>
        <v>0</v>
      </c>
      <c r="G14" s="581"/>
      <c r="H14" s="569" t="str">
        <f t="shared" si="4"/>
        <v/>
      </c>
      <c r="I14" s="1430"/>
      <c r="J14" s="1441" t="str">
        <f t="shared" si="5"/>
        <v>Partenaire 1</v>
      </c>
      <c r="K14" s="1240" t="str">
        <f t="shared" si="6"/>
        <v>Diffusion résultats</v>
      </c>
      <c r="L14" s="679">
        <f>IF(AND(K14="",J14=""),"",SUMIFS('1- Frais personnel'!$AI$9:$AI$68,'1- Frais personnel'!$T$9:$T$68,K14,'1- Frais personnel'!$S$9:$S$68,J14)+SUMIFS('2.1- Investissements'!$BS$11:$BS$50,'2.1- Investissements'!$AK$11:$AK$50,K14,'2.1- Investissements'!$AJ$11:$AJ$50,J14,'2.1- Investissements'!$AN$11:$AN$50,"Non")+SUMIFS('4- Déplacement &amp; hébergement'!$BO$10:$BO$49,'4- Déplacement &amp; hébergement'!$AI$10:$AI$49,K14,'4- Déplacement &amp; hébergement'!$AH$10:$AH$49,J14)+SUMIFS('5- Contribution en nature'!$Z$9:$Z$48,'5- Contribution en nature'!$P$9:$P$48,K14,'5- Contribution en nature'!$O$9:$O$48,J14)+SUMIFS('2.2- Amortissement'!$AJ$9:$AJ$23,'2.2- Amortissement'!$U$9:$U$23,K14,'2.2- Amortissement'!$T$9:$T$23,J14))</f>
        <v>0</v>
      </c>
      <c r="M14" s="678">
        <f t="shared" si="7"/>
        <v>0</v>
      </c>
      <c r="N14" s="567" t="str">
        <f t="shared" si="8"/>
        <v/>
      </c>
      <c r="O14" s="568" t="str">
        <f t="shared" si="9"/>
        <v/>
      </c>
      <c r="P14" s="570"/>
      <c r="Q14" s="1181" t="str" cm="1">
        <f t="array" ref="Q14">IF(OR(O14="",H14=""),"",_xlfn.IFS(
ROUND(IFERROR(VALUE(TRIM(SUBSTITUTE(O14,CHAR(160),""))),0),2)&gt;
ROUND(IFERROR(VALUE(TRIM(SUBSTITUTE(H14,CHAR(160),""))),0),2),
"KO : Le montant retenu est supérieur au montant présenté. Merci de revoir la ligne de contributions ou plafonner son montant.",
ROUND(IFERROR(VALUE(TRIM(SUBSTITUTE(H14,CHAR(160),""))),0),2)=0,
"",
ROUND(IFERROR(VALUE(TRIM(SUBSTITUTE(O14,CHAR(160),""))),0),2)=
ROUND(IFERROR(VALUE(TRIM(SUBSTITUTE(H14,CHAR(160),""))),0),2),
"OK",
ROUND(IFERROR(VALUE(TRIM(SUBSTITUTE(O14,CHAR(160),""))),0),2)=0,
"Attention : Montant présenté entièrement rejeté.",
ROUND(IFERROR(VALUE(TRIM(SUBSTITUTE(O14,CHAR(160),""))),0),2)&lt;
ROUND(IFERROR(VALUE(TRIM(SUBSTITUTE(H14,CHAR(160),""))),0),2),
"Attention : Montant présenté partiellement rejeté.",
TRUE,""
))</f>
        <v/>
      </c>
      <c r="R14" s="1440" t="str">
        <f t="shared" si="10"/>
        <v/>
      </c>
    </row>
    <row r="15" spans="1:18" ht="21.95" customHeight="1">
      <c r="A15" s="1875"/>
      <c r="B15" s="303">
        <v>7</v>
      </c>
      <c r="C15" s="851" t="s">
        <v>12</v>
      </c>
      <c r="D15" s="851" t="s">
        <v>85</v>
      </c>
      <c r="E15" s="305">
        <f>SUMIFS('1- Frais personnel'!$Q$9:$Q$68,'1- Frais personnel'!$D$9:$D$68,D15,'1- Frais personnel'!$C$9:$C$68,C15)+SUMIFS('2.1- Investissements'!$AH$11:$AH$50,'2.1- Investissements'!$D$11:$D$50,D15,'2.1- Investissements'!$C$11:$C$50,C15,'2.1- Investissements'!$G$11:$G$50,"Non")+SUMIFS('4- Déplacement &amp; hébergement'!$AF$10:$AF$49,'4- Déplacement &amp; hébergement'!$D$10:$D$49,D15,'4- Déplacement &amp; hébergement'!$C$10:$C$49,C15)+SUMIFS('5- Contribution en nature'!$M$9:$M$48,'5- Contribution en nature'!$D$9:$D$48,D15,'5- Contribution en nature'!$C$9:$C$48,C15)+SUMIFS('2.2- Amortissement'!$Q$9:$Q$23,'2.2- Amortissement'!$D$9:$D$23,D15,'2.2- Amortissement'!$C$9:$C$23,C15)</f>
        <v>0</v>
      </c>
      <c r="F15" s="677">
        <f t="shared" si="3"/>
        <v>0</v>
      </c>
      <c r="G15" s="581"/>
      <c r="H15" s="569" t="str">
        <f t="shared" si="4"/>
        <v/>
      </c>
      <c r="I15" s="1430"/>
      <c r="J15" s="1441" t="str">
        <f t="shared" si="5"/>
        <v>Partenaire 2</v>
      </c>
      <c r="K15" s="1240" t="str">
        <f t="shared" si="6"/>
        <v>Création groupes opérationnels</v>
      </c>
      <c r="L15" s="679">
        <f>IF(AND(K15="",J15=""),"",SUMIFS('1- Frais personnel'!$AI$9:$AI$68,'1- Frais personnel'!$T$9:$T$68,K15,'1- Frais personnel'!$S$9:$S$68,J15)+SUMIFS('2.1- Investissements'!$BS$11:$BS$50,'2.1- Investissements'!$AK$11:$AK$50,K15,'2.1- Investissements'!$AJ$11:$AJ$50,J15,'2.1- Investissements'!$AN$11:$AN$50,"Non")+SUMIFS('4- Déplacement &amp; hébergement'!$BO$10:$BO$49,'4- Déplacement &amp; hébergement'!$AI$10:$AI$49,K15,'4- Déplacement &amp; hébergement'!$AH$10:$AH$49,J15)+SUMIFS('5- Contribution en nature'!$Z$9:$Z$48,'5- Contribution en nature'!$P$9:$P$48,K15,'5- Contribution en nature'!$O$9:$O$48,J15)+SUMIFS('2.2- Amortissement'!$AJ$9:$AJ$23,'2.2- Amortissement'!$U$9:$U$23,K15,'2.2- Amortissement'!$T$9:$T$23,J15))</f>
        <v>0</v>
      </c>
      <c r="M15" s="678">
        <f t="shared" si="7"/>
        <v>0</v>
      </c>
      <c r="N15" s="567" t="str">
        <f t="shared" si="8"/>
        <v/>
      </c>
      <c r="O15" s="568" t="str">
        <f t="shared" si="9"/>
        <v/>
      </c>
      <c r="P15" s="570"/>
      <c r="Q15" s="1181" t="str" cm="1">
        <f t="array" ref="Q15">IF(OR(O15="",H15=""),"",_xlfn.IFS(
ROUND(IFERROR(VALUE(TRIM(SUBSTITUTE(O15,CHAR(160),""))),0),2)&gt;
ROUND(IFERROR(VALUE(TRIM(SUBSTITUTE(H15,CHAR(160),""))),0),2),
"KO : Le montant retenu est supérieur au montant présenté. Merci de revoir la ligne de contributions ou plafonner son montant.",
ROUND(IFERROR(VALUE(TRIM(SUBSTITUTE(H15,CHAR(160),""))),0),2)=0,
"",
ROUND(IFERROR(VALUE(TRIM(SUBSTITUTE(O15,CHAR(160),""))),0),2)=
ROUND(IFERROR(VALUE(TRIM(SUBSTITUTE(H15,CHAR(160),""))),0),2),
"OK",
ROUND(IFERROR(VALUE(TRIM(SUBSTITUTE(O15,CHAR(160),""))),0),2)=0,
"Attention : Montant présenté entièrement rejeté.",
ROUND(IFERROR(VALUE(TRIM(SUBSTITUTE(O15,CHAR(160),""))),0),2)&lt;
ROUND(IFERROR(VALUE(TRIM(SUBSTITUTE(H15,CHAR(160),""))),0),2),
"Attention : Montant présenté partiellement rejeté.",
TRUE,""
))</f>
        <v/>
      </c>
      <c r="R15" s="1440" t="str">
        <f t="shared" si="10"/>
        <v/>
      </c>
    </row>
    <row r="16" spans="1:18" ht="21.95" customHeight="1">
      <c r="A16" s="1875"/>
      <c r="B16" s="303">
        <v>8</v>
      </c>
      <c r="C16" s="851" t="s">
        <v>12</v>
      </c>
      <c r="D16" s="851" t="s">
        <v>88</v>
      </c>
      <c r="E16" s="305">
        <f>SUMIFS('1- Frais personnel'!$Q$9:$Q$68,'1- Frais personnel'!$D$9:$D$68,D16,'1- Frais personnel'!$C$9:$C$68,C16)+SUMIFS('2.1- Investissements'!$AH$11:$AH$50,'2.1- Investissements'!$D$11:$D$50,D16,'2.1- Investissements'!$C$11:$C$50,C16,'2.1- Investissements'!$G$11:$G$50,"Non")+SUMIFS('4- Déplacement &amp; hébergement'!$AF$10:$AF$49,'4- Déplacement &amp; hébergement'!$D$10:$D$49,D16,'4- Déplacement &amp; hébergement'!$C$10:$C$49,C16)+SUMIFS('5- Contribution en nature'!$M$9:$M$48,'5- Contribution en nature'!$D$9:$D$48,D16,'5- Contribution en nature'!$C$9:$C$48,C16)+SUMIFS('2.2- Amortissement'!$Q$9:$Q$23,'2.2- Amortissement'!$D$9:$D$23,D16,'2.2- Amortissement'!$C$9:$C$23,C16)</f>
        <v>0</v>
      </c>
      <c r="F16" s="677">
        <f t="shared" si="3"/>
        <v>0</v>
      </c>
      <c r="G16" s="581"/>
      <c r="H16" s="569" t="str">
        <f t="shared" si="4"/>
        <v/>
      </c>
      <c r="I16" s="1430"/>
      <c r="J16" s="1441" t="str">
        <f t="shared" si="5"/>
        <v>Partenaire 2</v>
      </c>
      <c r="K16" s="1240" t="str">
        <f t="shared" si="6"/>
        <v>Projets groupes opérationnels</v>
      </c>
      <c r="L16" s="679">
        <f>IF(AND(K16="",J16=""),"",SUMIFS('1- Frais personnel'!$AI$9:$AI$68,'1- Frais personnel'!$T$9:$T$68,K16,'1- Frais personnel'!$S$9:$S$68,J16)+SUMIFS('2.1- Investissements'!$BS$11:$BS$50,'2.1- Investissements'!$AK$11:$AK$50,K16,'2.1- Investissements'!$AJ$11:$AJ$50,J16,'2.1- Investissements'!$AN$11:$AN$50,"Non")+SUMIFS('4- Déplacement &amp; hébergement'!$BO$10:$BO$49,'4- Déplacement &amp; hébergement'!$AI$10:$AI$49,K16,'4- Déplacement &amp; hébergement'!$AH$10:$AH$49,J16)+SUMIFS('5- Contribution en nature'!$Z$9:$Z$48,'5- Contribution en nature'!$P$9:$P$48,K16,'5- Contribution en nature'!$O$9:$O$48,J16)+SUMIFS('2.2- Amortissement'!$AJ$9:$AJ$23,'2.2- Amortissement'!$U$9:$U$23,K16,'2.2- Amortissement'!$T$9:$T$23,J16))</f>
        <v>0</v>
      </c>
      <c r="M16" s="678">
        <f t="shared" si="7"/>
        <v>0</v>
      </c>
      <c r="N16" s="567" t="str">
        <f t="shared" si="8"/>
        <v/>
      </c>
      <c r="O16" s="568" t="str">
        <f t="shared" si="9"/>
        <v/>
      </c>
      <c r="P16" s="570"/>
      <c r="Q16" s="1181" t="str" cm="1">
        <f t="array" ref="Q16">IF(OR(O16="",H16=""),"",_xlfn.IFS(
ROUND(IFERROR(VALUE(TRIM(SUBSTITUTE(O16,CHAR(160),""))),0),2)&gt;
ROUND(IFERROR(VALUE(TRIM(SUBSTITUTE(H16,CHAR(160),""))),0),2),
"KO : Le montant retenu est supérieur au montant présenté. Merci de revoir la ligne de contributions ou plafonner son montant.",
ROUND(IFERROR(VALUE(TRIM(SUBSTITUTE(H16,CHAR(160),""))),0),2)=0,
"",
ROUND(IFERROR(VALUE(TRIM(SUBSTITUTE(O16,CHAR(160),""))),0),2)=
ROUND(IFERROR(VALUE(TRIM(SUBSTITUTE(H16,CHAR(160),""))),0),2),
"OK",
ROUND(IFERROR(VALUE(TRIM(SUBSTITUTE(O16,CHAR(160),""))),0),2)=0,
"Attention : Montant présenté entièrement rejeté.",
ROUND(IFERROR(VALUE(TRIM(SUBSTITUTE(O16,CHAR(160),""))),0),2)&lt;
ROUND(IFERROR(VALUE(TRIM(SUBSTITUTE(H16,CHAR(160),""))),0),2),
"Attention : Montant présenté partiellement rejeté.",
TRUE,""
))</f>
        <v/>
      </c>
      <c r="R16" s="1440" t="str">
        <f t="shared" si="10"/>
        <v/>
      </c>
    </row>
    <row r="17" spans="1:18" ht="21.95" customHeight="1">
      <c r="A17" s="1875"/>
      <c r="B17" s="303">
        <v>9</v>
      </c>
      <c r="C17" s="851" t="s">
        <v>12</v>
      </c>
      <c r="D17" s="851" t="s">
        <v>91</v>
      </c>
      <c r="E17" s="305">
        <f>SUMIFS('1- Frais personnel'!$Q$9:$Q$68,'1- Frais personnel'!$D$9:$D$68,D17,'1- Frais personnel'!$C$9:$C$68,C17)+SUMIFS('2.1- Investissements'!$AH$11:$AH$50,'2.1- Investissements'!$D$11:$D$50,D17,'2.1- Investissements'!$C$11:$C$50,C17,'2.1- Investissements'!$G$11:$G$50,"Non")+SUMIFS('4- Déplacement &amp; hébergement'!$AF$10:$AF$49,'4- Déplacement &amp; hébergement'!$D$10:$D$49,D17,'4- Déplacement &amp; hébergement'!$C$10:$C$49,C17)+SUMIFS('5- Contribution en nature'!$M$9:$M$48,'5- Contribution en nature'!$D$9:$D$48,D17,'5- Contribution en nature'!$C$9:$C$48,C17)+SUMIFS('2.2- Amortissement'!$Q$9:$Q$23,'2.2- Amortissement'!$D$9:$D$23,D17,'2.2- Amortissement'!$C$9:$C$23,C17)</f>
        <v>0</v>
      </c>
      <c r="F17" s="677">
        <f t="shared" si="3"/>
        <v>0</v>
      </c>
      <c r="G17" s="581"/>
      <c r="H17" s="569" t="str">
        <f t="shared" si="4"/>
        <v/>
      </c>
      <c r="I17" s="1430"/>
      <c r="J17" s="1441" t="str">
        <f t="shared" si="5"/>
        <v>Partenaire 2</v>
      </c>
      <c r="K17" s="1240" t="str">
        <f t="shared" si="6"/>
        <v>Diffusion résultats</v>
      </c>
      <c r="L17" s="679">
        <f>IF(AND(K17="",J17=""),"",SUMIFS('1- Frais personnel'!$AI$9:$AI$68,'1- Frais personnel'!$T$9:$T$68,K17,'1- Frais personnel'!$S$9:$S$68,J17)+SUMIFS('2.1- Investissements'!$BS$11:$BS$50,'2.1- Investissements'!$AK$11:$AK$50,K17,'2.1- Investissements'!$AJ$11:$AJ$50,J17,'2.1- Investissements'!$AN$11:$AN$50,"Non")+SUMIFS('4- Déplacement &amp; hébergement'!$BO$10:$BO$49,'4- Déplacement &amp; hébergement'!$AI$10:$AI$49,K17,'4- Déplacement &amp; hébergement'!$AH$10:$AH$49,J17)+SUMIFS('5- Contribution en nature'!$Z$9:$Z$48,'5- Contribution en nature'!$P$9:$P$48,K17,'5- Contribution en nature'!$O$9:$O$48,J17)+SUMIFS('2.2- Amortissement'!$AJ$9:$AJ$23,'2.2- Amortissement'!$U$9:$U$23,K17,'2.2- Amortissement'!$T$9:$T$23,J17))</f>
        <v>0</v>
      </c>
      <c r="M17" s="678">
        <f t="shared" si="7"/>
        <v>0</v>
      </c>
      <c r="N17" s="567" t="str">
        <f t="shared" si="8"/>
        <v/>
      </c>
      <c r="O17" s="568" t="str">
        <f t="shared" si="9"/>
        <v/>
      </c>
      <c r="P17" s="570"/>
      <c r="Q17" s="1181" t="str" cm="1">
        <f t="array" ref="Q17">IF(OR(O17="",H17=""),"",_xlfn.IFS(
ROUND(IFERROR(VALUE(TRIM(SUBSTITUTE(O17,CHAR(160),""))),0),2)&gt;
ROUND(IFERROR(VALUE(TRIM(SUBSTITUTE(H17,CHAR(160),""))),0),2),
"KO : Le montant retenu est supérieur au montant présenté. Merci de revoir la ligne de contributions ou plafonner son montant.",
ROUND(IFERROR(VALUE(TRIM(SUBSTITUTE(H17,CHAR(160),""))),0),2)=0,
"",
ROUND(IFERROR(VALUE(TRIM(SUBSTITUTE(O17,CHAR(160),""))),0),2)=
ROUND(IFERROR(VALUE(TRIM(SUBSTITUTE(H17,CHAR(160),""))),0),2),
"OK",
ROUND(IFERROR(VALUE(TRIM(SUBSTITUTE(O17,CHAR(160),""))),0),2)=0,
"Attention : Montant présenté entièrement rejeté.",
ROUND(IFERROR(VALUE(TRIM(SUBSTITUTE(O17,CHAR(160),""))),0),2)&lt;
ROUND(IFERROR(VALUE(TRIM(SUBSTITUTE(H17,CHAR(160),""))),0),2),
"Attention : Montant présenté partiellement rejeté.",
TRUE,""
))</f>
        <v/>
      </c>
      <c r="R17" s="1440" t="str">
        <f t="shared" si="10"/>
        <v/>
      </c>
    </row>
    <row r="18" spans="1:18" ht="21.95" customHeight="1">
      <c r="A18" s="1875"/>
      <c r="B18" s="303">
        <v>10</v>
      </c>
      <c r="C18" s="851" t="s">
        <v>13</v>
      </c>
      <c r="D18" s="851" t="s">
        <v>85</v>
      </c>
      <c r="E18" s="305">
        <f>SUMIFS('1- Frais personnel'!$Q$9:$Q$68,'1- Frais personnel'!$D$9:$D$68,D18,'1- Frais personnel'!$C$9:$C$68,C18)+SUMIFS('2.1- Investissements'!$AH$11:$AH$50,'2.1- Investissements'!$D$11:$D$50,D18,'2.1- Investissements'!$C$11:$C$50,C18,'2.1- Investissements'!$G$11:$G$50,"Non")+SUMIFS('4- Déplacement &amp; hébergement'!$AF$10:$AF$49,'4- Déplacement &amp; hébergement'!$D$10:$D$49,D18,'4- Déplacement &amp; hébergement'!$C$10:$C$49,C18)+SUMIFS('5- Contribution en nature'!$M$9:$M$48,'5- Contribution en nature'!$D$9:$D$48,D18,'5- Contribution en nature'!$C$9:$C$48,C18)+SUMIFS('2.2- Amortissement'!$Q$9:$Q$23,'2.2- Amortissement'!$D$9:$D$23,D18,'2.2- Amortissement'!$C$9:$C$23,C18)</f>
        <v>0</v>
      </c>
      <c r="F18" s="677">
        <f t="shared" si="3"/>
        <v>0</v>
      </c>
      <c r="G18" s="581"/>
      <c r="H18" s="569" t="str">
        <f t="shared" si="4"/>
        <v/>
      </c>
      <c r="I18" s="1430"/>
      <c r="J18" s="1441" t="str">
        <f t="shared" si="5"/>
        <v>Partenaire 3</v>
      </c>
      <c r="K18" s="1240" t="str">
        <f t="shared" si="6"/>
        <v>Création groupes opérationnels</v>
      </c>
      <c r="L18" s="679">
        <f>IF(AND(K18="",J18=""),"",SUMIFS('1- Frais personnel'!$AI$9:$AI$68,'1- Frais personnel'!$T$9:$T$68,K18,'1- Frais personnel'!$S$9:$S$68,J18)+SUMIFS('2.1- Investissements'!$BS$11:$BS$50,'2.1- Investissements'!$AK$11:$AK$50,K18,'2.1- Investissements'!$AJ$11:$AJ$50,J18,'2.1- Investissements'!$AN$11:$AN$50,"Non")+SUMIFS('4- Déplacement &amp; hébergement'!$BO$10:$BO$49,'4- Déplacement &amp; hébergement'!$AI$10:$AI$49,K18,'4- Déplacement &amp; hébergement'!$AH$10:$AH$49,J18)+SUMIFS('5- Contribution en nature'!$Z$9:$Z$48,'5- Contribution en nature'!$P$9:$P$48,K18,'5- Contribution en nature'!$O$9:$O$48,J18)+SUMIFS('2.2- Amortissement'!$AJ$9:$AJ$23,'2.2- Amortissement'!$U$9:$U$23,K18,'2.2- Amortissement'!$T$9:$T$23,J18))</f>
        <v>0</v>
      </c>
      <c r="M18" s="678">
        <f t="shared" si="7"/>
        <v>0</v>
      </c>
      <c r="N18" s="567" t="str">
        <f t="shared" si="8"/>
        <v/>
      </c>
      <c r="O18" s="568" t="str">
        <f t="shared" si="9"/>
        <v/>
      </c>
      <c r="P18" s="570"/>
      <c r="Q18" s="1181" t="str" cm="1">
        <f t="array" ref="Q18">IF(OR(O18="",H18=""),"",_xlfn.IFS(
ROUND(IFERROR(VALUE(TRIM(SUBSTITUTE(O18,CHAR(160),""))),0),2)&gt;
ROUND(IFERROR(VALUE(TRIM(SUBSTITUTE(H18,CHAR(160),""))),0),2),
"KO : Le montant retenu est supérieur au montant présenté. Merci de revoir la ligne de contributions ou plafonner son montant.",
ROUND(IFERROR(VALUE(TRIM(SUBSTITUTE(H18,CHAR(160),""))),0),2)=0,
"",
ROUND(IFERROR(VALUE(TRIM(SUBSTITUTE(O18,CHAR(160),""))),0),2)=
ROUND(IFERROR(VALUE(TRIM(SUBSTITUTE(H18,CHAR(160),""))),0),2),
"OK",
ROUND(IFERROR(VALUE(TRIM(SUBSTITUTE(O18,CHAR(160),""))),0),2)=0,
"Attention : Montant présenté entièrement rejeté.",
ROUND(IFERROR(VALUE(TRIM(SUBSTITUTE(O18,CHAR(160),""))),0),2)&lt;
ROUND(IFERROR(VALUE(TRIM(SUBSTITUTE(H18,CHAR(160),""))),0),2),
"Attention : Montant présenté partiellement rejeté.",
TRUE,""
))</f>
        <v/>
      </c>
      <c r="R18" s="1440" t="str">
        <f t="shared" si="10"/>
        <v/>
      </c>
    </row>
    <row r="19" spans="1:18" ht="21.95" customHeight="1">
      <c r="A19" s="1875"/>
      <c r="B19" s="303">
        <v>11</v>
      </c>
      <c r="C19" s="851" t="s">
        <v>13</v>
      </c>
      <c r="D19" s="851" t="s">
        <v>88</v>
      </c>
      <c r="E19" s="305">
        <f>SUMIFS('1- Frais personnel'!$Q$9:$Q$68,'1- Frais personnel'!$D$9:$D$68,D19,'1- Frais personnel'!$C$9:$C$68,C19)+SUMIFS('2.1- Investissements'!$AH$11:$AH$50,'2.1- Investissements'!$D$11:$D$50,D19,'2.1- Investissements'!$C$11:$C$50,C19,'2.1- Investissements'!$G$11:$G$50,"Non")+SUMIFS('4- Déplacement &amp; hébergement'!$AF$10:$AF$49,'4- Déplacement &amp; hébergement'!$D$10:$D$49,D19,'4- Déplacement &amp; hébergement'!$C$10:$C$49,C19)+SUMIFS('5- Contribution en nature'!$M$9:$M$48,'5- Contribution en nature'!$D$9:$D$48,D19,'5- Contribution en nature'!$C$9:$C$48,C19)+SUMIFS('2.2- Amortissement'!$Q$9:$Q$23,'2.2- Amortissement'!$D$9:$D$23,D19,'2.2- Amortissement'!$C$9:$C$23,C19)</f>
        <v>0</v>
      </c>
      <c r="F19" s="677">
        <f t="shared" si="3"/>
        <v>0</v>
      </c>
      <c r="G19" s="581"/>
      <c r="H19" s="569" t="str">
        <f t="shared" si="4"/>
        <v/>
      </c>
      <c r="I19" s="1430"/>
      <c r="J19" s="1441" t="str">
        <f t="shared" si="5"/>
        <v>Partenaire 3</v>
      </c>
      <c r="K19" s="1240" t="str">
        <f t="shared" si="6"/>
        <v>Projets groupes opérationnels</v>
      </c>
      <c r="L19" s="679">
        <f>IF(AND(K19="",J19=""),"",SUMIFS('1- Frais personnel'!$AI$9:$AI$68,'1- Frais personnel'!$T$9:$T$68,K19,'1- Frais personnel'!$S$9:$S$68,J19)+SUMIFS('2.1- Investissements'!$BS$11:$BS$50,'2.1- Investissements'!$AK$11:$AK$50,K19,'2.1- Investissements'!$AJ$11:$AJ$50,J19,'2.1- Investissements'!$AN$11:$AN$50,"Non")+SUMIFS('4- Déplacement &amp; hébergement'!$BO$10:$BO$49,'4- Déplacement &amp; hébergement'!$AI$10:$AI$49,K19,'4- Déplacement &amp; hébergement'!$AH$10:$AH$49,J19)+SUMIFS('5- Contribution en nature'!$Z$9:$Z$48,'5- Contribution en nature'!$P$9:$P$48,K19,'5- Contribution en nature'!$O$9:$O$48,J19)+SUMIFS('2.2- Amortissement'!$AJ$9:$AJ$23,'2.2- Amortissement'!$U$9:$U$23,K19,'2.2- Amortissement'!$T$9:$T$23,J19))</f>
        <v>0</v>
      </c>
      <c r="M19" s="678">
        <f t="shared" si="7"/>
        <v>0</v>
      </c>
      <c r="N19" s="567" t="str">
        <f t="shared" si="8"/>
        <v/>
      </c>
      <c r="O19" s="568" t="str">
        <f t="shared" si="9"/>
        <v/>
      </c>
      <c r="P19" s="570"/>
      <c r="Q19" s="1181" t="str" cm="1">
        <f t="array" ref="Q19">IF(OR(O19="",H19=""),"",_xlfn.IFS(
ROUND(IFERROR(VALUE(TRIM(SUBSTITUTE(O19,CHAR(160),""))),0),2)&gt;
ROUND(IFERROR(VALUE(TRIM(SUBSTITUTE(H19,CHAR(160),""))),0),2),
"KO : Le montant retenu est supérieur au montant présenté. Merci de revoir la ligne de contributions ou plafonner son montant.",
ROUND(IFERROR(VALUE(TRIM(SUBSTITUTE(H19,CHAR(160),""))),0),2)=0,
"",
ROUND(IFERROR(VALUE(TRIM(SUBSTITUTE(O19,CHAR(160),""))),0),2)=
ROUND(IFERROR(VALUE(TRIM(SUBSTITUTE(H19,CHAR(160),""))),0),2),
"OK",
ROUND(IFERROR(VALUE(TRIM(SUBSTITUTE(O19,CHAR(160),""))),0),2)=0,
"Attention : Montant présenté entièrement rejeté.",
ROUND(IFERROR(VALUE(TRIM(SUBSTITUTE(O19,CHAR(160),""))),0),2)&lt;
ROUND(IFERROR(VALUE(TRIM(SUBSTITUTE(H19,CHAR(160),""))),0),2),
"Attention : Montant présenté partiellement rejeté.",
TRUE,""
))</f>
        <v/>
      </c>
      <c r="R19" s="1440" t="str">
        <f t="shared" si="10"/>
        <v/>
      </c>
    </row>
    <row r="20" spans="1:18" ht="21.95" customHeight="1">
      <c r="A20" s="1875"/>
      <c r="B20" s="303">
        <v>12</v>
      </c>
      <c r="C20" s="851" t="s">
        <v>13</v>
      </c>
      <c r="D20" s="851" t="s">
        <v>91</v>
      </c>
      <c r="E20" s="305">
        <f>SUMIFS('1- Frais personnel'!$Q$9:$Q$68,'1- Frais personnel'!$D$9:$D$68,D20,'1- Frais personnel'!$C$9:$C$68,C20)+SUMIFS('2.1- Investissements'!$AH$11:$AH$50,'2.1- Investissements'!$D$11:$D$50,D20,'2.1- Investissements'!$C$11:$C$50,C20,'2.1- Investissements'!$G$11:$G$50,"Non")+SUMIFS('4- Déplacement &amp; hébergement'!$AF$10:$AF$49,'4- Déplacement &amp; hébergement'!$D$10:$D$49,D20,'4- Déplacement &amp; hébergement'!$C$10:$C$49,C20)+SUMIFS('5- Contribution en nature'!$M$9:$M$48,'5- Contribution en nature'!$D$9:$D$48,D20,'5- Contribution en nature'!$C$9:$C$48,C20)+SUMIFS('2.2- Amortissement'!$Q$9:$Q$23,'2.2- Amortissement'!$D$9:$D$23,D20,'2.2- Amortissement'!$C$9:$C$23,C20)</f>
        <v>0</v>
      </c>
      <c r="F20" s="677">
        <f t="shared" si="3"/>
        <v>0</v>
      </c>
      <c r="G20" s="581"/>
      <c r="H20" s="569" t="str">
        <f t="shared" si="4"/>
        <v/>
      </c>
      <c r="I20" s="1430"/>
      <c r="J20" s="1441" t="str">
        <f t="shared" si="5"/>
        <v>Partenaire 3</v>
      </c>
      <c r="K20" s="1240" t="str">
        <f t="shared" si="6"/>
        <v>Diffusion résultats</v>
      </c>
      <c r="L20" s="679">
        <f>IF(AND(K20="",J20=""),"",SUMIFS('1- Frais personnel'!$AI$9:$AI$68,'1- Frais personnel'!$T$9:$T$68,K20,'1- Frais personnel'!$S$9:$S$68,J20)+SUMIFS('2.1- Investissements'!$BS$11:$BS$50,'2.1- Investissements'!$AK$11:$AK$50,K20,'2.1- Investissements'!$AJ$11:$AJ$50,J20,'2.1- Investissements'!$AN$11:$AN$50,"Non")+SUMIFS('4- Déplacement &amp; hébergement'!$BO$10:$BO$49,'4- Déplacement &amp; hébergement'!$AI$10:$AI$49,K20,'4- Déplacement &amp; hébergement'!$AH$10:$AH$49,J20)+SUMIFS('5- Contribution en nature'!$Z$9:$Z$48,'5- Contribution en nature'!$P$9:$P$48,K20,'5- Contribution en nature'!$O$9:$O$48,J20)+SUMIFS('2.2- Amortissement'!$AJ$9:$AJ$23,'2.2- Amortissement'!$U$9:$U$23,K20,'2.2- Amortissement'!$T$9:$T$23,J20))</f>
        <v>0</v>
      </c>
      <c r="M20" s="678">
        <f t="shared" si="7"/>
        <v>0</v>
      </c>
      <c r="N20" s="567" t="str">
        <f t="shared" si="8"/>
        <v/>
      </c>
      <c r="O20" s="568" t="str">
        <f t="shared" si="9"/>
        <v/>
      </c>
      <c r="P20" s="570"/>
      <c r="Q20" s="1181" t="str" cm="1">
        <f t="array" ref="Q20">IF(OR(O20="",H20=""),"",_xlfn.IFS(
ROUND(IFERROR(VALUE(TRIM(SUBSTITUTE(O20,CHAR(160),""))),0),2)&gt;
ROUND(IFERROR(VALUE(TRIM(SUBSTITUTE(H20,CHAR(160),""))),0),2),
"KO : Le montant retenu est supérieur au montant présenté. Merci de revoir la ligne de contributions ou plafonner son montant.",
ROUND(IFERROR(VALUE(TRIM(SUBSTITUTE(H20,CHAR(160),""))),0),2)=0,
"",
ROUND(IFERROR(VALUE(TRIM(SUBSTITUTE(O20,CHAR(160),""))),0),2)=
ROUND(IFERROR(VALUE(TRIM(SUBSTITUTE(H20,CHAR(160),""))),0),2),
"OK",
ROUND(IFERROR(VALUE(TRIM(SUBSTITUTE(O20,CHAR(160),""))),0),2)=0,
"Attention : Montant présenté entièrement rejeté.",
ROUND(IFERROR(VALUE(TRIM(SUBSTITUTE(O20,CHAR(160),""))),0),2)&lt;
ROUND(IFERROR(VALUE(TRIM(SUBSTITUTE(H20,CHAR(160),""))),0),2),
"Attention : Montant présenté partiellement rejeté.",
TRUE,""
))</f>
        <v/>
      </c>
      <c r="R20" s="1440" t="str">
        <f t="shared" si="10"/>
        <v/>
      </c>
    </row>
    <row r="21" spans="1:18" ht="21.95" customHeight="1">
      <c r="A21" s="1875"/>
      <c r="B21" s="303">
        <v>13</v>
      </c>
      <c r="C21" s="851" t="s">
        <v>14</v>
      </c>
      <c r="D21" s="851" t="s">
        <v>85</v>
      </c>
      <c r="E21" s="305">
        <f>SUMIFS('1- Frais personnel'!$Q$9:$Q$68,'1- Frais personnel'!$D$9:$D$68,D21,'1- Frais personnel'!$C$9:$C$68,C21)+SUMIFS('2.1- Investissements'!$AH$11:$AH$50,'2.1- Investissements'!$D$11:$D$50,D21,'2.1- Investissements'!$C$11:$C$50,C21,'2.1- Investissements'!$G$11:$G$50,"Non")+SUMIFS('4- Déplacement &amp; hébergement'!$AF$10:$AF$49,'4- Déplacement &amp; hébergement'!$D$10:$D$49,D21,'4- Déplacement &amp; hébergement'!$C$10:$C$49,C21)+SUMIFS('5- Contribution en nature'!$M$9:$M$48,'5- Contribution en nature'!$D$9:$D$48,D21,'5- Contribution en nature'!$C$9:$C$48,C21)+SUMIFS('2.2- Amortissement'!$Q$9:$Q$23,'2.2- Amortissement'!$D$9:$D$23,D21,'2.2- Amortissement'!$C$9:$C$23,C21)</f>
        <v>0</v>
      </c>
      <c r="F21" s="677">
        <f t="shared" si="3"/>
        <v>0</v>
      </c>
      <c r="G21" s="581"/>
      <c r="H21" s="569" t="str">
        <f t="shared" si="4"/>
        <v/>
      </c>
      <c r="I21" s="1430"/>
      <c r="J21" s="1441" t="str">
        <f t="shared" si="5"/>
        <v>Partenaire 4</v>
      </c>
      <c r="K21" s="1240" t="str">
        <f t="shared" si="6"/>
        <v>Création groupes opérationnels</v>
      </c>
      <c r="L21" s="679">
        <f>IF(AND(K21="",J21=""),"",SUMIFS('1- Frais personnel'!$AI$9:$AI$68,'1- Frais personnel'!$T$9:$T$68,K21,'1- Frais personnel'!$S$9:$S$68,J21)+SUMIFS('2.1- Investissements'!$BS$11:$BS$50,'2.1- Investissements'!$AK$11:$AK$50,K21,'2.1- Investissements'!$AJ$11:$AJ$50,J21,'2.1- Investissements'!$AN$11:$AN$50,"Non")+SUMIFS('4- Déplacement &amp; hébergement'!$BO$10:$BO$49,'4- Déplacement &amp; hébergement'!$AI$10:$AI$49,K21,'4- Déplacement &amp; hébergement'!$AH$10:$AH$49,J21)+SUMIFS('5- Contribution en nature'!$Z$9:$Z$48,'5- Contribution en nature'!$P$9:$P$48,K21,'5- Contribution en nature'!$O$9:$O$48,J21)+SUMIFS('2.2- Amortissement'!$AJ$9:$AJ$23,'2.2- Amortissement'!$U$9:$U$23,K21,'2.2- Amortissement'!$T$9:$T$23,J21))</f>
        <v>0</v>
      </c>
      <c r="M21" s="678">
        <f t="shared" si="7"/>
        <v>0</v>
      </c>
      <c r="N21" s="567" t="str">
        <f t="shared" si="8"/>
        <v/>
      </c>
      <c r="O21" s="568" t="str">
        <f t="shared" si="9"/>
        <v/>
      </c>
      <c r="P21" s="570"/>
      <c r="Q21" s="1181" t="str" cm="1">
        <f t="array" ref="Q21">IF(OR(O21="",H21=""),"",_xlfn.IFS(
ROUND(IFERROR(VALUE(TRIM(SUBSTITUTE(O21,CHAR(160),""))),0),2)&gt;
ROUND(IFERROR(VALUE(TRIM(SUBSTITUTE(H21,CHAR(160),""))),0),2),
"KO : Le montant retenu est supérieur au montant présenté. Merci de revoir la ligne de contributions ou plafonner son montant.",
ROUND(IFERROR(VALUE(TRIM(SUBSTITUTE(H21,CHAR(160),""))),0),2)=0,
"",
ROUND(IFERROR(VALUE(TRIM(SUBSTITUTE(O21,CHAR(160),""))),0),2)=
ROUND(IFERROR(VALUE(TRIM(SUBSTITUTE(H21,CHAR(160),""))),0),2),
"OK",
ROUND(IFERROR(VALUE(TRIM(SUBSTITUTE(O21,CHAR(160),""))),0),2)=0,
"Attention : Montant présenté entièrement rejeté.",
ROUND(IFERROR(VALUE(TRIM(SUBSTITUTE(O21,CHAR(160),""))),0),2)&lt;
ROUND(IFERROR(VALUE(TRIM(SUBSTITUTE(H21,CHAR(160),""))),0),2),
"Attention : Montant présenté partiellement rejeté.",
TRUE,""
))</f>
        <v/>
      </c>
      <c r="R21" s="1440" t="str">
        <f t="shared" si="10"/>
        <v/>
      </c>
    </row>
    <row r="22" spans="1:18" ht="21.95" customHeight="1">
      <c r="A22" s="1875"/>
      <c r="B22" s="303">
        <v>14</v>
      </c>
      <c r="C22" s="851" t="s">
        <v>14</v>
      </c>
      <c r="D22" s="851" t="s">
        <v>88</v>
      </c>
      <c r="E22" s="305">
        <f>SUMIFS('1- Frais personnel'!$Q$9:$Q$68,'1- Frais personnel'!$D$9:$D$68,D22,'1- Frais personnel'!$C$9:$C$68,C22)+SUMIFS('2.1- Investissements'!$AH$11:$AH$50,'2.1- Investissements'!$D$11:$D$50,D22,'2.1- Investissements'!$C$11:$C$50,C22,'2.1- Investissements'!$G$11:$G$50,"Non")+SUMIFS('4- Déplacement &amp; hébergement'!$AF$10:$AF$49,'4- Déplacement &amp; hébergement'!$D$10:$D$49,D22,'4- Déplacement &amp; hébergement'!$C$10:$C$49,C22)+SUMIFS('5- Contribution en nature'!$M$9:$M$48,'5- Contribution en nature'!$D$9:$D$48,D22,'5- Contribution en nature'!$C$9:$C$48,C22)+SUMIFS('2.2- Amortissement'!$Q$9:$Q$23,'2.2- Amortissement'!$D$9:$D$23,D22,'2.2- Amortissement'!$C$9:$C$23,C22)</f>
        <v>0</v>
      </c>
      <c r="F22" s="677">
        <f t="shared" si="3"/>
        <v>0</v>
      </c>
      <c r="G22" s="581"/>
      <c r="H22" s="569" t="str">
        <f t="shared" si="4"/>
        <v/>
      </c>
      <c r="I22" s="1430"/>
      <c r="J22" s="1441" t="str">
        <f t="shared" si="5"/>
        <v>Partenaire 4</v>
      </c>
      <c r="K22" s="1240" t="str">
        <f t="shared" si="6"/>
        <v>Projets groupes opérationnels</v>
      </c>
      <c r="L22" s="679">
        <f>IF(AND(K22="",J22=""),"",SUMIFS('1- Frais personnel'!$AI$9:$AI$68,'1- Frais personnel'!$T$9:$T$68,K22,'1- Frais personnel'!$S$9:$S$68,J22)+SUMIFS('2.1- Investissements'!$BS$11:$BS$50,'2.1- Investissements'!$AK$11:$AK$50,K22,'2.1- Investissements'!$AJ$11:$AJ$50,J22,'2.1- Investissements'!$AN$11:$AN$50,"Non")+SUMIFS('4- Déplacement &amp; hébergement'!$BO$10:$BO$49,'4- Déplacement &amp; hébergement'!$AI$10:$AI$49,K22,'4- Déplacement &amp; hébergement'!$AH$10:$AH$49,J22)+SUMIFS('5- Contribution en nature'!$Z$9:$Z$48,'5- Contribution en nature'!$P$9:$P$48,K22,'5- Contribution en nature'!$O$9:$O$48,J22)+SUMIFS('2.2- Amortissement'!$AJ$9:$AJ$23,'2.2- Amortissement'!$U$9:$U$23,K22,'2.2- Amortissement'!$T$9:$T$23,J22))</f>
        <v>0</v>
      </c>
      <c r="M22" s="678">
        <f t="shared" si="7"/>
        <v>0</v>
      </c>
      <c r="N22" s="567" t="str">
        <f t="shared" si="8"/>
        <v/>
      </c>
      <c r="O22" s="568" t="str">
        <f t="shared" si="9"/>
        <v/>
      </c>
      <c r="P22" s="570"/>
      <c r="Q22" s="1181" t="str" cm="1">
        <f t="array" ref="Q22">IF(OR(O22="",H22=""),"",_xlfn.IFS(
ROUND(IFERROR(VALUE(TRIM(SUBSTITUTE(O22,CHAR(160),""))),0),2)&gt;
ROUND(IFERROR(VALUE(TRIM(SUBSTITUTE(H22,CHAR(160),""))),0),2),
"KO : Le montant retenu est supérieur au montant présenté. Merci de revoir la ligne de contributions ou plafonner son montant.",
ROUND(IFERROR(VALUE(TRIM(SUBSTITUTE(H22,CHAR(160),""))),0),2)=0,
"",
ROUND(IFERROR(VALUE(TRIM(SUBSTITUTE(O22,CHAR(160),""))),0),2)=
ROUND(IFERROR(VALUE(TRIM(SUBSTITUTE(H22,CHAR(160),""))),0),2),
"OK",
ROUND(IFERROR(VALUE(TRIM(SUBSTITUTE(O22,CHAR(160),""))),0),2)=0,
"Attention : Montant présenté entièrement rejeté.",
ROUND(IFERROR(VALUE(TRIM(SUBSTITUTE(O22,CHAR(160),""))),0),2)&lt;
ROUND(IFERROR(VALUE(TRIM(SUBSTITUTE(H22,CHAR(160),""))),0),2),
"Attention : Montant présenté partiellement rejeté.",
TRUE,""
))</f>
        <v/>
      </c>
      <c r="R22" s="1440" t="str">
        <f t="shared" si="10"/>
        <v/>
      </c>
    </row>
    <row r="23" spans="1:18" ht="21.95" customHeight="1">
      <c r="A23" s="1875"/>
      <c r="B23" s="303">
        <v>15</v>
      </c>
      <c r="C23" s="851" t="s">
        <v>14</v>
      </c>
      <c r="D23" s="851" t="s">
        <v>91</v>
      </c>
      <c r="E23" s="305">
        <f>SUMIFS('1- Frais personnel'!$Q$9:$Q$68,'1- Frais personnel'!$D$9:$D$68,D23,'1- Frais personnel'!$C$9:$C$68,C23)+SUMIFS('2.1- Investissements'!$AH$11:$AH$50,'2.1- Investissements'!$D$11:$D$50,D23,'2.1- Investissements'!$C$11:$C$50,C23,'2.1- Investissements'!$G$11:$G$50,"Non")+SUMIFS('4- Déplacement &amp; hébergement'!$AF$10:$AF$49,'4- Déplacement &amp; hébergement'!$D$10:$D$49,D23,'4- Déplacement &amp; hébergement'!$C$10:$C$49,C23)+SUMIFS('5- Contribution en nature'!$M$9:$M$48,'5- Contribution en nature'!$D$9:$D$48,D23,'5- Contribution en nature'!$C$9:$C$48,C23)+SUMIFS('2.2- Amortissement'!$Q$9:$Q$23,'2.2- Amortissement'!$D$9:$D$23,D23,'2.2- Amortissement'!$C$9:$C$23,C23)</f>
        <v>0</v>
      </c>
      <c r="F23" s="677">
        <f t="shared" si="3"/>
        <v>0</v>
      </c>
      <c r="G23" s="581"/>
      <c r="H23" s="569" t="str">
        <f t="shared" si="4"/>
        <v/>
      </c>
      <c r="I23" s="1430"/>
      <c r="J23" s="1441" t="str">
        <f t="shared" si="5"/>
        <v>Partenaire 4</v>
      </c>
      <c r="K23" s="1240" t="str">
        <f t="shared" si="6"/>
        <v>Diffusion résultats</v>
      </c>
      <c r="L23" s="679">
        <f>IF(AND(K23="",J23=""),"",SUMIFS('1- Frais personnel'!$AI$9:$AI$68,'1- Frais personnel'!$T$9:$T$68,K23,'1- Frais personnel'!$S$9:$S$68,J23)+SUMIFS('2.1- Investissements'!$BS$11:$BS$50,'2.1- Investissements'!$AK$11:$AK$50,K23,'2.1- Investissements'!$AJ$11:$AJ$50,J23,'2.1- Investissements'!$AN$11:$AN$50,"Non")+SUMIFS('4- Déplacement &amp; hébergement'!$BO$10:$BO$49,'4- Déplacement &amp; hébergement'!$AI$10:$AI$49,K23,'4- Déplacement &amp; hébergement'!$AH$10:$AH$49,J23)+SUMIFS('5- Contribution en nature'!$Z$9:$Z$48,'5- Contribution en nature'!$P$9:$P$48,K23,'5- Contribution en nature'!$O$9:$O$48,J23)+SUMIFS('2.2- Amortissement'!$AJ$9:$AJ$23,'2.2- Amortissement'!$U$9:$U$23,K23,'2.2- Amortissement'!$T$9:$T$23,J23))</f>
        <v>0</v>
      </c>
      <c r="M23" s="678">
        <f t="shared" si="7"/>
        <v>0</v>
      </c>
      <c r="N23" s="567" t="str">
        <f t="shared" si="8"/>
        <v/>
      </c>
      <c r="O23" s="568" t="str">
        <f t="shared" si="9"/>
        <v/>
      </c>
      <c r="P23" s="570"/>
      <c r="Q23" s="1181" t="str" cm="1">
        <f t="array" ref="Q23">IF(OR(O23="",H23=""),"",_xlfn.IFS(
ROUND(IFERROR(VALUE(TRIM(SUBSTITUTE(O23,CHAR(160),""))),0),2)&gt;
ROUND(IFERROR(VALUE(TRIM(SUBSTITUTE(H23,CHAR(160),""))),0),2),
"KO : Le montant retenu est supérieur au montant présenté. Merci de revoir la ligne de contributions ou plafonner son montant.",
ROUND(IFERROR(VALUE(TRIM(SUBSTITUTE(H23,CHAR(160),""))),0),2)=0,
"",
ROUND(IFERROR(VALUE(TRIM(SUBSTITUTE(O23,CHAR(160),""))),0),2)=
ROUND(IFERROR(VALUE(TRIM(SUBSTITUTE(H23,CHAR(160),""))),0),2),
"OK",
ROUND(IFERROR(VALUE(TRIM(SUBSTITUTE(O23,CHAR(160),""))),0),2)=0,
"Attention : Montant présenté entièrement rejeté.",
ROUND(IFERROR(VALUE(TRIM(SUBSTITUTE(O23,CHAR(160),""))),0),2)&lt;
ROUND(IFERROR(VALUE(TRIM(SUBSTITUTE(H23,CHAR(160),""))),0),2),
"Attention : Montant présenté partiellement rejeté.",
TRUE,""
))</f>
        <v/>
      </c>
      <c r="R23" s="1440" t="str">
        <f t="shared" si="10"/>
        <v/>
      </c>
    </row>
    <row r="24" spans="1:18" ht="21.95" customHeight="1">
      <c r="A24" s="1875"/>
      <c r="B24" s="303">
        <v>16</v>
      </c>
      <c r="C24" s="851" t="s">
        <v>15</v>
      </c>
      <c r="D24" s="851" t="s">
        <v>85</v>
      </c>
      <c r="E24" s="305">
        <f>SUMIFS('1- Frais personnel'!$Q$9:$Q$68,'1- Frais personnel'!$D$9:$D$68,D24,'1- Frais personnel'!$C$9:$C$68,C24)+SUMIFS('2.1- Investissements'!$AH$11:$AH$50,'2.1- Investissements'!$D$11:$D$50,D24,'2.1- Investissements'!$C$11:$C$50,C24,'2.1- Investissements'!$G$11:$G$50,"Non")+SUMIFS('4- Déplacement &amp; hébergement'!$AF$10:$AF$49,'4- Déplacement &amp; hébergement'!$D$10:$D$49,D24,'4- Déplacement &amp; hébergement'!$C$10:$C$49,C24)+SUMIFS('5- Contribution en nature'!$M$9:$M$48,'5- Contribution en nature'!$D$9:$D$48,D24,'5- Contribution en nature'!$C$9:$C$48,C24)+SUMIFS('2.2- Amortissement'!$Q$9:$Q$23,'2.2- Amortissement'!$D$9:$D$23,D24,'2.2- Amortissement'!$C$9:$C$23,C24)</f>
        <v>0</v>
      </c>
      <c r="F24" s="677">
        <f t="shared" si="3"/>
        <v>0</v>
      </c>
      <c r="G24" s="581"/>
      <c r="H24" s="569" t="str">
        <f t="shared" si="4"/>
        <v/>
      </c>
      <c r="I24" s="1430"/>
      <c r="J24" s="1441" t="str">
        <f t="shared" si="5"/>
        <v>Partenaire 5</v>
      </c>
      <c r="K24" s="1240" t="str">
        <f t="shared" si="6"/>
        <v>Création groupes opérationnels</v>
      </c>
      <c r="L24" s="679">
        <f>IF(AND(K24="",J24=""),"",SUMIFS('1- Frais personnel'!$AI$9:$AI$68,'1- Frais personnel'!$T$9:$T$68,K24,'1- Frais personnel'!$S$9:$S$68,J24)+SUMIFS('2.1- Investissements'!$BS$11:$BS$50,'2.1- Investissements'!$AK$11:$AK$50,K24,'2.1- Investissements'!$AJ$11:$AJ$50,J24,'2.1- Investissements'!$AN$11:$AN$50,"Non")+SUMIFS('4- Déplacement &amp; hébergement'!$BO$10:$BO$49,'4- Déplacement &amp; hébergement'!$AI$10:$AI$49,K24,'4- Déplacement &amp; hébergement'!$AH$10:$AH$49,J24)+SUMIFS('5- Contribution en nature'!$Z$9:$Z$48,'5- Contribution en nature'!$P$9:$P$48,K24,'5- Contribution en nature'!$O$9:$O$48,J24)+SUMIFS('2.2- Amortissement'!$AJ$9:$AJ$23,'2.2- Amortissement'!$U$9:$U$23,K24,'2.2- Amortissement'!$T$9:$T$23,J24))</f>
        <v>0</v>
      </c>
      <c r="M24" s="678">
        <f t="shared" si="7"/>
        <v>0</v>
      </c>
      <c r="N24" s="567" t="str">
        <f t="shared" si="8"/>
        <v/>
      </c>
      <c r="O24" s="568" t="str">
        <f t="shared" si="9"/>
        <v/>
      </c>
      <c r="P24" s="570"/>
      <c r="Q24" s="1181" t="str" cm="1">
        <f t="array" ref="Q24">IF(OR(O24="",H24=""),"",_xlfn.IFS(
ROUND(IFERROR(VALUE(TRIM(SUBSTITUTE(O24,CHAR(160),""))),0),2)&gt;
ROUND(IFERROR(VALUE(TRIM(SUBSTITUTE(H24,CHAR(160),""))),0),2),
"KO : Le montant retenu est supérieur au montant présenté. Merci de revoir la ligne de contributions ou plafonner son montant.",
ROUND(IFERROR(VALUE(TRIM(SUBSTITUTE(H24,CHAR(160),""))),0),2)=0,
"",
ROUND(IFERROR(VALUE(TRIM(SUBSTITUTE(O24,CHAR(160),""))),0),2)=
ROUND(IFERROR(VALUE(TRIM(SUBSTITUTE(H24,CHAR(160),""))),0),2),
"OK",
ROUND(IFERROR(VALUE(TRIM(SUBSTITUTE(O24,CHAR(160),""))),0),2)=0,
"Attention : Montant présenté entièrement rejeté.",
ROUND(IFERROR(VALUE(TRIM(SUBSTITUTE(O24,CHAR(160),""))),0),2)&lt;
ROUND(IFERROR(VALUE(TRIM(SUBSTITUTE(H24,CHAR(160),""))),0),2),
"Attention : Montant présenté partiellement rejeté.",
TRUE,""
))</f>
        <v/>
      </c>
      <c r="R24" s="1440" t="str">
        <f t="shared" si="10"/>
        <v/>
      </c>
    </row>
    <row r="25" spans="1:18" ht="21.95" customHeight="1">
      <c r="A25" s="1875"/>
      <c r="B25" s="303">
        <v>17</v>
      </c>
      <c r="C25" s="851" t="s">
        <v>15</v>
      </c>
      <c r="D25" s="851" t="s">
        <v>88</v>
      </c>
      <c r="E25" s="305">
        <f>SUMIFS('1- Frais personnel'!$Q$9:$Q$68,'1- Frais personnel'!$D$9:$D$68,D25,'1- Frais personnel'!$C$9:$C$68,C25)+SUMIFS('2.1- Investissements'!$AH$11:$AH$50,'2.1- Investissements'!$D$11:$D$50,D25,'2.1- Investissements'!$C$11:$C$50,C25,'2.1- Investissements'!$G$11:$G$50,"Non")+SUMIFS('4- Déplacement &amp; hébergement'!$AF$10:$AF$49,'4- Déplacement &amp; hébergement'!$D$10:$D$49,D25,'4- Déplacement &amp; hébergement'!$C$10:$C$49,C25)+SUMIFS('5- Contribution en nature'!$M$9:$M$48,'5- Contribution en nature'!$D$9:$D$48,D25,'5- Contribution en nature'!$C$9:$C$48,C25)+SUMIFS('2.2- Amortissement'!$Q$9:$Q$23,'2.2- Amortissement'!$D$9:$D$23,D25,'2.2- Amortissement'!$C$9:$C$23,C25)</f>
        <v>0</v>
      </c>
      <c r="F25" s="677">
        <f t="shared" si="3"/>
        <v>0</v>
      </c>
      <c r="G25" s="581"/>
      <c r="H25" s="569" t="str">
        <f t="shared" si="4"/>
        <v/>
      </c>
      <c r="I25" s="1430"/>
      <c r="J25" s="1441" t="str">
        <f t="shared" si="5"/>
        <v>Partenaire 5</v>
      </c>
      <c r="K25" s="1240" t="str">
        <f t="shared" si="6"/>
        <v>Projets groupes opérationnels</v>
      </c>
      <c r="L25" s="679">
        <f>IF(AND(K25="",J25=""),"",SUMIFS('1- Frais personnel'!$AI$9:$AI$68,'1- Frais personnel'!$T$9:$T$68,K25,'1- Frais personnel'!$S$9:$S$68,J25)+SUMIFS('2.1- Investissements'!$BS$11:$BS$50,'2.1- Investissements'!$AK$11:$AK$50,K25,'2.1- Investissements'!$AJ$11:$AJ$50,J25,'2.1- Investissements'!$AN$11:$AN$50,"Non")+SUMIFS('4- Déplacement &amp; hébergement'!$BO$10:$BO$49,'4- Déplacement &amp; hébergement'!$AI$10:$AI$49,K25,'4- Déplacement &amp; hébergement'!$AH$10:$AH$49,J25)+SUMIFS('5- Contribution en nature'!$Z$9:$Z$48,'5- Contribution en nature'!$P$9:$P$48,K25,'5- Contribution en nature'!$O$9:$O$48,J25)+SUMIFS('2.2- Amortissement'!$AJ$9:$AJ$23,'2.2- Amortissement'!$U$9:$U$23,K25,'2.2- Amortissement'!$T$9:$T$23,J25))</f>
        <v>0</v>
      </c>
      <c r="M25" s="678">
        <f t="shared" si="7"/>
        <v>0</v>
      </c>
      <c r="N25" s="567" t="str">
        <f t="shared" si="8"/>
        <v/>
      </c>
      <c r="O25" s="568" t="str">
        <f t="shared" si="9"/>
        <v/>
      </c>
      <c r="P25" s="570"/>
      <c r="Q25" s="1181" t="str" cm="1">
        <f t="array" ref="Q25">IF(OR(O25="",H25=""),"",_xlfn.IFS(
ROUND(IFERROR(VALUE(TRIM(SUBSTITUTE(O25,CHAR(160),""))),0),2)&gt;
ROUND(IFERROR(VALUE(TRIM(SUBSTITUTE(H25,CHAR(160),""))),0),2),
"KO : Le montant retenu est supérieur au montant présenté. Merci de revoir la ligne de contributions ou plafonner son montant.",
ROUND(IFERROR(VALUE(TRIM(SUBSTITUTE(H25,CHAR(160),""))),0),2)=0,
"",
ROUND(IFERROR(VALUE(TRIM(SUBSTITUTE(O25,CHAR(160),""))),0),2)=
ROUND(IFERROR(VALUE(TRIM(SUBSTITUTE(H25,CHAR(160),""))),0),2),
"OK",
ROUND(IFERROR(VALUE(TRIM(SUBSTITUTE(O25,CHAR(160),""))),0),2)=0,
"Attention : Montant présenté entièrement rejeté.",
ROUND(IFERROR(VALUE(TRIM(SUBSTITUTE(O25,CHAR(160),""))),0),2)&lt;
ROUND(IFERROR(VALUE(TRIM(SUBSTITUTE(H25,CHAR(160),""))),0),2),
"Attention : Montant présenté partiellement rejeté.",
TRUE,""
))</f>
        <v/>
      </c>
      <c r="R25" s="1440" t="str">
        <f t="shared" si="10"/>
        <v/>
      </c>
    </row>
    <row r="26" spans="1:18" ht="21.95" customHeight="1">
      <c r="A26" s="1875"/>
      <c r="B26" s="303">
        <v>18</v>
      </c>
      <c r="C26" s="851" t="s">
        <v>15</v>
      </c>
      <c r="D26" s="851" t="s">
        <v>91</v>
      </c>
      <c r="E26" s="305">
        <f>SUMIFS('1- Frais personnel'!$Q$9:$Q$68,'1- Frais personnel'!$D$9:$D$68,D26,'1- Frais personnel'!$C$9:$C$68,C26)+SUMIFS('2.1- Investissements'!$AH$11:$AH$50,'2.1- Investissements'!$D$11:$D$50,D26,'2.1- Investissements'!$C$11:$C$50,C26,'2.1- Investissements'!$G$11:$G$50,"Non")+SUMIFS('4- Déplacement &amp; hébergement'!$AF$10:$AF$49,'4- Déplacement &amp; hébergement'!$D$10:$D$49,D26,'4- Déplacement &amp; hébergement'!$C$10:$C$49,C26)+SUMIFS('5- Contribution en nature'!$M$9:$M$48,'5- Contribution en nature'!$D$9:$D$48,D26,'5- Contribution en nature'!$C$9:$C$48,C26)+SUMIFS('2.2- Amortissement'!$Q$9:$Q$23,'2.2- Amortissement'!$D$9:$D$23,D26,'2.2- Amortissement'!$C$9:$C$23,C26)</f>
        <v>0</v>
      </c>
      <c r="F26" s="677">
        <f t="shared" si="3"/>
        <v>0</v>
      </c>
      <c r="G26" s="581"/>
      <c r="H26" s="569" t="str">
        <f t="shared" si="4"/>
        <v/>
      </c>
      <c r="I26" s="1430"/>
      <c r="J26" s="1441" t="str">
        <f t="shared" si="5"/>
        <v>Partenaire 5</v>
      </c>
      <c r="K26" s="1240" t="str">
        <f t="shared" si="6"/>
        <v>Diffusion résultats</v>
      </c>
      <c r="L26" s="679">
        <f>IF(AND(K26="",J26=""),"",SUMIFS('1- Frais personnel'!$AI$9:$AI$68,'1- Frais personnel'!$T$9:$T$68,K26,'1- Frais personnel'!$S$9:$S$68,J26)+SUMIFS('2.1- Investissements'!$BS$11:$BS$50,'2.1- Investissements'!$AK$11:$AK$50,K26,'2.1- Investissements'!$AJ$11:$AJ$50,J26,'2.1- Investissements'!$AN$11:$AN$50,"Non")+SUMIFS('4- Déplacement &amp; hébergement'!$BO$10:$BO$49,'4- Déplacement &amp; hébergement'!$AI$10:$AI$49,K26,'4- Déplacement &amp; hébergement'!$AH$10:$AH$49,J26)+SUMIFS('5- Contribution en nature'!$Z$9:$Z$48,'5- Contribution en nature'!$P$9:$P$48,K26,'5- Contribution en nature'!$O$9:$O$48,J26)+SUMIFS('2.2- Amortissement'!$AJ$9:$AJ$23,'2.2- Amortissement'!$U$9:$U$23,K26,'2.2- Amortissement'!$T$9:$T$23,J26))</f>
        <v>0</v>
      </c>
      <c r="M26" s="678">
        <f t="shared" si="7"/>
        <v>0</v>
      </c>
      <c r="N26" s="567" t="str">
        <f t="shared" si="8"/>
        <v/>
      </c>
      <c r="O26" s="568" t="str">
        <f t="shared" si="9"/>
        <v/>
      </c>
      <c r="P26" s="570"/>
      <c r="Q26" s="1181" t="str" cm="1">
        <f t="array" ref="Q26">IF(OR(O26="",H26=""),"",_xlfn.IFS(
ROUND(IFERROR(VALUE(TRIM(SUBSTITUTE(O26,CHAR(160),""))),0),2)&gt;
ROUND(IFERROR(VALUE(TRIM(SUBSTITUTE(H26,CHAR(160),""))),0),2),
"KO : Le montant retenu est supérieur au montant présenté. Merci de revoir la ligne de contributions ou plafonner son montant.",
ROUND(IFERROR(VALUE(TRIM(SUBSTITUTE(H26,CHAR(160),""))),0),2)=0,
"",
ROUND(IFERROR(VALUE(TRIM(SUBSTITUTE(O26,CHAR(160),""))),0),2)=
ROUND(IFERROR(VALUE(TRIM(SUBSTITUTE(H26,CHAR(160),""))),0),2),
"OK",
ROUND(IFERROR(VALUE(TRIM(SUBSTITUTE(O26,CHAR(160),""))),0),2)=0,
"Attention : Montant présenté entièrement rejeté.",
ROUND(IFERROR(VALUE(TRIM(SUBSTITUTE(O26,CHAR(160),""))),0),2)&lt;
ROUND(IFERROR(VALUE(TRIM(SUBSTITUTE(H26,CHAR(160),""))),0),2),
"Attention : Montant présenté partiellement rejeté.",
TRUE,""
))</f>
        <v/>
      </c>
      <c r="R26" s="1440" t="str">
        <f t="shared" si="10"/>
        <v/>
      </c>
    </row>
    <row r="27" spans="1:18" ht="21.95" customHeight="1">
      <c r="A27" s="1875"/>
      <c r="B27" s="303">
        <v>19</v>
      </c>
      <c r="C27" s="851" t="s">
        <v>16</v>
      </c>
      <c r="D27" s="851" t="s">
        <v>85</v>
      </c>
      <c r="E27" s="305">
        <f>SUMIFS('1- Frais personnel'!$Q$9:$Q$68,'1- Frais personnel'!$D$9:$D$68,D27,'1- Frais personnel'!$C$9:$C$68,C27)+SUMIFS('2.1- Investissements'!$AH$11:$AH$50,'2.1- Investissements'!$D$11:$D$50,D27,'2.1- Investissements'!$C$11:$C$50,C27,'2.1- Investissements'!$G$11:$G$50,"Non")+SUMIFS('4- Déplacement &amp; hébergement'!$AF$10:$AF$49,'4- Déplacement &amp; hébergement'!$D$10:$D$49,D27,'4- Déplacement &amp; hébergement'!$C$10:$C$49,C27)+SUMIFS('5- Contribution en nature'!$M$9:$M$48,'5- Contribution en nature'!$D$9:$D$48,D27,'5- Contribution en nature'!$C$9:$C$48,C27)+SUMIFS('2.2- Amortissement'!$Q$9:$Q$23,'2.2- Amortissement'!$D$9:$D$23,D27,'2.2- Amortissement'!$C$9:$C$23,C27)</f>
        <v>0</v>
      </c>
      <c r="F27" s="677">
        <f t="shared" si="3"/>
        <v>0</v>
      </c>
      <c r="G27" s="581"/>
      <c r="H27" s="569" t="str">
        <f t="shared" si="4"/>
        <v/>
      </c>
      <c r="I27" s="1430"/>
      <c r="J27" s="1441" t="str">
        <f t="shared" si="5"/>
        <v>Partenaire 6</v>
      </c>
      <c r="K27" s="1240" t="str">
        <f t="shared" si="6"/>
        <v>Création groupes opérationnels</v>
      </c>
      <c r="L27" s="679">
        <f>IF(AND(K27="",J27=""),"",SUMIFS('1- Frais personnel'!$AI$9:$AI$68,'1- Frais personnel'!$T$9:$T$68,K27,'1- Frais personnel'!$S$9:$S$68,J27)+SUMIFS('2.1- Investissements'!$BS$11:$BS$50,'2.1- Investissements'!$AK$11:$AK$50,K27,'2.1- Investissements'!$AJ$11:$AJ$50,J27,'2.1- Investissements'!$AN$11:$AN$50,"Non")+SUMIFS('4- Déplacement &amp; hébergement'!$BO$10:$BO$49,'4- Déplacement &amp; hébergement'!$AI$10:$AI$49,K27,'4- Déplacement &amp; hébergement'!$AH$10:$AH$49,J27)+SUMIFS('5- Contribution en nature'!$Z$9:$Z$48,'5- Contribution en nature'!$P$9:$P$48,K27,'5- Contribution en nature'!$O$9:$O$48,J27)+SUMIFS('2.2- Amortissement'!$AJ$9:$AJ$23,'2.2- Amortissement'!$U$9:$U$23,K27,'2.2- Amortissement'!$T$9:$T$23,J27))</f>
        <v>0</v>
      </c>
      <c r="M27" s="678">
        <f t="shared" si="7"/>
        <v>0</v>
      </c>
      <c r="N27" s="567" t="str">
        <f t="shared" si="8"/>
        <v/>
      </c>
      <c r="O27" s="568" t="str">
        <f t="shared" si="9"/>
        <v/>
      </c>
      <c r="P27" s="570"/>
      <c r="Q27" s="1181" t="str" cm="1">
        <f t="array" ref="Q27">IF(OR(O27="",H27=""),"",_xlfn.IFS(
ROUND(IFERROR(VALUE(TRIM(SUBSTITUTE(O27,CHAR(160),""))),0),2)&gt;
ROUND(IFERROR(VALUE(TRIM(SUBSTITUTE(H27,CHAR(160),""))),0),2),
"KO : Le montant retenu est supérieur au montant présenté. Merci de revoir la ligne de contributions ou plafonner son montant.",
ROUND(IFERROR(VALUE(TRIM(SUBSTITUTE(H27,CHAR(160),""))),0),2)=0,
"",
ROUND(IFERROR(VALUE(TRIM(SUBSTITUTE(O27,CHAR(160),""))),0),2)=
ROUND(IFERROR(VALUE(TRIM(SUBSTITUTE(H27,CHAR(160),""))),0),2),
"OK",
ROUND(IFERROR(VALUE(TRIM(SUBSTITUTE(O27,CHAR(160),""))),0),2)=0,
"Attention : Montant présenté entièrement rejeté.",
ROUND(IFERROR(VALUE(TRIM(SUBSTITUTE(O27,CHAR(160),""))),0),2)&lt;
ROUND(IFERROR(VALUE(TRIM(SUBSTITUTE(H27,CHAR(160),""))),0),2),
"Attention : Montant présenté partiellement rejeté.",
TRUE,""
))</f>
        <v/>
      </c>
      <c r="R27" s="1440" t="str">
        <f t="shared" si="10"/>
        <v/>
      </c>
    </row>
    <row r="28" spans="1:18" ht="21.95" customHeight="1">
      <c r="A28" s="1875"/>
      <c r="B28" s="303">
        <v>20</v>
      </c>
      <c r="C28" s="851" t="s">
        <v>16</v>
      </c>
      <c r="D28" s="851" t="s">
        <v>88</v>
      </c>
      <c r="E28" s="305">
        <f>SUMIFS('1- Frais personnel'!$Q$9:$Q$68,'1- Frais personnel'!$D$9:$D$68,D28,'1- Frais personnel'!$C$9:$C$68,C28)+SUMIFS('2.1- Investissements'!$AH$11:$AH$50,'2.1- Investissements'!$D$11:$D$50,D28,'2.1- Investissements'!$C$11:$C$50,C28,'2.1- Investissements'!$G$11:$G$50,"Non")+SUMIFS('4- Déplacement &amp; hébergement'!$AF$10:$AF$49,'4- Déplacement &amp; hébergement'!$D$10:$D$49,D28,'4- Déplacement &amp; hébergement'!$C$10:$C$49,C28)+SUMIFS('5- Contribution en nature'!$M$9:$M$48,'5- Contribution en nature'!$D$9:$D$48,D28,'5- Contribution en nature'!$C$9:$C$48,C28)+SUMIFS('2.2- Amortissement'!$Q$9:$Q$23,'2.2- Amortissement'!$D$9:$D$23,D28,'2.2- Amortissement'!$C$9:$C$23,C28)</f>
        <v>0</v>
      </c>
      <c r="F28" s="677">
        <f t="shared" si="3"/>
        <v>0</v>
      </c>
      <c r="G28" s="581"/>
      <c r="H28" s="569" t="str">
        <f t="shared" si="4"/>
        <v/>
      </c>
      <c r="I28" s="1430"/>
      <c r="J28" s="1441" t="str">
        <f t="shared" si="5"/>
        <v>Partenaire 6</v>
      </c>
      <c r="K28" s="1240" t="str">
        <f t="shared" si="6"/>
        <v>Projets groupes opérationnels</v>
      </c>
      <c r="L28" s="679">
        <f>IF(AND(K28="",J28=""),"",SUMIFS('1- Frais personnel'!$AI$9:$AI$68,'1- Frais personnel'!$T$9:$T$68,K28,'1- Frais personnel'!$S$9:$S$68,J28)+SUMIFS('2.1- Investissements'!$BS$11:$BS$50,'2.1- Investissements'!$AK$11:$AK$50,K28,'2.1- Investissements'!$AJ$11:$AJ$50,J28,'2.1- Investissements'!$AN$11:$AN$50,"Non")+SUMIFS('4- Déplacement &amp; hébergement'!$BO$10:$BO$49,'4- Déplacement &amp; hébergement'!$AI$10:$AI$49,K28,'4- Déplacement &amp; hébergement'!$AH$10:$AH$49,J28)+SUMIFS('5- Contribution en nature'!$Z$9:$Z$48,'5- Contribution en nature'!$P$9:$P$48,K28,'5- Contribution en nature'!$O$9:$O$48,J28)+SUMIFS('2.2- Amortissement'!$AJ$9:$AJ$23,'2.2- Amortissement'!$U$9:$U$23,K28,'2.2- Amortissement'!$T$9:$T$23,J28))</f>
        <v>0</v>
      </c>
      <c r="M28" s="678">
        <f t="shared" si="7"/>
        <v>0</v>
      </c>
      <c r="N28" s="567" t="str">
        <f t="shared" si="8"/>
        <v/>
      </c>
      <c r="O28" s="568" t="str">
        <f t="shared" si="9"/>
        <v/>
      </c>
      <c r="P28" s="570"/>
      <c r="Q28" s="1181" t="str" cm="1">
        <f t="array" ref="Q28">IF(OR(O28="",H28=""),"",_xlfn.IFS(
ROUND(IFERROR(VALUE(TRIM(SUBSTITUTE(O28,CHAR(160),""))),0),2)&gt;
ROUND(IFERROR(VALUE(TRIM(SUBSTITUTE(H28,CHAR(160),""))),0),2),
"KO : Le montant retenu est supérieur au montant présenté. Merci de revoir la ligne de contributions ou plafonner son montant.",
ROUND(IFERROR(VALUE(TRIM(SUBSTITUTE(H28,CHAR(160),""))),0),2)=0,
"",
ROUND(IFERROR(VALUE(TRIM(SUBSTITUTE(O28,CHAR(160),""))),0),2)=
ROUND(IFERROR(VALUE(TRIM(SUBSTITUTE(H28,CHAR(160),""))),0),2),
"OK",
ROUND(IFERROR(VALUE(TRIM(SUBSTITUTE(O28,CHAR(160),""))),0),2)=0,
"Attention : Montant présenté entièrement rejeté.",
ROUND(IFERROR(VALUE(TRIM(SUBSTITUTE(O28,CHAR(160),""))),0),2)&lt;
ROUND(IFERROR(VALUE(TRIM(SUBSTITUTE(H28,CHAR(160),""))),0),2),
"Attention : Montant présenté partiellement rejeté.",
TRUE,""
))</f>
        <v/>
      </c>
      <c r="R28" s="1440" t="str">
        <f t="shared" si="10"/>
        <v/>
      </c>
    </row>
    <row r="29" spans="1:18" ht="21.95" customHeight="1">
      <c r="A29" s="1875"/>
      <c r="B29" s="303">
        <v>21</v>
      </c>
      <c r="C29" s="851" t="s">
        <v>16</v>
      </c>
      <c r="D29" s="851" t="s">
        <v>91</v>
      </c>
      <c r="E29" s="305">
        <f>SUMIFS('1- Frais personnel'!$Q$9:$Q$68,'1- Frais personnel'!$D$9:$D$68,D29,'1- Frais personnel'!$C$9:$C$68,C29)+SUMIFS('2.1- Investissements'!$AH$11:$AH$50,'2.1- Investissements'!$D$11:$D$50,D29,'2.1- Investissements'!$C$11:$C$50,C29,'2.1- Investissements'!$G$11:$G$50,"Non")+SUMIFS('4- Déplacement &amp; hébergement'!$AF$10:$AF$49,'4- Déplacement &amp; hébergement'!$D$10:$D$49,D29,'4- Déplacement &amp; hébergement'!$C$10:$C$49,C29)+SUMIFS('5- Contribution en nature'!$M$9:$M$48,'5- Contribution en nature'!$D$9:$D$48,D29,'5- Contribution en nature'!$C$9:$C$48,C29)+SUMIFS('2.2- Amortissement'!$Q$9:$Q$23,'2.2- Amortissement'!$D$9:$D$23,D29,'2.2- Amortissement'!$C$9:$C$23,C29)</f>
        <v>0</v>
      </c>
      <c r="F29" s="677">
        <f t="shared" si="3"/>
        <v>0</v>
      </c>
      <c r="G29" s="581"/>
      <c r="H29" s="569" t="str">
        <f t="shared" si="4"/>
        <v/>
      </c>
      <c r="I29" s="1430"/>
      <c r="J29" s="1441" t="str">
        <f t="shared" si="5"/>
        <v>Partenaire 6</v>
      </c>
      <c r="K29" s="1240" t="str">
        <f t="shared" si="6"/>
        <v>Diffusion résultats</v>
      </c>
      <c r="L29" s="679">
        <f>IF(AND(K29="",J29=""),"",SUMIFS('1- Frais personnel'!$AI$9:$AI$68,'1- Frais personnel'!$T$9:$T$68,K29,'1- Frais personnel'!$S$9:$S$68,J29)+SUMIFS('2.1- Investissements'!$BS$11:$BS$50,'2.1- Investissements'!$AK$11:$AK$50,K29,'2.1- Investissements'!$AJ$11:$AJ$50,J29,'2.1- Investissements'!$AN$11:$AN$50,"Non")+SUMIFS('4- Déplacement &amp; hébergement'!$BO$10:$BO$49,'4- Déplacement &amp; hébergement'!$AI$10:$AI$49,K29,'4- Déplacement &amp; hébergement'!$AH$10:$AH$49,J29)+SUMIFS('5- Contribution en nature'!$Z$9:$Z$48,'5- Contribution en nature'!$P$9:$P$48,K29,'5- Contribution en nature'!$O$9:$O$48,J29)+SUMIFS('2.2- Amortissement'!$AJ$9:$AJ$23,'2.2- Amortissement'!$U$9:$U$23,K29,'2.2- Amortissement'!$T$9:$T$23,J29))</f>
        <v>0</v>
      </c>
      <c r="M29" s="678">
        <f t="shared" si="7"/>
        <v>0</v>
      </c>
      <c r="N29" s="567" t="str">
        <f t="shared" si="8"/>
        <v/>
      </c>
      <c r="O29" s="568" t="str">
        <f t="shared" si="9"/>
        <v/>
      </c>
      <c r="P29" s="570"/>
      <c r="Q29" s="1181" t="str" cm="1">
        <f t="array" ref="Q29">IF(OR(O29="",H29=""),"",_xlfn.IFS(
ROUND(IFERROR(VALUE(TRIM(SUBSTITUTE(O29,CHAR(160),""))),0),2)&gt;
ROUND(IFERROR(VALUE(TRIM(SUBSTITUTE(H29,CHAR(160),""))),0),2),
"KO : Le montant retenu est supérieur au montant présenté. Merci de revoir la ligne de contributions ou plafonner son montant.",
ROUND(IFERROR(VALUE(TRIM(SUBSTITUTE(H29,CHAR(160),""))),0),2)=0,
"",
ROUND(IFERROR(VALUE(TRIM(SUBSTITUTE(O29,CHAR(160),""))),0),2)=
ROUND(IFERROR(VALUE(TRIM(SUBSTITUTE(H29,CHAR(160),""))),0),2),
"OK",
ROUND(IFERROR(VALUE(TRIM(SUBSTITUTE(O29,CHAR(160),""))),0),2)=0,
"Attention : Montant présenté entièrement rejeté.",
ROUND(IFERROR(VALUE(TRIM(SUBSTITUTE(O29,CHAR(160),""))),0),2)&lt;
ROUND(IFERROR(VALUE(TRIM(SUBSTITUTE(H29,CHAR(160),""))),0),2),
"Attention : Montant présenté partiellement rejeté.",
TRUE,""
))</f>
        <v/>
      </c>
      <c r="R29" s="1440" t="str">
        <f t="shared" si="10"/>
        <v/>
      </c>
    </row>
    <row r="30" spans="1:18" ht="21.95" customHeight="1">
      <c r="A30" s="1875"/>
      <c r="B30" s="303">
        <v>22</v>
      </c>
      <c r="C30" s="851" t="s">
        <v>17</v>
      </c>
      <c r="D30" s="851" t="s">
        <v>85</v>
      </c>
      <c r="E30" s="305">
        <f>SUMIFS('1- Frais personnel'!$Q$9:$Q$68,'1- Frais personnel'!$D$9:$D$68,D30,'1- Frais personnel'!$C$9:$C$68,C30)+SUMIFS('2.1- Investissements'!$AH$11:$AH$50,'2.1- Investissements'!$D$11:$D$50,D30,'2.1- Investissements'!$C$11:$C$50,C30,'2.1- Investissements'!$G$11:$G$50,"Non")+SUMIFS('4- Déplacement &amp; hébergement'!$AF$10:$AF$49,'4- Déplacement &amp; hébergement'!$D$10:$D$49,D30,'4- Déplacement &amp; hébergement'!$C$10:$C$49,C30)+SUMIFS('5- Contribution en nature'!$M$9:$M$48,'5- Contribution en nature'!$D$9:$D$48,D30,'5- Contribution en nature'!$C$9:$C$48,C30)+SUMIFS('2.2- Amortissement'!$Q$9:$Q$23,'2.2- Amortissement'!$D$9:$D$23,D30,'2.2- Amortissement'!$C$9:$C$23,C30)</f>
        <v>0</v>
      </c>
      <c r="F30" s="677">
        <f t="shared" si="3"/>
        <v>0</v>
      </c>
      <c r="G30" s="581"/>
      <c r="H30" s="569" t="str">
        <f t="shared" si="4"/>
        <v/>
      </c>
      <c r="I30" s="1430"/>
      <c r="J30" s="1441" t="str">
        <f t="shared" si="5"/>
        <v>Partenaire 7</v>
      </c>
      <c r="K30" s="1240" t="str">
        <f t="shared" si="6"/>
        <v>Création groupes opérationnels</v>
      </c>
      <c r="L30" s="679">
        <f>IF(AND(K30="",J30=""),"",SUMIFS('1- Frais personnel'!$AI$9:$AI$68,'1- Frais personnel'!$T$9:$T$68,K30,'1- Frais personnel'!$S$9:$S$68,J30)+SUMIFS('2.1- Investissements'!$BS$11:$BS$50,'2.1- Investissements'!$AK$11:$AK$50,K30,'2.1- Investissements'!$AJ$11:$AJ$50,J30,'2.1- Investissements'!$AN$11:$AN$50,"Non")+SUMIFS('4- Déplacement &amp; hébergement'!$BO$10:$BO$49,'4- Déplacement &amp; hébergement'!$AI$10:$AI$49,K30,'4- Déplacement &amp; hébergement'!$AH$10:$AH$49,J30)+SUMIFS('5- Contribution en nature'!$Z$9:$Z$48,'5- Contribution en nature'!$P$9:$P$48,K30,'5- Contribution en nature'!$O$9:$O$48,J30)+SUMIFS('2.2- Amortissement'!$AJ$9:$AJ$23,'2.2- Amortissement'!$U$9:$U$23,K30,'2.2- Amortissement'!$T$9:$T$23,J30))</f>
        <v>0</v>
      </c>
      <c r="M30" s="678">
        <f t="shared" si="7"/>
        <v>0</v>
      </c>
      <c r="N30" s="567" t="str">
        <f t="shared" si="8"/>
        <v/>
      </c>
      <c r="O30" s="568" t="str">
        <f t="shared" si="9"/>
        <v/>
      </c>
      <c r="P30" s="570"/>
      <c r="Q30" s="1181" t="str" cm="1">
        <f t="array" ref="Q30">IF(OR(O30="",H30=""),"",_xlfn.IFS(
ROUND(IFERROR(VALUE(TRIM(SUBSTITUTE(O30,CHAR(160),""))),0),2)&gt;
ROUND(IFERROR(VALUE(TRIM(SUBSTITUTE(H30,CHAR(160),""))),0),2),
"KO : Le montant retenu est supérieur au montant présenté. Merci de revoir la ligne de contributions ou plafonner son montant.",
ROUND(IFERROR(VALUE(TRIM(SUBSTITUTE(H30,CHAR(160),""))),0),2)=0,
"",
ROUND(IFERROR(VALUE(TRIM(SUBSTITUTE(O30,CHAR(160),""))),0),2)=
ROUND(IFERROR(VALUE(TRIM(SUBSTITUTE(H30,CHAR(160),""))),0),2),
"OK",
ROUND(IFERROR(VALUE(TRIM(SUBSTITUTE(O30,CHAR(160),""))),0),2)=0,
"Attention : Montant présenté entièrement rejeté.",
ROUND(IFERROR(VALUE(TRIM(SUBSTITUTE(O30,CHAR(160),""))),0),2)&lt;
ROUND(IFERROR(VALUE(TRIM(SUBSTITUTE(H30,CHAR(160),""))),0),2),
"Attention : Montant présenté partiellement rejeté.",
TRUE,""
))</f>
        <v/>
      </c>
      <c r="R30" s="1440" t="str">
        <f t="shared" si="10"/>
        <v/>
      </c>
    </row>
    <row r="31" spans="1:18" ht="21.95" customHeight="1">
      <c r="A31" s="1875"/>
      <c r="B31" s="303">
        <v>23</v>
      </c>
      <c r="C31" s="851" t="s">
        <v>17</v>
      </c>
      <c r="D31" s="851" t="s">
        <v>88</v>
      </c>
      <c r="E31" s="305">
        <f>SUMIFS('1- Frais personnel'!$Q$9:$Q$68,'1- Frais personnel'!$D$9:$D$68,D31,'1- Frais personnel'!$C$9:$C$68,C31)+SUMIFS('2.1- Investissements'!$AH$11:$AH$50,'2.1- Investissements'!$D$11:$D$50,D31,'2.1- Investissements'!$C$11:$C$50,C31,'2.1- Investissements'!$G$11:$G$50,"Non")+SUMIFS('4- Déplacement &amp; hébergement'!$AF$10:$AF$49,'4- Déplacement &amp; hébergement'!$D$10:$D$49,D31,'4- Déplacement &amp; hébergement'!$C$10:$C$49,C31)+SUMIFS('5- Contribution en nature'!$M$9:$M$48,'5- Contribution en nature'!$D$9:$D$48,D31,'5- Contribution en nature'!$C$9:$C$48,C31)+SUMIFS('2.2- Amortissement'!$Q$9:$Q$23,'2.2- Amortissement'!$D$9:$D$23,D31,'2.2- Amortissement'!$C$9:$C$23,C31)</f>
        <v>0</v>
      </c>
      <c r="F31" s="677">
        <f t="shared" si="3"/>
        <v>0</v>
      </c>
      <c r="G31" s="581"/>
      <c r="H31" s="569" t="str">
        <f t="shared" si="4"/>
        <v/>
      </c>
      <c r="I31" s="1430"/>
      <c r="J31" s="1441" t="str">
        <f t="shared" si="5"/>
        <v>Partenaire 7</v>
      </c>
      <c r="K31" s="1240" t="str">
        <f t="shared" si="6"/>
        <v>Projets groupes opérationnels</v>
      </c>
      <c r="L31" s="679">
        <f>IF(AND(K31="",J31=""),"",SUMIFS('1- Frais personnel'!$AI$9:$AI$68,'1- Frais personnel'!$T$9:$T$68,K31,'1- Frais personnel'!$S$9:$S$68,J31)+SUMIFS('2.1- Investissements'!$BS$11:$BS$50,'2.1- Investissements'!$AK$11:$AK$50,K31,'2.1- Investissements'!$AJ$11:$AJ$50,J31,'2.1- Investissements'!$AN$11:$AN$50,"Non")+SUMIFS('4- Déplacement &amp; hébergement'!$BO$10:$BO$49,'4- Déplacement &amp; hébergement'!$AI$10:$AI$49,K31,'4- Déplacement &amp; hébergement'!$AH$10:$AH$49,J31)+SUMIFS('5- Contribution en nature'!$Z$9:$Z$48,'5- Contribution en nature'!$P$9:$P$48,K31,'5- Contribution en nature'!$O$9:$O$48,J31)+SUMIFS('2.2- Amortissement'!$AJ$9:$AJ$23,'2.2- Amortissement'!$U$9:$U$23,K31,'2.2- Amortissement'!$T$9:$T$23,J31))</f>
        <v>0</v>
      </c>
      <c r="M31" s="678">
        <f t="shared" si="7"/>
        <v>0</v>
      </c>
      <c r="N31" s="567" t="str">
        <f t="shared" si="8"/>
        <v/>
      </c>
      <c r="O31" s="568" t="str">
        <f t="shared" si="9"/>
        <v/>
      </c>
      <c r="P31" s="570"/>
      <c r="Q31" s="1181" t="str" cm="1">
        <f t="array" ref="Q31">IF(OR(O31="",H31=""),"",_xlfn.IFS(
ROUND(IFERROR(VALUE(TRIM(SUBSTITUTE(O31,CHAR(160),""))),0),2)&gt;
ROUND(IFERROR(VALUE(TRIM(SUBSTITUTE(H31,CHAR(160),""))),0),2),
"KO : Le montant retenu est supérieur au montant présenté. Merci de revoir la ligne de contributions ou plafonner son montant.",
ROUND(IFERROR(VALUE(TRIM(SUBSTITUTE(H31,CHAR(160),""))),0),2)=0,
"",
ROUND(IFERROR(VALUE(TRIM(SUBSTITUTE(O31,CHAR(160),""))),0),2)=
ROUND(IFERROR(VALUE(TRIM(SUBSTITUTE(H31,CHAR(160),""))),0),2),
"OK",
ROUND(IFERROR(VALUE(TRIM(SUBSTITUTE(O31,CHAR(160),""))),0),2)=0,
"Attention : Montant présenté entièrement rejeté.",
ROUND(IFERROR(VALUE(TRIM(SUBSTITUTE(O31,CHAR(160),""))),0),2)&lt;
ROUND(IFERROR(VALUE(TRIM(SUBSTITUTE(H31,CHAR(160),""))),0),2),
"Attention : Montant présenté partiellement rejeté.",
TRUE,""
))</f>
        <v/>
      </c>
      <c r="R31" s="1440" t="str">
        <f t="shared" si="10"/>
        <v/>
      </c>
    </row>
    <row r="32" spans="1:18" ht="21.95" customHeight="1" thickBot="1">
      <c r="A32" s="1875"/>
      <c r="B32" s="1207">
        <v>24</v>
      </c>
      <c r="C32" s="1423" t="s">
        <v>17</v>
      </c>
      <c r="D32" s="1423" t="s">
        <v>91</v>
      </c>
      <c r="E32" s="1424">
        <f>SUMIFS('1- Frais personnel'!$Q$9:$Q$68,'1- Frais personnel'!$D$9:$D$68,D32,'1- Frais personnel'!$C$9:$C$68,C32)+SUMIFS('2.1- Investissements'!$AH$11:$AH$50,'2.1- Investissements'!$D$11:$D$50,D32,'2.1- Investissements'!$C$11:$C$50,C32,'2.1- Investissements'!$G$11:$G$50,"Non")+SUMIFS('4- Déplacement &amp; hébergement'!$AF$10:$AF$49,'4- Déplacement &amp; hébergement'!$D$10:$D$49,D32,'4- Déplacement &amp; hébergement'!$C$10:$C$49,C32)+SUMIFS('5- Contribution en nature'!$M$9:$M$48,'5- Contribution en nature'!$D$9:$D$48,D32,'5- Contribution en nature'!$C$9:$C$48,C32)+SUMIFS('2.2- Amortissement'!$Q$9:$Q$23,'2.2- Amortissement'!$D$9:$D$23,D32,'2.2- Amortissement'!$C$9:$C$23,C32)</f>
        <v>0</v>
      </c>
      <c r="F32" s="1425">
        <f t="shared" si="3"/>
        <v>0</v>
      </c>
      <c r="G32" s="1426"/>
      <c r="H32" s="1427" t="str">
        <f t="shared" si="4"/>
        <v/>
      </c>
      <c r="I32" s="1431"/>
      <c r="J32" s="1442" t="str">
        <f t="shared" si="5"/>
        <v>Partenaire 7</v>
      </c>
      <c r="K32" s="1256" t="str">
        <f t="shared" si="6"/>
        <v>Diffusion résultats</v>
      </c>
      <c r="L32" s="1443">
        <f>IF(AND(K32="",J32=""),"",SUMIFS('1- Frais personnel'!$AI$9:$AI$68,'1- Frais personnel'!$T$9:$T$68,K32,'1- Frais personnel'!$S$9:$S$68,J32)+SUMIFS('2.1- Investissements'!$BS$11:$BS$50,'2.1- Investissements'!$AK$11:$AK$50,K32,'2.1- Investissements'!$AJ$11:$AJ$50,J32,'2.1- Investissements'!$AN$11:$AN$50,"Non")+SUMIFS('4- Déplacement &amp; hébergement'!$BO$10:$BO$49,'4- Déplacement &amp; hébergement'!$AI$10:$AI$49,K32,'4- Déplacement &amp; hébergement'!$AH$10:$AH$49,J32)+SUMIFS('5- Contribution en nature'!$Z$9:$Z$48,'5- Contribution en nature'!$P$9:$P$48,K32,'5- Contribution en nature'!$O$9:$O$48,J32)+SUMIFS('2.2- Amortissement'!$AJ$9:$AJ$23,'2.2- Amortissement'!$U$9:$U$23,K32,'2.2- Amortissement'!$T$9:$T$23,J32))</f>
        <v>0</v>
      </c>
      <c r="M32" s="1444">
        <f t="shared" si="7"/>
        <v>0</v>
      </c>
      <c r="N32" s="1445" t="str">
        <f t="shared" si="8"/>
        <v/>
      </c>
      <c r="O32" s="1446" t="str">
        <f t="shared" si="9"/>
        <v/>
      </c>
      <c r="P32" s="1447"/>
      <c r="Q32" s="1448" t="str" cm="1">
        <f t="array" ref="Q32">IF(OR(O32="",H32=""),"",_xlfn.IFS(
ROUND(IFERROR(VALUE(TRIM(SUBSTITUTE(O32,CHAR(160),""))),0),2)&gt;
ROUND(IFERROR(VALUE(TRIM(SUBSTITUTE(H32,CHAR(160),""))),0),2),
"KO : Le montant retenu est supérieur au montant présenté. Merci de revoir la ligne de contributions ou plafonner son montant.",
ROUND(IFERROR(VALUE(TRIM(SUBSTITUTE(H32,CHAR(160),""))),0),2)=0,
"",
ROUND(IFERROR(VALUE(TRIM(SUBSTITUTE(O32,CHAR(160),""))),0),2)=
ROUND(IFERROR(VALUE(TRIM(SUBSTITUTE(H32,CHAR(160),""))),0),2),
"OK",
ROUND(IFERROR(VALUE(TRIM(SUBSTITUTE(O32,CHAR(160),""))),0),2)=0,
"Attention : Montant présenté entièrement rejeté.",
ROUND(IFERROR(VALUE(TRIM(SUBSTITUTE(O32,CHAR(160),""))),0),2)&lt;
ROUND(IFERROR(VALUE(TRIM(SUBSTITUTE(H32,CHAR(160),""))),0),2),
"Attention : Montant présenté partiellement rejeté.",
TRUE,""
))</f>
        <v/>
      </c>
      <c r="R32" s="1449" t="str">
        <f t="shared" si="10"/>
        <v/>
      </c>
    </row>
    <row r="33" spans="3:18" ht="15.95" thickBot="1">
      <c r="C33"/>
      <c r="D33" s="383"/>
      <c r="G33" s="578" t="s">
        <v>146</v>
      </c>
      <c r="H33" s="579">
        <f>SUM(H9:H32)</f>
        <v>0</v>
      </c>
      <c r="I33"/>
      <c r="J33"/>
      <c r="K33"/>
      <c r="L33"/>
      <c r="N33" s="578" t="s">
        <v>147</v>
      </c>
      <c r="O33" s="580">
        <f>SUM(O9:O32)</f>
        <v>0</v>
      </c>
      <c r="P33"/>
      <c r="Q33" s="345" t="s">
        <v>148</v>
      </c>
      <c r="R33" s="577">
        <f>SUM(R9:R32)</f>
        <v>0</v>
      </c>
    </row>
    <row r="34" spans="3:18" ht="15.95" thickBot="1"/>
    <row r="35" spans="3:18">
      <c r="D35" s="142" t="s">
        <v>149</v>
      </c>
      <c r="E35" s="143"/>
      <c r="F35" s="144"/>
      <c r="G35" s="146"/>
      <c r="H35" s="146"/>
    </row>
    <row r="36" spans="3:18">
      <c r="D36" s="145"/>
      <c r="E36" s="146"/>
      <c r="F36" s="147"/>
      <c r="G36" s="146"/>
      <c r="H36" s="146"/>
    </row>
    <row r="37" spans="3:18">
      <c r="D37" s="148" t="s">
        <v>150</v>
      </c>
      <c r="E37" s="146"/>
      <c r="F37" s="147"/>
      <c r="G37" s="146"/>
      <c r="H37" s="146"/>
    </row>
    <row r="38" spans="3:18">
      <c r="D38" s="149"/>
      <c r="E38" s="146"/>
      <c r="F38" s="147"/>
      <c r="G38" s="146"/>
      <c r="H38" s="146"/>
    </row>
    <row r="39" spans="3:18">
      <c r="D39" s="149"/>
      <c r="E39" s="146"/>
      <c r="F39" s="147"/>
      <c r="G39" s="146"/>
      <c r="H39" s="146"/>
    </row>
    <row r="40" spans="3:18">
      <c r="D40" s="150" t="s">
        <v>151</v>
      </c>
      <c r="E40" s="146"/>
      <c r="F40" s="147"/>
      <c r="G40" s="146"/>
      <c r="H40" s="146"/>
    </row>
    <row r="41" spans="3:18">
      <c r="D41" s="151"/>
      <c r="E41" s="146"/>
      <c r="F41" s="147"/>
      <c r="G41" s="146"/>
      <c r="H41" s="146"/>
    </row>
    <row r="42" spans="3:18">
      <c r="D42" s="151"/>
      <c r="E42" s="146"/>
      <c r="F42" s="147"/>
      <c r="G42" s="146"/>
      <c r="H42" s="146"/>
    </row>
    <row r="43" spans="3:18">
      <c r="D43" s="151"/>
      <c r="E43" s="146"/>
      <c r="F43" s="147"/>
      <c r="G43" s="146"/>
      <c r="H43" s="146"/>
    </row>
    <row r="44" spans="3:18">
      <c r="D44" s="151"/>
      <c r="E44" s="146"/>
      <c r="F44" s="147"/>
      <c r="G44" s="146"/>
      <c r="H44" s="146"/>
    </row>
    <row r="45" spans="3:18" ht="15.95" thickBot="1">
      <c r="D45" s="152"/>
      <c r="E45" s="153"/>
      <c r="F45" s="154"/>
      <c r="G45" s="146"/>
      <c r="H45" s="146"/>
    </row>
  </sheetData>
  <sheetProtection formatCells="0" formatColumns="0" formatRows="0" insertColumns="0" insertRows="0" insertHyperlinks="0" deleteColumns="0" deleteRows="0" sort="0" autoFilter="0" pivotTables="0"/>
  <mergeCells count="7">
    <mergeCell ref="D2:I2"/>
    <mergeCell ref="D3:I3"/>
    <mergeCell ref="J5:R5"/>
    <mergeCell ref="A6:A7"/>
    <mergeCell ref="A8:A32"/>
    <mergeCell ref="B6:B7"/>
    <mergeCell ref="B5:I5"/>
  </mergeCells>
  <phoneticPr fontId="31" type="noConversion"/>
  <conditionalFormatting sqref="J9:N32">
    <cfRule type="expression" dxfId="13" priority="2">
      <formula>J9&lt;&gt;C9</formula>
    </cfRule>
  </conditionalFormatting>
  <conditionalFormatting sqref="Q8:Q32">
    <cfRule type="containsText" dxfId="12" priority="1" operator="containsText" text="Attention">
      <formula>NOT(ISERROR(SEARCH("Attention",Q8)))</formula>
    </cfRule>
    <cfRule type="containsText" dxfId="11" priority="3" operator="containsText" text="KO">
      <formula>NOT(ISERROR(SEARCH("KO",Q8)))</formula>
    </cfRule>
    <cfRule type="containsText" dxfId="10" priority="4" operator="containsText" text="OK">
      <formula>NOT(ISERROR(SEARCH("OK",Q8)))</formula>
    </cfRule>
  </conditionalFormatting>
  <dataValidations count="3">
    <dataValidation type="list" allowBlank="1" showInputMessage="1" showErrorMessage="1" sqref="D8:D32 K9:K32" xr:uid="{7F9E3637-3945-407A-839B-34233B152F25}">
      <formula1>"Création groupes opérationnels, Projets groupes opérationnels, Diffusion résultats"</formula1>
    </dataValidation>
    <dataValidation type="list" allowBlank="1" showInputMessage="1" showErrorMessage="1" sqref="C8:C32" xr:uid="{AF3FC047-D714-4F6C-B9C6-1F5D6DC0C7B9}">
      <formula1>"Chef de file,Partenaire 1,Partenaire 2, Partenaire 3,Partenaire 4, Partenaire 5,Partenaire 6,Partenaire 7"</formula1>
    </dataValidation>
    <dataValidation type="list" allowBlank="1" showInputMessage="1" showErrorMessage="1" sqref="G9:G32" xr:uid="{137939CE-143E-FA43-9373-54AD154D2080}">
      <formula1>"Oui,Non"</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027CF-5E1F-48CC-8677-A9BBD721DCD2}">
  <sheetPr codeName="Feuil12">
    <tabColor theme="9" tint="0.39997558519241921"/>
  </sheetPr>
  <dimension ref="A1:AI118"/>
  <sheetViews>
    <sheetView showGridLines="0" topLeftCell="E6" zoomScale="59" zoomScaleNormal="40" workbookViewId="0">
      <selection activeCell="G11" sqref="G11"/>
    </sheetView>
  </sheetViews>
  <sheetFormatPr defaultColWidth="11.42578125" defaultRowHeight="15"/>
  <cols>
    <col min="1" max="1" width="15.42578125" customWidth="1"/>
    <col min="2" max="2" width="32.42578125" customWidth="1"/>
    <col min="3" max="3" width="29.140625" customWidth="1"/>
    <col min="4" max="4" width="30.42578125" customWidth="1"/>
    <col min="5" max="5" width="31.42578125" customWidth="1"/>
    <col min="6" max="6" width="46.42578125" customWidth="1"/>
    <col min="7" max="7" width="30.42578125" customWidth="1"/>
    <col min="8" max="8" width="51.42578125" customWidth="1"/>
    <col min="9" max="9" width="26.140625" bestFit="1" customWidth="1"/>
    <col min="10" max="10" width="34.140625" customWidth="1"/>
    <col min="11" max="11" width="23.42578125" customWidth="1"/>
    <col min="12" max="12" width="19.140625" bestFit="1" customWidth="1"/>
    <col min="13" max="13" width="21.42578125" customWidth="1"/>
    <col min="14" max="14" width="28.42578125" customWidth="1"/>
    <col min="15" max="15" width="21.42578125" customWidth="1"/>
    <col min="16" max="16" width="18.85546875" customWidth="1"/>
    <col min="17" max="17" width="34" customWidth="1"/>
    <col min="18" max="18" width="33.42578125" customWidth="1"/>
    <col min="19" max="19" width="24.42578125" customWidth="1"/>
    <col min="20" max="20" width="29" customWidth="1"/>
    <col min="21" max="21" width="41.42578125" customWidth="1"/>
    <col min="22" max="22" width="35.42578125" customWidth="1"/>
    <col min="23" max="23" width="31.42578125" customWidth="1"/>
    <col min="24" max="24" width="18.85546875" customWidth="1"/>
    <col min="25" max="25" width="17.42578125" customWidth="1"/>
    <col min="26" max="28" width="15.42578125" customWidth="1"/>
    <col min="29" max="29" width="16.42578125" customWidth="1"/>
    <col min="30" max="30" width="18.85546875" customWidth="1"/>
    <col min="31" max="33" width="16.42578125" customWidth="1"/>
  </cols>
  <sheetData>
    <row r="1" spans="2:22" ht="45" customHeight="1" thickBot="1">
      <c r="B1" s="1960" t="s">
        <v>433</v>
      </c>
      <c r="C1" s="1961"/>
      <c r="D1" s="1961"/>
      <c r="E1" s="1961"/>
      <c r="F1" s="1961"/>
      <c r="G1" s="1961"/>
      <c r="H1" s="1961"/>
      <c r="I1" s="1961"/>
      <c r="J1" s="1961"/>
      <c r="K1" s="1961"/>
      <c r="L1" s="1961"/>
      <c r="M1" s="1961"/>
      <c r="N1" s="1961"/>
      <c r="O1" s="1961"/>
      <c r="P1" s="1961"/>
      <c r="Q1" s="1961"/>
      <c r="R1" s="1961"/>
      <c r="S1" s="1961"/>
      <c r="T1" s="1961"/>
      <c r="U1" s="1954"/>
      <c r="V1" s="1954"/>
    </row>
    <row r="2" spans="2:22" ht="51" customHeight="1" thickBot="1">
      <c r="B2" s="1964" t="s">
        <v>434</v>
      </c>
      <c r="C2" s="1965"/>
      <c r="D2" s="1966"/>
      <c r="E2" s="1982" t="s">
        <v>435</v>
      </c>
      <c r="F2" s="1982"/>
      <c r="G2" s="1983"/>
      <c r="I2" s="1973" t="s">
        <v>436</v>
      </c>
      <c r="J2" s="1962" t="s">
        <v>437</v>
      </c>
      <c r="K2" s="1955" t="s">
        <v>438</v>
      </c>
      <c r="L2" s="1955" t="s">
        <v>439</v>
      </c>
      <c r="M2" s="1955" t="s">
        <v>440</v>
      </c>
      <c r="N2" s="1955" t="s">
        <v>441</v>
      </c>
      <c r="O2" s="1955" t="s">
        <v>442</v>
      </c>
      <c r="P2" s="1955" t="s">
        <v>443</v>
      </c>
      <c r="Q2" s="1955" t="s">
        <v>444</v>
      </c>
      <c r="R2" s="799" t="s">
        <v>445</v>
      </c>
      <c r="U2" s="696"/>
      <c r="V2" s="696"/>
    </row>
    <row r="3" spans="2:22" ht="58.5" customHeight="1" thickBot="1">
      <c r="B3" s="1967" t="s">
        <v>446</v>
      </c>
      <c r="C3" s="1968"/>
      <c r="D3" s="1036">
        <f>SUM('1- Frais personnel'!Q69,'2.1- Investissements'!AG51,'3- Frais généraux'!AD50,'4- Déplacement &amp; hébergement'!W50,'4- Déplacement &amp; hébergement'!AE50,'5- Contribution en nature'!M49,'6- Coût participation agri'!N49,'2.2- Amortissement'!Q24,'7- Taux forfaitaire'!H33)</f>
        <v>0</v>
      </c>
      <c r="E3" s="1984"/>
      <c r="F3" s="1984"/>
      <c r="G3" s="1985"/>
      <c r="H3" s="695"/>
      <c r="I3" s="1974"/>
      <c r="J3" s="1963"/>
      <c r="K3" s="1956"/>
      <c r="L3" s="1956"/>
      <c r="M3" s="1956"/>
      <c r="N3" s="1956"/>
      <c r="O3" s="1956"/>
      <c r="P3" s="1956"/>
      <c r="Q3" s="1956"/>
      <c r="R3" s="856" t="s">
        <v>447</v>
      </c>
      <c r="S3" s="695"/>
      <c r="T3" s="695"/>
      <c r="U3" s="695"/>
      <c r="V3" s="687"/>
    </row>
    <row r="4" spans="2:22" ht="35.1" customHeight="1" thickBot="1">
      <c r="B4" s="1969" t="s">
        <v>448</v>
      </c>
      <c r="C4" s="1970"/>
      <c r="D4" s="1037">
        <f>SUM('2.1- Investissements'!AH51,'3- Frais généraux'!AE50,'4- Déplacement &amp; hébergement'!X50)</f>
        <v>0</v>
      </c>
      <c r="E4" s="1984"/>
      <c r="F4" s="1984"/>
      <c r="G4" s="1985"/>
      <c r="H4" s="695"/>
      <c r="I4" s="1974"/>
      <c r="J4" s="800" t="s">
        <v>373</v>
      </c>
      <c r="K4" s="801">
        <f>IF($D$3=0,0,IF($G$6="Règle respectée",'1- Frais personnel'!$Q$69,0))</f>
        <v>0</v>
      </c>
      <c r="L4" s="801">
        <f>IF($D$3=0,0,IF($G$6="Règle respectée",'2.1- Investissements'!AI51,0))</f>
        <v>0</v>
      </c>
      <c r="M4" s="801">
        <f>IF($D$3=0,0,IF($G$6="Règle respectée",'3- Frais généraux'!AF50,0))</f>
        <v>0</v>
      </c>
      <c r="N4" s="801">
        <f>IF($D$3=0,0,IF($G$6="Règle respectée",'4- Déplacement &amp; hébergement'!AF50,0))</f>
        <v>0</v>
      </c>
      <c r="O4" s="801">
        <f>IF($D$3=0,0,IF($G$6="Règle respectée",'5- Contribution en nature'!M49,0))</f>
        <v>0</v>
      </c>
      <c r="P4" s="801">
        <f>IF($D$3=0,0,IF($G$6="Règle respectée",'6- Coût participation agri'!N49,0))</f>
        <v>0</v>
      </c>
      <c r="Q4" s="801">
        <f>IF($D$3=0,0,IF($G$6="Règle respectée",'2.2- Amortissement'!Q24,0))</f>
        <v>0</v>
      </c>
      <c r="R4" s="801">
        <f>IF($D$3=0,0,IF($G$6="Règle respectée",'7- Taux forfaitaire'!H33,0))</f>
        <v>0</v>
      </c>
      <c r="S4" s="695"/>
      <c r="T4" s="695"/>
      <c r="U4" s="695"/>
      <c r="V4" s="687"/>
    </row>
    <row r="5" spans="2:22" ht="41.1" customHeight="1" thickBot="1">
      <c r="B5" s="1978" t="s">
        <v>449</v>
      </c>
      <c r="C5" s="1979"/>
      <c r="D5" s="1038">
        <f>SUM(D3:D4)</f>
        <v>0</v>
      </c>
      <c r="E5" s="1984"/>
      <c r="F5" s="1984"/>
      <c r="G5" s="1985"/>
      <c r="H5" s="695"/>
      <c r="I5" s="1975"/>
      <c r="J5" s="802" t="s">
        <v>450</v>
      </c>
      <c r="K5" s="1957">
        <f>IF(D3=0,0,IF(G6="Règle respectée",SUM(K4:R4),0))</f>
        <v>0</v>
      </c>
      <c r="L5" s="1958"/>
      <c r="M5" s="1958"/>
      <c r="N5" s="1958"/>
      <c r="O5" s="1958"/>
      <c r="P5" s="1958"/>
      <c r="Q5" s="1958"/>
      <c r="R5" s="1959"/>
      <c r="S5" s="695"/>
      <c r="T5" s="695"/>
    </row>
    <row r="6" spans="2:22" ht="118.5" customHeight="1" thickBot="1">
      <c r="B6" s="1971" t="s">
        <v>451</v>
      </c>
      <c r="C6" s="1972"/>
      <c r="D6" s="1039" t="str">
        <f>IF(D3=0,"",'A-Recettes'!K18)</f>
        <v/>
      </c>
      <c r="E6" s="1980" t="s">
        <v>452</v>
      </c>
      <c r="F6" s="1981"/>
      <c r="G6" s="797" t="str">
        <f>IF(D3=0,"",IF(D3&gt;1000000,"L'opération est inéligible","Règle respectée"))</f>
        <v/>
      </c>
      <c r="H6" s="695"/>
      <c r="S6" s="695"/>
      <c r="T6" s="695"/>
    </row>
    <row r="7" spans="2:22" ht="90" customHeight="1" thickBot="1">
      <c r="B7" s="1976" t="s">
        <v>453</v>
      </c>
      <c r="C7" s="1977"/>
      <c r="D7" s="1040" t="str">
        <f>IF(D3=0,"",E26)</f>
        <v/>
      </c>
      <c r="E7" s="1986" t="s">
        <v>454</v>
      </c>
      <c r="F7" s="1987"/>
      <c r="G7" s="798" t="str">
        <f>IF(D3=0,"",IF(E26&lt;H26+L13+O4,"Non, l'aide publique doit diminuer","Oui"))</f>
        <v/>
      </c>
      <c r="H7" s="697"/>
      <c r="I7" s="1939" t="s">
        <v>455</v>
      </c>
      <c r="J7" s="1940"/>
      <c r="K7" s="1940"/>
      <c r="L7" s="1940"/>
      <c r="M7" s="1940"/>
      <c r="N7" s="1993"/>
      <c r="P7" s="1939" t="s">
        <v>456</v>
      </c>
      <c r="Q7" s="1940"/>
      <c r="R7" s="1940"/>
      <c r="S7" s="1940"/>
      <c r="T7" s="695"/>
    </row>
    <row r="8" spans="2:22" ht="102" customHeight="1" thickBot="1">
      <c r="B8" s="1976" t="s">
        <v>457</v>
      </c>
      <c r="C8" s="1977"/>
      <c r="D8" s="1040" t="str">
        <f>IF(D3=0,"",J26)</f>
        <v/>
      </c>
      <c r="E8" s="2004" t="s">
        <v>458</v>
      </c>
      <c r="F8" s="2005"/>
      <c r="G8" s="803" t="str">
        <f>IF(D3=0,"",E26-H26)</f>
        <v/>
      </c>
      <c r="I8" s="852" t="s">
        <v>459</v>
      </c>
      <c r="J8" s="1994" t="s">
        <v>460</v>
      </c>
      <c r="K8" s="1996" t="s">
        <v>461</v>
      </c>
      <c r="L8" s="853" t="s">
        <v>462</v>
      </c>
      <c r="M8" s="1998" t="s">
        <v>463</v>
      </c>
      <c r="N8" s="2000" t="s">
        <v>464</v>
      </c>
      <c r="P8" s="1671" t="s">
        <v>465</v>
      </c>
      <c r="Q8" s="1672">
        <f>D26</f>
        <v>0</v>
      </c>
      <c r="R8" s="1673" t="s">
        <v>466</v>
      </c>
      <c r="S8" s="1674">
        <f>M26+P26+S26+U26+L13+T26</f>
        <v>0</v>
      </c>
      <c r="T8" s="695"/>
    </row>
    <row r="9" spans="2:22" ht="105.95" customHeight="1" thickBot="1">
      <c r="B9" s="2002" t="s">
        <v>467</v>
      </c>
      <c r="C9" s="2003"/>
      <c r="D9" s="1041" t="str">
        <f>IF(D3=0,"",M26)</f>
        <v/>
      </c>
      <c r="E9" s="2006"/>
      <c r="F9" s="2006"/>
      <c r="G9" s="686"/>
      <c r="H9" s="695"/>
      <c r="I9" s="854" t="s">
        <v>468</v>
      </c>
      <c r="J9" s="1995"/>
      <c r="K9" s="1997"/>
      <c r="L9" s="855" t="s">
        <v>469</v>
      </c>
      <c r="M9" s="1999"/>
      <c r="N9" s="2001"/>
      <c r="P9" s="1939" t="s">
        <v>470</v>
      </c>
      <c r="Q9" s="1940"/>
      <c r="R9" s="1939" t="s">
        <v>471</v>
      </c>
      <c r="S9" s="1940"/>
      <c r="T9" s="695"/>
      <c r="U9" s="695"/>
    </row>
    <row r="10" spans="2:22" ht="93" customHeight="1">
      <c r="B10" s="1989" t="s">
        <v>472</v>
      </c>
      <c r="C10" s="1990"/>
      <c r="D10" s="1042" t="str">
        <f>IF(D3=0,"",P26)</f>
        <v/>
      </c>
      <c r="E10" s="225"/>
      <c r="F10" s="225"/>
      <c r="G10" s="225"/>
      <c r="H10" s="695"/>
      <c r="I10" s="1194">
        <v>50000</v>
      </c>
      <c r="J10" s="1193" t="s">
        <v>473</v>
      </c>
      <c r="K10" s="1184" t="s">
        <v>139</v>
      </c>
      <c r="L10" s="1185"/>
      <c r="M10" s="1186"/>
      <c r="N10" s="1187"/>
      <c r="O10" s="695"/>
      <c r="P10" s="1675" t="s">
        <v>474</v>
      </c>
      <c r="Q10" s="1676">
        <f>M26</f>
        <v>0</v>
      </c>
      <c r="R10" s="1677" t="s">
        <v>475</v>
      </c>
      <c r="S10" s="1678">
        <f>L10</f>
        <v>0</v>
      </c>
      <c r="T10" s="695"/>
      <c r="U10" s="695"/>
      <c r="V10" s="687"/>
    </row>
    <row r="11" spans="2:22" ht="71.099999999999994" customHeight="1" thickBot="1">
      <c r="B11" s="1991" t="s">
        <v>476</v>
      </c>
      <c r="C11" s="1992"/>
      <c r="D11" s="1043" t="str">
        <f>IF(D3=0,"",U26)</f>
        <v/>
      </c>
      <c r="E11" s="1988"/>
      <c r="F11" s="1988"/>
      <c r="G11" s="686"/>
      <c r="H11" s="695"/>
      <c r="I11" s="1183"/>
      <c r="J11" s="1186"/>
      <c r="K11" s="1184"/>
      <c r="L11" s="1185"/>
      <c r="M11" s="1186"/>
      <c r="N11" s="1187"/>
      <c r="O11" s="695"/>
      <c r="P11" s="1679" t="s">
        <v>477</v>
      </c>
      <c r="Q11" s="1680">
        <f>R26</f>
        <v>0</v>
      </c>
      <c r="R11" s="1677" t="s">
        <v>478</v>
      </c>
      <c r="S11" s="1678">
        <f t="shared" ref="S11:S12" si="0">L11</f>
        <v>0</v>
      </c>
      <c r="T11" s="695"/>
      <c r="U11" s="695"/>
      <c r="V11" s="687"/>
    </row>
    <row r="12" spans="2:22" ht="71.099999999999994" customHeight="1" thickBot="1">
      <c r="B12" s="693"/>
      <c r="C12" s="693"/>
      <c r="D12" s="694"/>
      <c r="E12" s="692"/>
      <c r="F12" s="692"/>
      <c r="G12" s="686"/>
      <c r="H12" s="695"/>
      <c r="I12" s="1188"/>
      <c r="J12" s="1189"/>
      <c r="K12" s="1190"/>
      <c r="L12" s="1191"/>
      <c r="M12" s="1189"/>
      <c r="N12" s="1192"/>
      <c r="O12" s="695"/>
      <c r="P12" s="1677" t="s">
        <v>479</v>
      </c>
      <c r="Q12" s="1680">
        <f>I10</f>
        <v>50000</v>
      </c>
      <c r="R12" s="1677" t="s">
        <v>480</v>
      </c>
      <c r="S12" s="1678">
        <f t="shared" si="0"/>
        <v>0</v>
      </c>
      <c r="T12" s="695"/>
      <c r="U12" s="695"/>
      <c r="V12" s="687"/>
    </row>
    <row r="13" spans="2:22" ht="71.099999999999994" customHeight="1" thickBot="1">
      <c r="B13" s="680"/>
      <c r="C13" s="680"/>
      <c r="D13" s="681"/>
      <c r="E13" s="1988"/>
      <c r="F13" s="1988"/>
      <c r="G13" s="686"/>
      <c r="H13" s="695"/>
      <c r="I13" s="718">
        <f>IF(D3=0,0,SUM(I10:I12))</f>
        <v>0</v>
      </c>
      <c r="J13" s="719"/>
      <c r="K13" s="719"/>
      <c r="L13" s="718">
        <f>IF(D3=0,0,SUM(L10:L12))</f>
        <v>0</v>
      </c>
      <c r="M13" s="720"/>
      <c r="N13" s="720"/>
      <c r="O13" s="695"/>
      <c r="P13" s="1677" t="s">
        <v>481</v>
      </c>
      <c r="Q13" s="1680">
        <f>I11</f>
        <v>0</v>
      </c>
      <c r="R13" s="1677" t="s">
        <v>482</v>
      </c>
      <c r="S13" s="1678">
        <f>U26</f>
        <v>0</v>
      </c>
      <c r="T13" s="695"/>
      <c r="U13" s="695"/>
    </row>
    <row r="14" spans="2:22" ht="110.1">
      <c r="P14" s="1677" t="s">
        <v>483</v>
      </c>
      <c r="Q14" s="1680">
        <f>I12</f>
        <v>0</v>
      </c>
      <c r="R14" s="1681"/>
      <c r="S14" s="1682"/>
    </row>
    <row r="17" spans="2:35" ht="15.95" thickBot="1"/>
    <row r="18" spans="2:35" ht="138.6" customHeight="1">
      <c r="B18" s="2012" t="s">
        <v>484</v>
      </c>
      <c r="C18" s="2007" t="s">
        <v>77</v>
      </c>
      <c r="D18" s="2007" t="s">
        <v>485</v>
      </c>
      <c r="E18" s="857" t="s">
        <v>486</v>
      </c>
      <c r="F18" s="2007" t="s">
        <v>487</v>
      </c>
      <c r="G18" s="857" t="s">
        <v>488</v>
      </c>
      <c r="H18" s="857" t="s">
        <v>489</v>
      </c>
      <c r="I18" s="2007" t="s">
        <v>490</v>
      </c>
      <c r="J18" s="857" t="s">
        <v>491</v>
      </c>
      <c r="K18" s="857" t="s">
        <v>492</v>
      </c>
      <c r="L18" s="857" t="s">
        <v>493</v>
      </c>
      <c r="M18" s="857" t="s">
        <v>494</v>
      </c>
      <c r="N18" s="857" t="s">
        <v>495</v>
      </c>
      <c r="O18" s="857" t="s">
        <v>496</v>
      </c>
      <c r="P18" s="857" t="s">
        <v>497</v>
      </c>
      <c r="Q18" s="857" t="s">
        <v>498</v>
      </c>
      <c r="R18" s="857" t="s">
        <v>499</v>
      </c>
      <c r="S18" s="857" t="s">
        <v>500</v>
      </c>
      <c r="T18" s="857" t="s">
        <v>501</v>
      </c>
      <c r="U18" s="857" t="s">
        <v>502</v>
      </c>
      <c r="V18" s="884" t="s">
        <v>503</v>
      </c>
      <c r="W18" s="703"/>
      <c r="X18" s="703"/>
      <c r="Y18" s="703"/>
      <c r="Z18" s="703"/>
      <c r="AA18" s="703"/>
      <c r="AB18" s="703"/>
      <c r="AC18" s="703"/>
      <c r="AD18" s="703"/>
      <c r="AE18" s="703"/>
      <c r="AF18" s="703"/>
      <c r="AG18" s="703"/>
      <c r="AH18" s="703"/>
      <c r="AI18" s="703"/>
    </row>
    <row r="19" spans="2:35" ht="324.95" customHeight="1" thickBot="1">
      <c r="B19" s="2013"/>
      <c r="C19" s="2008"/>
      <c r="D19" s="2008"/>
      <c r="E19" s="885" t="s">
        <v>504</v>
      </c>
      <c r="F19" s="2008"/>
      <c r="G19" s="885" t="s">
        <v>505</v>
      </c>
      <c r="H19" s="858" t="s">
        <v>506</v>
      </c>
      <c r="I19" s="2008"/>
      <c r="J19" s="858" t="s">
        <v>507</v>
      </c>
      <c r="K19" s="858" t="s">
        <v>508</v>
      </c>
      <c r="L19" s="858" t="s">
        <v>509</v>
      </c>
      <c r="M19" s="858" t="s">
        <v>510</v>
      </c>
      <c r="N19" s="858" t="s">
        <v>511</v>
      </c>
      <c r="O19" s="858" t="s">
        <v>511</v>
      </c>
      <c r="P19" s="858"/>
      <c r="Q19" s="858" t="s">
        <v>512</v>
      </c>
      <c r="R19" s="858" t="s">
        <v>513</v>
      </c>
      <c r="S19" s="858"/>
      <c r="T19" s="858"/>
      <c r="U19" s="858" t="s">
        <v>514</v>
      </c>
      <c r="V19" s="886"/>
      <c r="X19" s="704"/>
      <c r="Y19" s="704"/>
      <c r="Z19" s="704"/>
      <c r="AA19" s="704"/>
      <c r="AB19" s="704"/>
      <c r="AC19" s="704"/>
      <c r="AD19" s="704"/>
      <c r="AE19" s="704"/>
      <c r="AF19" s="704"/>
      <c r="AG19" s="704"/>
      <c r="AH19" s="704"/>
      <c r="AI19" s="704"/>
    </row>
    <row r="20" spans="2:35" s="698" customFormat="1" ht="58.5" customHeight="1">
      <c r="B20" s="2014" t="s">
        <v>515</v>
      </c>
      <c r="C20" s="868" t="s">
        <v>85</v>
      </c>
      <c r="D20" s="875">
        <f>SUMIFS('2.1- Investissements'!$AH$11:$AH$50,'2.1- Investissements'!$D$11:$D$50,'Syn pf bénéficiaire'!C20,'2.1- Investissements'!$F$11:$F$50,"Oui")+SUMIFS('2.2- Amortissement'!$Q$9:$Q$23,'2.2- Amortissement'!$D$9:$D$23,'Syn pf bénéficiaire'!C20,'2.2- Amortissement'!$F$9:$F$23,"Oui")</f>
        <v>0</v>
      </c>
      <c r="E20" s="876">
        <f>IF(D20=0,0,D20)</f>
        <v>0</v>
      </c>
      <c r="F20" s="877">
        <f>IF(E20=0,0,IFERROR(VALUE(E20)/VALUE($E$26),0))</f>
        <v>0</v>
      </c>
      <c r="G20" s="892">
        <f>IF(D20=0,0,(F40+F50+F60+F70+F80+F90+F100+F110)/D20)</f>
        <v>0</v>
      </c>
      <c r="H20" s="878">
        <f>IF(E20=0,0,G20*E20)</f>
        <v>0</v>
      </c>
      <c r="I20" s="892">
        <f>IF($H$26=0,0,H20/$H$26)</f>
        <v>0</v>
      </c>
      <c r="J20" s="904">
        <f>IF(OR(H20=0,ROUND($L$13+$O$4+$I$13,2)&gt;=ROUND($E$26,2)),0,IF($L$13+$O$4&gt;$G$8,H20-($L$13+$O$4-$G$8)*I20,H20))</f>
        <v>0</v>
      </c>
      <c r="K20" s="891">
        <f>IF(J20=0,0,J20/E20)</f>
        <v>0</v>
      </c>
      <c r="L20" s="1701" t="str">
        <f>_xlfn.IFS($I$13="","Non concerné",$I$13&lt;(0.15*$J$26),"Non",$I$13=(0.15*$J$26),"Oui",$I$13&gt;(0.15*$J$26),"Oui")</f>
        <v>Oui</v>
      </c>
      <c r="M20" s="879">
        <f>IF(F20=0,0,IF($L$20="Oui",J20-($I$13*F20),J20*0.85))</f>
        <v>0</v>
      </c>
      <c r="N20" s="2009" t="str">
        <f>IFERROR($M$26/$J$26,"")</f>
        <v/>
      </c>
      <c r="O20" s="2020">
        <f>IF(OR(J26=0,M26=0),0,P26/(M26*100/85))</f>
        <v>0</v>
      </c>
      <c r="P20" s="880">
        <f>IF(M20=0,0,IF($L$20="Oui",0.15*M20/0.85,J20-M20))</f>
        <v>0</v>
      </c>
      <c r="Q20" s="881">
        <f>IF(I20=0,0,IF($L$20="Oui",P20,$I$13*I20))</f>
        <v>0</v>
      </c>
      <c r="R20" s="880">
        <f>IF(P20=0,0,P20-Q20)</f>
        <v>0</v>
      </c>
      <c r="S20" s="880">
        <f>IF($I$13=0,0,I20*$I$13-Q20)</f>
        <v>0</v>
      </c>
      <c r="T20" s="1763" t="s">
        <v>516</v>
      </c>
      <c r="U20" s="882">
        <f>IFERROR(E20-M20-P20-S20-$L$13*F20,0)</f>
        <v>0</v>
      </c>
      <c r="V20" s="883" t="str">
        <f t="shared" ref="V20:V26" si="1">IF(OR(U20="", E20=0)," - %",U20/E20)</f>
        <v xml:space="preserve"> - %</v>
      </c>
      <c r="X20" s="2019"/>
      <c r="Y20" s="2019"/>
      <c r="Z20" s="707"/>
      <c r="AA20" s="2017"/>
      <c r="AB20" s="2017"/>
      <c r="AC20" s="707"/>
      <c r="AD20" s="804"/>
      <c r="AE20" s="707"/>
      <c r="AF20" s="707"/>
      <c r="AG20" s="2018"/>
      <c r="AH20" s="707"/>
      <c r="AI20" s="706"/>
    </row>
    <row r="21" spans="2:35" s="698" customFormat="1" ht="57" customHeight="1">
      <c r="B21" s="2014"/>
      <c r="C21" s="866" t="s">
        <v>88</v>
      </c>
      <c r="D21" s="859">
        <f>SUMIFS('2.1- Investissements'!$AH$11:$AH$50,'2.1- Investissements'!$D$11:$D$50,'Syn pf bénéficiaire'!C21,'2.1- Investissements'!$F$11:$F$50,"Oui")+SUMIFS('2.2- Amortissement'!$Q$9:$Q$23,'2.2- Amortissement'!$D$9:$D$23,'Syn pf bénéficiaire'!C21,'2.2- Amortissement'!$F$9:$F$23,"Oui")</f>
        <v>0</v>
      </c>
      <c r="E21" s="860">
        <f t="shared" ref="E21:E25" si="2">IF(D21=0,0,D21)</f>
        <v>0</v>
      </c>
      <c r="F21" s="861">
        <f>IF(E21=0,0,IFERROR(VALUE(E21)/VALUE($E$26),0))</f>
        <v>0</v>
      </c>
      <c r="G21" s="892">
        <f>IF(D21=0,0,(F41+F51+F61+F71+F81+F91+F101+F111)/D21)</f>
        <v>0</v>
      </c>
      <c r="H21" s="878">
        <f t="shared" ref="H21:H25" si="3">IF(E21=0,0,G21*E21)</f>
        <v>0</v>
      </c>
      <c r="I21" s="892">
        <f t="shared" ref="I21:I25" si="4">IF($H$26=0,0,H21/$H$26)</f>
        <v>0</v>
      </c>
      <c r="J21" s="904">
        <f t="shared" ref="J21:J25" si="5">IF(OR(H21=0,ROUND($L$13+$O$4+$I$13,2)&gt;=ROUND($E$26,2)),0,IF($L$13+$O$4&gt;$G$8,H21-($L$13+$O$4-$G$8)*I21,H21))</f>
        <v>0</v>
      </c>
      <c r="K21" s="891">
        <f t="shared" ref="K21:K25" si="6">IF(J21=0,0,J21/E21)</f>
        <v>0</v>
      </c>
      <c r="L21" s="1702"/>
      <c r="M21" s="879">
        <f t="shared" ref="M21:M25" si="7">IF(F21=0,0,IF($L$20="Oui",J21-($I$13*F21),J21*0.85))</f>
        <v>0</v>
      </c>
      <c r="N21" s="2010"/>
      <c r="O21" s="2021"/>
      <c r="P21" s="880">
        <f t="shared" ref="P21:P25" si="8">IF(M21=0,0,IF($L$20="Oui",0.15*M21/0.85,J21-M21))</f>
        <v>0</v>
      </c>
      <c r="Q21" s="889">
        <f t="shared" ref="Q21:Q25" si="9">IF(I21=0,0,IF($L$20="Oui",P21,$I$13*I21))</f>
        <v>0</v>
      </c>
      <c r="R21" s="880">
        <f t="shared" ref="R21:R25" si="10">IF(P21=0,0,P21-Q21)</f>
        <v>0</v>
      </c>
      <c r="S21" s="880">
        <f t="shared" ref="S21:S26" si="11">IF($I$13=0,0,I21*$I$13-Q21)</f>
        <v>0</v>
      </c>
      <c r="T21" s="1764"/>
      <c r="U21" s="864">
        <f>IFERROR(E21-M21-P21-S21-$L$13*F21,0)</f>
        <v>0</v>
      </c>
      <c r="V21" s="865" t="str">
        <f t="shared" si="1"/>
        <v xml:space="preserve"> - %</v>
      </c>
      <c r="X21" s="2019"/>
      <c r="Y21" s="2019"/>
      <c r="Z21" s="707"/>
      <c r="AA21" s="2017"/>
      <c r="AB21" s="2017"/>
      <c r="AC21" s="707"/>
      <c r="AD21" s="804"/>
      <c r="AE21" s="707"/>
      <c r="AF21" s="707"/>
      <c r="AG21" s="2018"/>
      <c r="AH21" s="707"/>
      <c r="AI21" s="706"/>
    </row>
    <row r="22" spans="2:35" s="698" customFormat="1" ht="29.1" customHeight="1" thickBot="1">
      <c r="B22" s="2015"/>
      <c r="C22" s="867" t="s">
        <v>91</v>
      </c>
      <c r="D22" s="859">
        <f>SUMIFS('2.1- Investissements'!$AH$11:$AH$50,'2.1- Investissements'!$D$11:$D$50,'Syn pf bénéficiaire'!C22,'2.1- Investissements'!$F$11:$F$50,"Oui")+SUMIFS('2.2- Amortissement'!$Q$9:$Q$23,'2.2- Amortissement'!$D$9:$D$23,'Syn pf bénéficiaire'!C22,'2.2- Amortissement'!$F$9:$F$23,"Oui")</f>
        <v>0</v>
      </c>
      <c r="E22" s="860">
        <f>IF(D22=0,0,D22)</f>
        <v>0</v>
      </c>
      <c r="F22" s="861">
        <f t="shared" ref="F22:F25" si="12">IF(E22=0,0,IFERROR(VALUE(E22)/VALUE($E$26),0))</f>
        <v>0</v>
      </c>
      <c r="G22" s="892">
        <f>IF(D22=0,0,(F42+F52+F62+F72+F82+F92+F102+F112)/D22)</f>
        <v>0</v>
      </c>
      <c r="H22" s="878">
        <f t="shared" si="3"/>
        <v>0</v>
      </c>
      <c r="I22" s="892">
        <f t="shared" si="4"/>
        <v>0</v>
      </c>
      <c r="J22" s="904">
        <f t="shared" si="5"/>
        <v>0</v>
      </c>
      <c r="K22" s="891">
        <f t="shared" si="6"/>
        <v>0</v>
      </c>
      <c r="L22" s="1702"/>
      <c r="M22" s="879">
        <f t="shared" si="7"/>
        <v>0</v>
      </c>
      <c r="N22" s="2010"/>
      <c r="O22" s="2021"/>
      <c r="P22" s="880">
        <f t="shared" si="8"/>
        <v>0</v>
      </c>
      <c r="Q22" s="889">
        <f t="shared" si="9"/>
        <v>0</v>
      </c>
      <c r="R22" s="880">
        <f t="shared" si="10"/>
        <v>0</v>
      </c>
      <c r="S22" s="880">
        <f t="shared" si="11"/>
        <v>0</v>
      </c>
      <c r="T22" s="1765"/>
      <c r="U22" s="864">
        <f>IFERROR(E22-M22-P22-S22-$L$13*F22,0)</f>
        <v>0</v>
      </c>
      <c r="V22" s="865" t="str">
        <f t="shared" si="1"/>
        <v xml:space="preserve"> - %</v>
      </c>
      <c r="X22" s="2019"/>
      <c r="Y22" s="2019"/>
      <c r="Z22" s="707"/>
      <c r="AA22" s="2017"/>
      <c r="AB22" s="2017"/>
      <c r="AC22" s="707"/>
      <c r="AD22" s="804"/>
      <c r="AE22" s="707"/>
      <c r="AF22" s="707"/>
      <c r="AG22" s="2018"/>
      <c r="AH22" s="707"/>
      <c r="AI22" s="706"/>
    </row>
    <row r="23" spans="2:35" s="698" customFormat="1" ht="54" customHeight="1">
      <c r="B23" s="2014" t="s">
        <v>517</v>
      </c>
      <c r="C23" s="868" t="s">
        <v>85</v>
      </c>
      <c r="D23" s="862">
        <f>SUMIFS('2.1- Investissements'!$AH$11:$AH$50,'2.1- Investissements'!$D$11:$D$50,'Syn pf bénéficiaire'!C23,'2.1- Investissements'!$F$11:$F$50,"Non")+SUMIFS('2.2- Amortissement'!$Q$9:$Q$23,'2.2- Amortissement'!$D$9:$D$23,'Syn pf bénéficiaire'!C23,'2.2- Amortissement'!$F$9:$F$23,"Non")+SUMIFS('3- Frais généraux'!$AF$10:$AF$49,'3- Frais généraux'!$D$10:$D$49,'Syn pf bénéficiaire'!C23)+SUMIFS('1- Frais personnel'!$Q$9:$Q$68,'1- Frais personnel'!$D$9:$D$68,'Syn pf bénéficiaire'!C23)+SUMIFS('4- Déplacement &amp; hébergement'!$AF$10:$AF$49,'4- Déplacement &amp; hébergement'!$D$10:$D$49,'Syn pf bénéficiaire'!C23)+SUMIFS('5- Contribution en nature'!$M$9:$M$48,'5- Contribution en nature'!$D$9:$D$48,'Syn pf bénéficiaire'!C23)+SUMIFS('6- Coût participation agri'!$N$9:$N$48,'6- Coût participation agri'!$D$9:$D$48,'Syn pf bénéficiaire'!C23)+SUMIFS('7- Taux forfaitaire'!$H$9:$H$32,'7- Taux forfaitaire'!$D$9:$D$32,'Syn pf bénéficiaire'!C23)</f>
        <v>0</v>
      </c>
      <c r="E23" s="860">
        <f>IF(D23=0,0,D23)</f>
        <v>0</v>
      </c>
      <c r="F23" s="861">
        <f t="shared" si="12"/>
        <v>0</v>
      </c>
      <c r="G23" s="892">
        <f t="shared" ref="G23:G25" si="13">IF(D23=0,0,(F43+F53+F63+F73+F83+F93+F103+F113)/D23)</f>
        <v>0</v>
      </c>
      <c r="H23" s="878">
        <f t="shared" si="3"/>
        <v>0</v>
      </c>
      <c r="I23" s="892">
        <f t="shared" si="4"/>
        <v>0</v>
      </c>
      <c r="J23" s="904">
        <f>IF(OR(H23=0,ROUND($L$13+$O$4+$I$13,2)&gt;=ROUND($E$26,2)),0,IF($L$13+$O$4&gt;$G$8,H23-($L$13+$O$4-$G$8)*I23,H23))</f>
        <v>0</v>
      </c>
      <c r="K23" s="891">
        <f t="shared" si="6"/>
        <v>0</v>
      </c>
      <c r="L23" s="1702"/>
      <c r="M23" s="879">
        <f t="shared" si="7"/>
        <v>0</v>
      </c>
      <c r="N23" s="2010"/>
      <c r="O23" s="2021"/>
      <c r="P23" s="880">
        <f t="shared" si="8"/>
        <v>0</v>
      </c>
      <c r="Q23" s="889">
        <f t="shared" si="9"/>
        <v>0</v>
      </c>
      <c r="R23" s="880">
        <f t="shared" si="10"/>
        <v>0</v>
      </c>
      <c r="S23" s="880">
        <f t="shared" si="11"/>
        <v>0</v>
      </c>
      <c r="T23" s="863">
        <f>SUMIFS('5- Contribution en nature'!$M$9:$M$48,'5- Contribution en nature'!$D$9:$D$48,C23)</f>
        <v>0</v>
      </c>
      <c r="U23" s="864">
        <f>IFERROR(E23-M23-P23-S23-T23-$L$13*F23,0)</f>
        <v>0</v>
      </c>
      <c r="V23" s="865" t="str">
        <f t="shared" si="1"/>
        <v xml:space="preserve"> - %</v>
      </c>
      <c r="X23" s="2019"/>
      <c r="Y23" s="2019"/>
      <c r="Z23" s="707"/>
      <c r="AA23" s="2017"/>
      <c r="AB23" s="2017"/>
      <c r="AC23" s="707"/>
      <c r="AD23" s="804"/>
      <c r="AE23" s="707"/>
      <c r="AF23" s="707"/>
      <c r="AG23" s="707"/>
      <c r="AH23" s="707"/>
      <c r="AI23" s="706"/>
    </row>
    <row r="24" spans="2:35" s="698" customFormat="1" ht="29.1" customHeight="1">
      <c r="B24" s="2014"/>
      <c r="C24" s="866" t="s">
        <v>88</v>
      </c>
      <c r="D24" s="859">
        <f>SUMIFS('2.1- Investissements'!$AH$11:$AH$50,'2.1- Investissements'!$D$11:$D$50,'Syn pf bénéficiaire'!C24,'2.1- Investissements'!$F$11:$F$50,"Non")+SUMIFS('2.2- Amortissement'!$Q$9:$Q$23,'2.2- Amortissement'!$D$9:$D$23,'Syn pf bénéficiaire'!C24,'2.2- Amortissement'!$F$9:$F$23,"Non")+SUMIFS('3- Frais généraux'!$AF$10:$AF$49,'3- Frais généraux'!$D$10:$D$49,'Syn pf bénéficiaire'!C24)+SUMIFS('1- Frais personnel'!$Q$9:$Q$68,'1- Frais personnel'!$D$9:$D$68,'Syn pf bénéficiaire'!C24)+SUMIFS('4- Déplacement &amp; hébergement'!$AF$10:$AF$49,'4- Déplacement &amp; hébergement'!$D$10:$D$49,'Syn pf bénéficiaire'!C24)+SUMIFS('5- Contribution en nature'!$M$9:$M$48,'5- Contribution en nature'!$D$9:$D$48,'Syn pf bénéficiaire'!C24)+SUMIFS('6- Coût participation agri'!$N$9:$N$48,'6- Coût participation agri'!$D$9:$D$48,'Syn pf bénéficiaire'!C24)+SUMIFS('7- Taux forfaitaire'!$H$9:$H$32,'7- Taux forfaitaire'!$D$9:$D$32,'Syn pf bénéficiaire'!C24)</f>
        <v>0</v>
      </c>
      <c r="E24" s="860">
        <f t="shared" si="2"/>
        <v>0</v>
      </c>
      <c r="F24" s="861">
        <f t="shared" si="12"/>
        <v>0</v>
      </c>
      <c r="G24" s="892">
        <f t="shared" si="13"/>
        <v>0</v>
      </c>
      <c r="H24" s="878">
        <f t="shared" si="3"/>
        <v>0</v>
      </c>
      <c r="I24" s="892">
        <f t="shared" si="4"/>
        <v>0</v>
      </c>
      <c r="J24" s="904">
        <f t="shared" si="5"/>
        <v>0</v>
      </c>
      <c r="K24" s="891">
        <f t="shared" si="6"/>
        <v>0</v>
      </c>
      <c r="L24" s="1702"/>
      <c r="M24" s="879">
        <f t="shared" si="7"/>
        <v>0</v>
      </c>
      <c r="N24" s="2010"/>
      <c r="O24" s="2021"/>
      <c r="P24" s="880">
        <f t="shared" si="8"/>
        <v>0</v>
      </c>
      <c r="Q24" s="889">
        <f t="shared" si="9"/>
        <v>0</v>
      </c>
      <c r="R24" s="880">
        <f t="shared" si="10"/>
        <v>0</v>
      </c>
      <c r="S24" s="880">
        <f t="shared" si="11"/>
        <v>0</v>
      </c>
      <c r="T24" s="863">
        <f>SUMIFS('5- Contribution en nature'!$M$9:$M$48,'5- Contribution en nature'!$D$9:$D$48,C24)</f>
        <v>0</v>
      </c>
      <c r="U24" s="864">
        <f>IFERROR(E24-M24-P24-S24-T24-$L$13*F24,0)</f>
        <v>0</v>
      </c>
      <c r="V24" s="865" t="str">
        <f t="shared" si="1"/>
        <v xml:space="preserve"> - %</v>
      </c>
      <c r="X24" s="2019"/>
      <c r="Y24" s="2019"/>
      <c r="Z24" s="707"/>
      <c r="AA24" s="2017"/>
      <c r="AB24" s="2017"/>
      <c r="AC24" s="707"/>
      <c r="AD24" s="804"/>
      <c r="AE24" s="707"/>
      <c r="AF24" s="707"/>
      <c r="AG24" s="707"/>
      <c r="AH24" s="707"/>
      <c r="AI24" s="706"/>
    </row>
    <row r="25" spans="2:35" s="698" customFormat="1" ht="29.1" customHeight="1" thickBot="1">
      <c r="B25" s="2015"/>
      <c r="C25" s="867" t="s">
        <v>91</v>
      </c>
      <c r="D25" s="859">
        <f>SUMIFS('2.1- Investissements'!$AH$11:$AH$50,'2.1- Investissements'!$D$11:$D$50,'Syn pf bénéficiaire'!C25,'2.1- Investissements'!$F$11:$F$50,"Non")+SUMIFS('2.2- Amortissement'!$Q$9:$Q$23,'2.2- Amortissement'!$D$9:$D$23,'Syn pf bénéficiaire'!C25,'2.2- Amortissement'!$F$9:$F$23,"Non")+SUMIFS('3- Frais généraux'!$AF$10:$AF$49,'3- Frais généraux'!$D$10:$D$49,'Syn pf bénéficiaire'!C25)+SUMIFS('1- Frais personnel'!$Q$9:$Q$68,'1- Frais personnel'!$D$9:$D$68,'Syn pf bénéficiaire'!C25)+SUMIFS('4- Déplacement &amp; hébergement'!$AF$10:$AF$49,'4- Déplacement &amp; hébergement'!$D$10:$D$49,'Syn pf bénéficiaire'!C25)+SUMIFS('5- Contribution en nature'!$M$9:$M$48,'5- Contribution en nature'!$D$9:$D$48,'Syn pf bénéficiaire'!C25)+SUMIFS('6- Coût participation agri'!$N$9:$N$48,'6- Coût participation agri'!$D$9:$D$48,'Syn pf bénéficiaire'!C25)+SUMIFS('7- Taux forfaitaire'!$H$9:$H$32,'7- Taux forfaitaire'!$D$9:$D$32,'Syn pf bénéficiaire'!C25)</f>
        <v>0</v>
      </c>
      <c r="E25" s="860">
        <f t="shared" si="2"/>
        <v>0</v>
      </c>
      <c r="F25" s="861">
        <f t="shared" si="12"/>
        <v>0</v>
      </c>
      <c r="G25" s="892">
        <f t="shared" si="13"/>
        <v>0</v>
      </c>
      <c r="H25" s="878">
        <f t="shared" si="3"/>
        <v>0</v>
      </c>
      <c r="I25" s="892">
        <f t="shared" si="4"/>
        <v>0</v>
      </c>
      <c r="J25" s="904">
        <f t="shared" si="5"/>
        <v>0</v>
      </c>
      <c r="K25" s="891">
        <f t="shared" si="6"/>
        <v>0</v>
      </c>
      <c r="L25" s="2016"/>
      <c r="M25" s="879">
        <f t="shared" si="7"/>
        <v>0</v>
      </c>
      <c r="N25" s="2011"/>
      <c r="O25" s="2022"/>
      <c r="P25" s="880">
        <f t="shared" si="8"/>
        <v>0</v>
      </c>
      <c r="Q25" s="889">
        <f t="shared" si="9"/>
        <v>0</v>
      </c>
      <c r="R25" s="880">
        <f t="shared" si="10"/>
        <v>0</v>
      </c>
      <c r="S25" s="880">
        <f t="shared" si="11"/>
        <v>0</v>
      </c>
      <c r="T25" s="863">
        <f>SUMIFS('5- Contribution en nature'!$M$9:$M$48,'5- Contribution en nature'!$D$9:$D$48,C25)</f>
        <v>0</v>
      </c>
      <c r="U25" s="864">
        <f>IFERROR(E25-M25-P25-S25-T25-$L$13*F25,0)</f>
        <v>0</v>
      </c>
      <c r="V25" s="865" t="str">
        <f t="shared" si="1"/>
        <v xml:space="preserve"> - %</v>
      </c>
      <c r="X25" s="2019"/>
      <c r="Y25" s="2019"/>
      <c r="Z25" s="707"/>
      <c r="AA25" s="2017"/>
      <c r="AB25" s="2017"/>
      <c r="AC25" s="707"/>
      <c r="AD25" s="804"/>
      <c r="AE25" s="707"/>
      <c r="AF25" s="707"/>
      <c r="AG25" s="707"/>
      <c r="AH25" s="707"/>
      <c r="AI25" s="706"/>
    </row>
    <row r="26" spans="2:35" s="698" customFormat="1" ht="20.100000000000001" thickBot="1">
      <c r="B26" s="869"/>
      <c r="C26" s="870" t="s">
        <v>518</v>
      </c>
      <c r="D26" s="871">
        <f>IF(D3=0,0,SUM(D20:D25))</f>
        <v>0</v>
      </c>
      <c r="E26" s="871">
        <f>IF(G6="Règle respectée",SUM(E20:E25),0)</f>
        <v>0</v>
      </c>
      <c r="F26" s="872">
        <f>SUM(F20:F25)</f>
        <v>0</v>
      </c>
      <c r="G26" s="869"/>
      <c r="H26" s="873">
        <f>SUM(H20:H25)</f>
        <v>0</v>
      </c>
      <c r="I26" s="903">
        <f>SUM(I20:I25)</f>
        <v>0</v>
      </c>
      <c r="J26" s="873">
        <f>SUM(J20:J25)</f>
        <v>0</v>
      </c>
      <c r="L26" s="874"/>
      <c r="M26" s="873">
        <f>IF(I26=0,0,ROUNDDOWN(IF($L$20="Oui",J26-($I$13*I26),J26*0.85),2))</f>
        <v>0</v>
      </c>
      <c r="N26" s="869"/>
      <c r="O26" s="869"/>
      <c r="P26" s="873">
        <f>IF(M26=0,0,IF($L$20="Oui",ROUNDUP(0.15*M26/0.85,2),J26-M26))</f>
        <v>0</v>
      </c>
      <c r="Q26" s="873">
        <f>IF(F26=0,0,IF($L$20="Oui",P26,$I$13*I26))</f>
        <v>0</v>
      </c>
      <c r="R26" s="873">
        <f>IF(P26=0,0,P26-Q26)</f>
        <v>0</v>
      </c>
      <c r="S26" s="873">
        <f t="shared" si="11"/>
        <v>0</v>
      </c>
      <c r="T26" s="873">
        <f>SUM(T23:T25)</f>
        <v>0</v>
      </c>
      <c r="U26" s="873">
        <f>IFERROR(E26-M26-P26-S26-T26-$L$13*F26,0)</f>
        <v>0</v>
      </c>
      <c r="V26" s="872" t="str">
        <f t="shared" si="1"/>
        <v xml:space="preserve"> - %</v>
      </c>
      <c r="X26" s="2019"/>
      <c r="Y26" s="2019"/>
      <c r="Z26" s="805"/>
      <c r="AA26" s="806"/>
      <c r="AB26" s="806"/>
      <c r="AC26" s="807"/>
      <c r="AD26" s="709"/>
      <c r="AE26" s="709"/>
      <c r="AF26" s="807"/>
      <c r="AG26" s="807"/>
      <c r="AH26" s="807"/>
      <c r="AI26" s="711"/>
    </row>
    <row r="27" spans="2:35" ht="21">
      <c r="J27" s="701"/>
      <c r="K27" s="702"/>
      <c r="V27" s="225"/>
      <c r="W27" s="225"/>
      <c r="X27" s="225"/>
      <c r="Y27" s="225"/>
      <c r="Z27" s="225"/>
      <c r="AA27" s="225"/>
      <c r="AB27" s="225"/>
      <c r="AC27" s="225"/>
      <c r="AD27" s="225"/>
      <c r="AE27" s="225"/>
      <c r="AF27" s="225"/>
      <c r="AG27" s="225"/>
      <c r="AH27" s="225"/>
      <c r="AI27" s="225"/>
    </row>
    <row r="28" spans="2:35" ht="21">
      <c r="J28" s="701"/>
      <c r="K28" s="702"/>
      <c r="V28" s="225"/>
      <c r="W28" s="225"/>
      <c r="X28" s="225"/>
      <c r="Y28" s="225"/>
      <c r="Z28" s="225"/>
      <c r="AA28" s="225"/>
      <c r="AB28" s="225"/>
      <c r="AC28" s="225"/>
      <c r="AD28" s="225"/>
      <c r="AE28" s="225"/>
      <c r="AF28" s="225"/>
      <c r="AG28" s="225"/>
      <c r="AH28" s="225"/>
      <c r="AI28" s="225"/>
    </row>
    <row r="29" spans="2:35" ht="15.95" thickBot="1">
      <c r="I29" s="890"/>
      <c r="J29" s="225"/>
      <c r="K29" s="225"/>
    </row>
    <row r="30" spans="2:35" ht="60" customHeight="1">
      <c r="J30" s="225"/>
      <c r="K30" s="1052"/>
      <c r="W30" s="1941" t="s">
        <v>437</v>
      </c>
      <c r="X30" s="1945" t="s">
        <v>438</v>
      </c>
      <c r="Y30" s="1945" t="s">
        <v>439</v>
      </c>
      <c r="Z30" s="1945" t="s">
        <v>440</v>
      </c>
      <c r="AA30" s="1945" t="s">
        <v>441</v>
      </c>
      <c r="AB30" s="1945" t="s">
        <v>442</v>
      </c>
      <c r="AC30" s="1945" t="s">
        <v>443</v>
      </c>
      <c r="AD30" s="1945" t="s">
        <v>444</v>
      </c>
      <c r="AE30" s="1128" t="s">
        <v>445</v>
      </c>
    </row>
    <row r="31" spans="2:35" ht="101.1" thickBot="1">
      <c r="H31" s="1047"/>
      <c r="K31" s="225"/>
      <c r="N31" s="1164"/>
      <c r="W31" s="1942"/>
      <c r="X31" s="1946"/>
      <c r="Y31" s="1946"/>
      <c r="Z31" s="1946"/>
      <c r="AA31" s="1946"/>
      <c r="AB31" s="1946"/>
      <c r="AC31" s="1946"/>
      <c r="AD31" s="1946"/>
      <c r="AE31" s="1129" t="s">
        <v>447</v>
      </c>
    </row>
    <row r="32" spans="2:35" ht="21" thickBot="1">
      <c r="B32" s="164"/>
      <c r="E32" s="1044"/>
      <c r="W32" s="1133" t="s">
        <v>373</v>
      </c>
      <c r="X32" s="1134">
        <f>K4</f>
        <v>0</v>
      </c>
      <c r="Y32" s="1134">
        <f t="shared" ref="Y32:AE32" si="14">L4</f>
        <v>0</v>
      </c>
      <c r="Z32" s="1134">
        <f t="shared" si="14"/>
        <v>0</v>
      </c>
      <c r="AA32" s="1134">
        <f t="shared" si="14"/>
        <v>0</v>
      </c>
      <c r="AB32" s="1134">
        <f t="shared" si="14"/>
        <v>0</v>
      </c>
      <c r="AC32" s="1134">
        <f t="shared" si="14"/>
        <v>0</v>
      </c>
      <c r="AD32" s="1134">
        <f t="shared" si="14"/>
        <v>0</v>
      </c>
      <c r="AE32" s="1135">
        <f t="shared" si="14"/>
        <v>0</v>
      </c>
    </row>
    <row r="33" spans="1:31" ht="21" thickBot="1">
      <c r="W33" s="1126" t="s">
        <v>450</v>
      </c>
      <c r="X33" s="1943">
        <f>K5</f>
        <v>0</v>
      </c>
      <c r="Y33" s="1943"/>
      <c r="Z33" s="1943"/>
      <c r="AA33" s="1943"/>
      <c r="AB33" s="1943"/>
      <c r="AC33" s="1943"/>
      <c r="AD33" s="1943"/>
      <c r="AE33" s="1944"/>
    </row>
    <row r="34" spans="1:31" ht="20.100000000000001">
      <c r="W34" s="1127" t="s">
        <v>10</v>
      </c>
      <c r="X34" s="1130">
        <f>IF($X$33=0,0,SUMIFS('1- Frais personnel'!Q9:Q68,'1- Frais personnel'!C9:C68,W34))</f>
        <v>0</v>
      </c>
      <c r="Y34" s="1131">
        <f>IF($X$33=0,0,SUMIFS('2.1- Investissements'!$AH$11:$AH$50,'2.1- Investissements'!$C$11:$C$50,W34))</f>
        <v>0</v>
      </c>
      <c r="Z34" s="1131">
        <f>IF($X$33=0,0,SUMIFS('3- Frais généraux'!$AF$10:$AF$49,'3- Frais généraux'!$C$10:$C$49,W34))</f>
        <v>0</v>
      </c>
      <c r="AA34" s="1131">
        <f>IF($X$33=0,0,SUMIFS('4- Déplacement &amp; hébergement'!$AF$10:$AF$49,'4- Déplacement &amp; hébergement'!$C$10:$C$49,W34))</f>
        <v>0</v>
      </c>
      <c r="AB34" s="1131">
        <f>IF($X$33=0,0,SUMIFS('5- Contribution en nature'!$M$9:$M$48,'5- Contribution en nature'!$C$9:$C$48,W34))</f>
        <v>0</v>
      </c>
      <c r="AC34" s="1131">
        <f>IF($X$33=0,0,SUMIFS('6- Coût participation agri'!$N$9:$N$48,'6- Coût participation agri'!$C$9:$C$48,W34))</f>
        <v>0</v>
      </c>
      <c r="AD34" s="1131">
        <f>IF($X$33=0,0,SUMIFS('2.2- Amortissement'!$Q$9:$Q$23,'2.2- Amortissement'!$C$9:$C$23,W34))</f>
        <v>0</v>
      </c>
      <c r="AE34" s="1132">
        <f>IF($X$33=0,0,SUMIFS('7- Taux forfaitaire'!H9:H32,'7- Taux forfaitaire'!C9:C32,W34))</f>
        <v>0</v>
      </c>
    </row>
    <row r="35" spans="1:31" ht="20.100000000000001">
      <c r="W35" s="1125" t="s">
        <v>11</v>
      </c>
      <c r="X35" s="1123">
        <f>IF($X$33=0,0,SUMIFS('1- Frais personnel'!Q10:Q69,'1- Frais personnel'!C10:C69,W35))</f>
        <v>0</v>
      </c>
      <c r="Y35" s="1119">
        <f>IF($X$33=0,0,SUMIFS('2.1- Investissements'!$AH$11:$AH$50,'2.1- Investissements'!$C$11:$C$50,W35))</f>
        <v>0</v>
      </c>
      <c r="Z35" s="1119">
        <f>IF($X$33=0,0,SUMIFS('3- Frais généraux'!$AF$10:$AF$49,'3- Frais généraux'!$C$10:$C$49,W35))</f>
        <v>0</v>
      </c>
      <c r="AA35" s="1119">
        <f>IF($X$33=0,0,SUMIFS('4- Déplacement &amp; hébergement'!$AF$10:$AF$49,'4- Déplacement &amp; hébergement'!$C$10:$C$49,W35))</f>
        <v>0</v>
      </c>
      <c r="AB35" s="1119">
        <f>IF($X$33=0,0,SUMIFS('5- Contribution en nature'!$M$9:$M$48,'5- Contribution en nature'!$C$9:$C$48,W35))</f>
        <v>0</v>
      </c>
      <c r="AC35" s="1119">
        <f>IF($X$33=0,0,SUMIFS('6- Coût participation agri'!$N$9:$N$48,'6- Coût participation agri'!$C$9:$C$48,W35))</f>
        <v>0</v>
      </c>
      <c r="AD35" s="1119">
        <f>IF($X$33=0,0,SUMIFS('2.2- Amortissement'!$Q$9:$Q$23,'2.2- Amortissement'!$C$9:$C$23,W35))</f>
        <v>0</v>
      </c>
      <c r="AE35" s="1120">
        <f>IF($X$33=0,0,SUMIFS('7- Taux forfaitaire'!H10:H33,'7- Taux forfaitaire'!C10:C33,W35))</f>
        <v>0</v>
      </c>
    </row>
    <row r="36" spans="1:31" ht="20.100000000000001">
      <c r="W36" s="1125" t="s">
        <v>12</v>
      </c>
      <c r="X36" s="1123">
        <f>IF($X$33=0,0,SUMIFS('1- Frais personnel'!Q11:Q70,'1- Frais personnel'!C11:C70,W36))</f>
        <v>0</v>
      </c>
      <c r="Y36" s="1119">
        <f>IF($X$33=0,0,SUMIFS('2.1- Investissements'!$AH$11:$AH$50,'2.1- Investissements'!$C$11:$C$50,W36))</f>
        <v>0</v>
      </c>
      <c r="Z36" s="1119">
        <f>IF($X$33=0,0,SUMIFS('3- Frais généraux'!$AF$10:$AF$49,'3- Frais généraux'!$C$10:$C$49,W36))</f>
        <v>0</v>
      </c>
      <c r="AA36" s="1119">
        <f>IF($X$33=0,0,SUMIFS('4- Déplacement &amp; hébergement'!$AF$10:$AF$49,'4- Déplacement &amp; hébergement'!$C$10:$C$49,W36))</f>
        <v>0</v>
      </c>
      <c r="AB36" s="1119">
        <f>IF($X$33=0,0,SUMIFS('5- Contribution en nature'!$M$9:$M$48,'5- Contribution en nature'!$C$9:$C$48,W36))</f>
        <v>0</v>
      </c>
      <c r="AC36" s="1119">
        <f>IF($X$33=0,0,SUMIFS('6- Coût participation agri'!$N$9:$N$48,'6- Coût participation agri'!$C$9:$C$48,W36))</f>
        <v>0</v>
      </c>
      <c r="AD36" s="1119">
        <f>IF($X$33=0,0,SUMIFS('2.2- Amortissement'!$Q$9:$Q$23,'2.2- Amortissement'!$C$9:$C$23,W36))</f>
        <v>0</v>
      </c>
      <c r="AE36" s="1120">
        <f>IF($X$33=0,0,SUMIFS('7- Taux forfaitaire'!H11:H34,'7- Taux forfaitaire'!C11:C34,W36))</f>
        <v>0</v>
      </c>
    </row>
    <row r="37" spans="1:31" ht="69.95" customHeight="1">
      <c r="B37" s="2025" t="s">
        <v>519</v>
      </c>
      <c r="C37" s="2026"/>
      <c r="D37" s="2026"/>
      <c r="E37" s="2026"/>
      <c r="F37" s="2026"/>
      <c r="G37" s="2026"/>
      <c r="H37" s="2026"/>
      <c r="I37" s="2026"/>
      <c r="J37" s="2026"/>
      <c r="K37" s="2026"/>
      <c r="L37" s="2026"/>
      <c r="M37" s="2026"/>
      <c r="N37" s="2026"/>
      <c r="O37" s="2026"/>
      <c r="P37" s="2026"/>
      <c r="W37" s="1125" t="s">
        <v>13</v>
      </c>
      <c r="X37" s="1123">
        <f>IF($X$33=0,0,SUMIFS('1- Frais personnel'!Q12:Q71,'1- Frais personnel'!C12:C71,W37))</f>
        <v>0</v>
      </c>
      <c r="Y37" s="1119">
        <f>IF($X$33=0,0,SUMIFS('2.1- Investissements'!$AH$11:$AH$50,'2.1- Investissements'!$C$11:$C$50,W37))</f>
        <v>0</v>
      </c>
      <c r="Z37" s="1119">
        <f>IF($X$33=0,0,SUMIFS('3- Frais généraux'!$AF$10:$AF$49,'3- Frais généraux'!$C$10:$C$49,W37))</f>
        <v>0</v>
      </c>
      <c r="AA37" s="1119">
        <f>IF($X$33=0,0,SUMIFS('4- Déplacement &amp; hébergement'!$AF$10:$AF$49,'4- Déplacement &amp; hébergement'!$C$10:$C$49,W37))</f>
        <v>0</v>
      </c>
      <c r="AB37" s="1119">
        <f>IF($X$33=0,0,SUMIFS('5- Contribution en nature'!$M$9:$M$48,'5- Contribution en nature'!$C$9:$C$48,W37))</f>
        <v>0</v>
      </c>
      <c r="AC37" s="1119">
        <f>IF($X$33=0,0,SUMIFS('6- Coût participation agri'!$N$9:$N$48,'6- Coût participation agri'!$C$9:$C$48,W37))</f>
        <v>0</v>
      </c>
      <c r="AD37" s="1119">
        <f>IF($X$33=0,0,SUMIFS('2.2- Amortissement'!$Q$9:$Q$23,'2.2- Amortissement'!$C$9:$C$23,W37))</f>
        <v>0</v>
      </c>
      <c r="AE37" s="1120">
        <f>IF($X$33=0,0,SUMIFS('7- Taux forfaitaire'!H12:H35,'7- Taux forfaitaire'!C12:C35,W37))</f>
        <v>0</v>
      </c>
    </row>
    <row r="38" spans="1:31" ht="15.95" customHeight="1" thickBot="1">
      <c r="B38" s="2023" t="s">
        <v>10</v>
      </c>
      <c r="C38" s="2024"/>
      <c r="D38" s="2024"/>
      <c r="E38" s="2024"/>
      <c r="F38" s="2024"/>
      <c r="G38" s="2024"/>
      <c r="H38" s="2024"/>
      <c r="I38" s="2024"/>
      <c r="J38" s="2024"/>
      <c r="K38" s="2024"/>
      <c r="L38" s="2024"/>
      <c r="M38" s="2024"/>
      <c r="N38" s="2024"/>
      <c r="O38" s="2024"/>
      <c r="P38" s="2024"/>
      <c r="W38" s="1125" t="s">
        <v>14</v>
      </c>
      <c r="X38" s="1123">
        <f>IF($X$33=0,0,SUMIFS('1- Frais personnel'!Q13:Q72,'1- Frais personnel'!C13:C72,W38))</f>
        <v>0</v>
      </c>
      <c r="Y38" s="1119">
        <f>IF($X$33=0,0,SUMIFS('2.1- Investissements'!$AH$11:$AH$50,'2.1- Investissements'!$C$11:$C$50,W38))</f>
        <v>0</v>
      </c>
      <c r="Z38" s="1119">
        <f>IF($X$33=0,0,SUMIFS('3- Frais généraux'!$AF$10:$AF$49,'3- Frais généraux'!$C$10:$C$49,W38))</f>
        <v>0</v>
      </c>
      <c r="AA38" s="1119">
        <f>IF($X$33=0,0,SUMIFS('4- Déplacement &amp; hébergement'!$AF$10:$AF$49,'4- Déplacement &amp; hébergement'!$C$10:$C$49,W38))</f>
        <v>0</v>
      </c>
      <c r="AB38" s="1119">
        <f>IF($X$33=0,0,SUMIFS('5- Contribution en nature'!$M$9:$M$48,'5- Contribution en nature'!$C$9:$C$48,W38))</f>
        <v>0</v>
      </c>
      <c r="AC38" s="1119">
        <f>IF($X$33=0,0,SUMIFS('6- Coût participation agri'!$N$9:$N$48,'6- Coût participation agri'!$C$9:$C$48,W38))</f>
        <v>0</v>
      </c>
      <c r="AD38" s="1119">
        <f>IF($X$33=0,0,SUMIFS('2.2- Amortissement'!$Q$9:$Q$23,'2.2- Amortissement'!$C$9:$C$23,W38))</f>
        <v>0</v>
      </c>
      <c r="AE38" s="1120">
        <f>IF($X$33=0,0,SUMIFS('7- Taux forfaitaire'!H13:H36,'7- Taux forfaitaire'!C13:C36,W38))</f>
        <v>0</v>
      </c>
    </row>
    <row r="39" spans="1:31" ht="134.44999999999999" customHeight="1" thickBot="1">
      <c r="A39" s="1010" t="s">
        <v>520</v>
      </c>
      <c r="B39" s="1152" t="s">
        <v>77</v>
      </c>
      <c r="C39" s="1153" t="s">
        <v>373</v>
      </c>
      <c r="D39" s="1154" t="s">
        <v>521</v>
      </c>
      <c r="E39" s="1154" t="s">
        <v>522</v>
      </c>
      <c r="F39" s="1155" t="s">
        <v>523</v>
      </c>
      <c r="G39" s="1156" t="s">
        <v>524</v>
      </c>
      <c r="H39" s="1156" t="s">
        <v>525</v>
      </c>
      <c r="I39" s="1157" t="s">
        <v>493</v>
      </c>
      <c r="J39" s="1154" t="s">
        <v>494</v>
      </c>
      <c r="K39" s="1154" t="s">
        <v>526</v>
      </c>
      <c r="L39" s="1154" t="s">
        <v>498</v>
      </c>
      <c r="M39" s="994" t="s">
        <v>499</v>
      </c>
      <c r="N39" s="1154" t="s">
        <v>500</v>
      </c>
      <c r="O39" s="1158" t="s">
        <v>442</v>
      </c>
      <c r="P39" s="1158" t="s">
        <v>527</v>
      </c>
      <c r="W39" s="1125" t="s">
        <v>15</v>
      </c>
      <c r="X39" s="1123">
        <f>IF($X$33=0,0,SUMIFS('1- Frais personnel'!Q14:Q73,'1- Frais personnel'!C14:C73,W39))</f>
        <v>0</v>
      </c>
      <c r="Y39" s="1119">
        <f>IF($X$33=0,0,SUMIFS('2.1- Investissements'!$AH$11:$AH$50,'2.1- Investissements'!$C$11:$C$50,W39))</f>
        <v>0</v>
      </c>
      <c r="Z39" s="1119">
        <f>IF($X$33=0,0,SUMIFS('3- Frais généraux'!$AF$10:$AF$49,'3- Frais généraux'!$C$10:$C$49,W39))</f>
        <v>0</v>
      </c>
      <c r="AA39" s="1119">
        <f>IF($X$33=0,0,SUMIFS('4- Déplacement &amp; hébergement'!$AF$10:$AF$49,'4- Déplacement &amp; hébergement'!$C$10:$C$49,W39))</f>
        <v>0</v>
      </c>
      <c r="AB39" s="1119">
        <f>IF($X$33=0,0,SUMIFS('5- Contribution en nature'!$M$9:$M$48,'5- Contribution en nature'!$C$9:$C$48,W39))</f>
        <v>0</v>
      </c>
      <c r="AC39" s="1119">
        <f>IF($X$33=0,0,SUMIFS('6- Coût participation agri'!$N$9:$N$48,'6- Coût participation agri'!$C$9:$C$48,W39))</f>
        <v>0</v>
      </c>
      <c r="AD39" s="1119">
        <f>IF($X$33=0,0,SUMIFS('2.2- Amortissement'!$Q$9:$Q$23,'2.2- Amortissement'!$C$9:$C$23,W39))</f>
        <v>0</v>
      </c>
      <c r="AE39" s="1120">
        <f>IF($X$33=0,0,SUMIFS('7- Taux forfaitaire'!H14:H37,'7- Taux forfaitaire'!C14:C37,W39))</f>
        <v>0</v>
      </c>
    </row>
    <row r="40" spans="1:31" ht="14.45" customHeight="1">
      <c r="A40" s="1950" t="s">
        <v>528</v>
      </c>
      <c r="B40" s="1065" t="s">
        <v>85</v>
      </c>
      <c r="C40" s="1056">
        <f>SUMIFS('2.1- Investissements'!$AH$11:$AH$50,'2.1- Investissements'!$D$11:$D$50,B40,'2.1- Investissements'!$F$11:$F$50,"Oui",'2.1- Investissements'!$C$11:$C$50,"Chef de file")+SUMIFS('2.2- Amortissement'!$Q$9:$Q$23,'2.2- Amortissement'!$D$9:$D$23,B40,'2.2- Amortissement'!$F$9:$F$23,"Oui",'2.2- Amortissement'!$C$9:$C$23,"Chef de file")</f>
        <v>0</v>
      </c>
      <c r="D40" s="1057" t="e">
        <f>C40/$C$118</f>
        <v>#VALUE!</v>
      </c>
      <c r="E40" s="1058">
        <v>0.8</v>
      </c>
      <c r="F40" s="977">
        <f>IF(E40=0,0,C40*E40)</f>
        <v>0</v>
      </c>
      <c r="G40" s="968" t="e">
        <f>IF(OR(F40=0,ROUND(($L$13+$I$13)*$D$46+$O$46,2)&gt;=ROUND($C$46,2)),0,IF($L$13*$D$46+$O$46&gt;($C$46-$F$46),F40-(($L$13*$D$46)+$O$46-($C$46-$F$46))*(F40/$F$46),F40))</f>
        <v>#VALUE!</v>
      </c>
      <c r="H40" s="1072">
        <f>IF(C40=0,0,G40/C40)</f>
        <v>0</v>
      </c>
      <c r="I40" s="1698" t="e">
        <f>_xlfn.IFS($I$13="","Non concerné",$I$13*($C$46/$C$118)&lt;(0.15*$G$46),"Non",$I$13*($C$46/$C$118)=(0.15*$G$46),"Oui",$I$13*($C$46/$C$118)&gt;(0.15*$G$46),"Oui")</f>
        <v>#VALUE!</v>
      </c>
      <c r="J40" s="1059" t="e">
        <f>IF(G40=0,0,IF($I$40="Oui",G40-$I$13*((F40/$F$46)*$C$46/$C$118),G40*0.85))</f>
        <v>#VALUE!</v>
      </c>
      <c r="K40" s="1163" t="e">
        <f>IF(J40=0,0,IF($I$40="Oui",0.15*J40/0.85,G40-J40))</f>
        <v>#VALUE!</v>
      </c>
      <c r="L40" s="1059">
        <f>IF(C40=0,0,IF($I$40="Oui",K40,$I$13*(F40/$F$46*$C$46/$C$118)))</f>
        <v>0</v>
      </c>
      <c r="M40" s="888" t="e">
        <f>IF(K40=0,0,K40-L40)</f>
        <v>#VALUE!</v>
      </c>
      <c r="N40" s="1059">
        <f>IF($F$46=0,0,IF($I$13=0,0,(F40/$F$46*$C$46/$C$118)*$I$13-L40))</f>
        <v>0</v>
      </c>
      <c r="O40" s="1763" t="s">
        <v>516</v>
      </c>
      <c r="P40" s="1060">
        <f>IFERROR(C40-J40-K40-N40-O40-($L$13*C40/$C$46*$C$46/$C$118),0)</f>
        <v>0</v>
      </c>
      <c r="W40" s="1125" t="s">
        <v>16</v>
      </c>
      <c r="X40" s="1123">
        <f>IF($X$33=0,0,SUMIFS('1- Frais personnel'!Q15:Q74,'1- Frais personnel'!C15:C74,W40))</f>
        <v>0</v>
      </c>
      <c r="Y40" s="1119">
        <f>IF($X$33=0,0,SUMIFS('2.1- Investissements'!$AH$11:$AH$50,'2.1- Investissements'!$C$11:$C$50,W40))</f>
        <v>0</v>
      </c>
      <c r="Z40" s="1119">
        <f>IF($X$33=0,0,SUMIFS('3- Frais généraux'!$AF$10:$AF$49,'3- Frais généraux'!$C$10:$C$49,W40))</f>
        <v>0</v>
      </c>
      <c r="AA40" s="1119">
        <f>IF($X$33=0,0,SUMIFS('4- Déplacement &amp; hébergement'!$AF$10:$AF$49,'4- Déplacement &amp; hébergement'!$C$10:$C$49,W40))</f>
        <v>0</v>
      </c>
      <c r="AB40" s="1119">
        <f>IF($X$33=0,0,SUMIFS('5- Contribution en nature'!$M$9:$M$48,'5- Contribution en nature'!$C$9:$C$48,W40))</f>
        <v>0</v>
      </c>
      <c r="AC40" s="1119">
        <f>IF($X$33=0,0,SUMIFS('6- Coût participation agri'!$N$9:$N$48,'6- Coût participation agri'!$C$9:$C$48,W40))</f>
        <v>0</v>
      </c>
      <c r="AD40" s="1119">
        <f>IF($X$33=0,0,SUMIFS('2.2- Amortissement'!$Q$9:$Q$23,'2.2- Amortissement'!$C$9:$C$23,W40))</f>
        <v>0</v>
      </c>
      <c r="AE40" s="1120">
        <f>IF($X$33=0,0,SUMIFS('7- Taux forfaitaire'!H15:H38,'7- Taux forfaitaire'!C15:C38,W40))</f>
        <v>0</v>
      </c>
    </row>
    <row r="41" spans="1:31" ht="14.45" customHeight="1" thickBot="1">
      <c r="A41" s="1950"/>
      <c r="B41" s="1066" t="s">
        <v>88</v>
      </c>
      <c r="C41" s="1061">
        <f>SUMIFS('2.1- Investissements'!$AH$11:$AH$50,'2.1- Investissements'!$D$11:$D$50,B41,'2.1- Investissements'!$F$11:$F$50,"Oui",'2.1- Investissements'!$C$11:$C$50,"Chef de file")+SUMIFS('2.2- Amortissement'!$Q$9:$Q$23,'2.2- Amortissement'!$D$9:$D$23,B41,'2.2- Amortissement'!$F$9:$F$23,"Oui",'2.2- Amortissement'!$C$9:$C$23,"Chef de file")</f>
        <v>0</v>
      </c>
      <c r="D41" s="1071" t="e">
        <f>C41/$C$118</f>
        <v>#VALUE!</v>
      </c>
      <c r="E41" s="893">
        <v>0.8</v>
      </c>
      <c r="F41" s="894">
        <f t="shared" ref="F41:F45" si="15">IF(E41=0,0,C41*E41)</f>
        <v>0</v>
      </c>
      <c r="G41" s="894" t="e">
        <f t="shared" ref="G41:G45" si="16">IF(OR(F41=0,ROUND(($L$13+$I$13)*$D$46+$O$46,2)&gt;=ROUND($C$46,2)),0,IF($L$13*$D$46+$O$46&gt;($C$46-$F$46),F41-(($L$13*$D$46)+$O$46-($C$46-$F$46))*(F41/$F$46),F41))</f>
        <v>#VALUE!</v>
      </c>
      <c r="H41" s="981">
        <f t="shared" ref="H41:H45" si="17">IF(C41=0,0,G41/C41)</f>
        <v>0</v>
      </c>
      <c r="I41" s="1699"/>
      <c r="J41" s="887" t="e">
        <f t="shared" ref="J41:J45" si="18">IF(G41=0,0,IF($I$40="Oui",G41-$I$13*((F41/$F$46)*$C$46/$C$118),G41*0.85))</f>
        <v>#VALUE!</v>
      </c>
      <c r="K41" s="887" t="e">
        <f t="shared" ref="K41:K45" si="19">IF(J41=0,0,IF($I$40="Oui",0.15*J41/0.85,G41-J41))</f>
        <v>#VALUE!</v>
      </c>
      <c r="L41" s="887">
        <f t="shared" ref="L41:L46" si="20">IF(C41=0,0,IF($I$40="Oui",K41,$I$13*(F41/$F$46*$C$46/$C$118)))</f>
        <v>0</v>
      </c>
      <c r="M41" s="887" t="e">
        <f t="shared" ref="M41:M46" si="21">IF(K41=0,0,K41-L41)</f>
        <v>#VALUE!</v>
      </c>
      <c r="N41" s="887">
        <f t="shared" ref="N41:N45" si="22">IF($F$46=0,0,IF($I$13=0,0,(F41/$F$46*$C$46/$C$118)*$I$13-L41))</f>
        <v>0</v>
      </c>
      <c r="O41" s="1764"/>
      <c r="P41" s="1073">
        <f t="shared" ref="P41:P46" si="23">IFERROR(C41-J41-K41-N41-O41-($L$13*C41/$C$46*$C$46/$C$118),0)</f>
        <v>0</v>
      </c>
      <c r="W41" s="1126" t="s">
        <v>17</v>
      </c>
      <c r="X41" s="1124">
        <f>IF($X$33=0,0,SUMIFS('1- Frais personnel'!Q16:Q75,'1- Frais personnel'!C16:C75,W41))</f>
        <v>0</v>
      </c>
      <c r="Y41" s="1121">
        <f>IF($X$33=0,0,SUMIFS('2.1- Investissements'!$AH$11:$AH$50,'2.1- Investissements'!$C$11:$C$50,W41))</f>
        <v>0</v>
      </c>
      <c r="Z41" s="1121">
        <f>IF($X$33=0,0,SUMIFS('3- Frais généraux'!$AF$10:$AF$49,'3- Frais généraux'!$C$10:$C$49,W41))</f>
        <v>0</v>
      </c>
      <c r="AA41" s="1121">
        <f>IF($X$33=0,0,SUMIFS('4- Déplacement &amp; hébergement'!$AF$10:$AF$49,'4- Déplacement &amp; hébergement'!$C$10:$C$49,W41))</f>
        <v>0</v>
      </c>
      <c r="AB41" s="1121">
        <f>IF($X$33=0,0,SUMIFS('5- Contribution en nature'!$M$9:$M$48,'5- Contribution en nature'!$C$9:$C$48,W41))</f>
        <v>0</v>
      </c>
      <c r="AC41" s="1121">
        <f>IF($X$33=0,0,SUMIFS('6- Coût participation agri'!$N$9:$N$48,'6- Coût participation agri'!$C$9:$C$48,W41))</f>
        <v>0</v>
      </c>
      <c r="AD41" s="1121">
        <f>IF($X$33=0,0,SUMIFS('2.2- Amortissement'!$Q$9:$Q$23,'2.2- Amortissement'!$C$9:$C$23,W41))</f>
        <v>0</v>
      </c>
      <c r="AE41" s="1122">
        <f>IF($X$33=0,0,SUMIFS('7- Taux forfaitaire'!H16:H39,'7- Taux forfaitaire'!C16:C39,W41))</f>
        <v>0</v>
      </c>
    </row>
    <row r="42" spans="1:31" ht="14.45" customHeight="1">
      <c r="A42" s="1950"/>
      <c r="B42" s="1066" t="s">
        <v>91</v>
      </c>
      <c r="C42" s="1061">
        <f>SUMIFS('2.1- Investissements'!$AH$11:$AH$50,'2.1- Investissements'!$D$11:$D$50,B42,'2.1- Investissements'!$F$11:$F$50,"Oui",'2.1- Investissements'!$C$11:$C$50,"Chef de file")+SUMIFS('2.2- Amortissement'!$Q$9:$Q$23,'2.2- Amortissement'!$D$9:$D$23,B42,'2.2- Amortissement'!$F$9:$F$23,"Oui",'2.2- Amortissement'!$C$9:$C$23,"Chef de file")</f>
        <v>0</v>
      </c>
      <c r="D42" s="1071" t="e">
        <f t="shared" ref="D42:D45" si="24">C42/$C$118</f>
        <v>#VALUE!</v>
      </c>
      <c r="E42" s="893">
        <v>0.8</v>
      </c>
      <c r="F42" s="894">
        <f t="shared" si="15"/>
        <v>0</v>
      </c>
      <c r="G42" s="894" t="e">
        <f>IF(OR(F42=0,ROUND(($L$13+$I$13)*$D$46+$O$46,2)&gt;=ROUND($C$46,2)),0,IF($L$13*$D$46+$O$46&gt;($C$46-$F$46),F42-(($L$13*$D$46)+$O$46-($C$46-$F$46))*(F42/$F$46),F42))</f>
        <v>#VALUE!</v>
      </c>
      <c r="H42" s="981">
        <f t="shared" si="17"/>
        <v>0</v>
      </c>
      <c r="I42" s="1699"/>
      <c r="J42" s="887" t="e">
        <f t="shared" si="18"/>
        <v>#VALUE!</v>
      </c>
      <c r="K42" s="887" t="e">
        <f t="shared" si="19"/>
        <v>#VALUE!</v>
      </c>
      <c r="L42" s="887">
        <f>IF(C42=0,0,IF($I$40="Oui",K42,$I$13*(F42/$F$46*$C$46/$C$118)))</f>
        <v>0</v>
      </c>
      <c r="M42" s="887" t="e">
        <f t="shared" si="21"/>
        <v>#VALUE!</v>
      </c>
      <c r="N42" s="887">
        <f t="shared" si="22"/>
        <v>0</v>
      </c>
      <c r="O42" s="1765"/>
      <c r="P42" s="1073">
        <f t="shared" si="23"/>
        <v>0</v>
      </c>
    </row>
    <row r="43" spans="1:31" ht="14.45" customHeight="1">
      <c r="A43" s="1950" t="s">
        <v>529</v>
      </c>
      <c r="B43" s="1066" t="s">
        <v>85</v>
      </c>
      <c r="C43" s="1061">
        <f>SUMIFS('2.1- Investissements'!$AH$11:$AH$50,'2.1- Investissements'!$D$11:$D$50,B43,'2.1- Investissements'!$F$11:$F$50,"Non",'2.1- Investissements'!$C$11:$C$50,"Chef de file")+SUMIFS('2.2- Amortissement'!$Q$9:$Q$23,'2.2- Amortissement'!$D$9:$D$23,B43,'2.2- Amortissement'!$F$9:$F$23,"Non",'2.2- Amortissement'!$C$9:$C$23,"Chef de file")+SUMIFS('3- Frais généraux'!$AF$10:$AF$49,'3- Frais généraux'!$D$10:$D$49,B43,'3- Frais généraux'!$C$10:$C$49,"Chef de file")+SUMIFS('1- Frais personnel'!$Q$9:$Q$68,'1- Frais personnel'!$D$9:$D$68,B43,'1- Frais personnel'!$C$9:$C$68,"Chef de file")+SUMIFS('4- Déplacement &amp; hébergement'!$AF$10:$AF$49,'4- Déplacement &amp; hébergement'!$D$10:$D$49,B43,'4- Déplacement &amp; hébergement'!$C$10:$C$49,"Chef de file")+SUMIFS('5- Contribution en nature'!$M$9:$M$48,'5- Contribution en nature'!$D$9:$D$48,B43,'5- Contribution en nature'!$C$9:$C$48,"Chef de file")+SUMIFS('6- Coût participation agri'!$N$9:$N$48,'6- Coût participation agri'!$D$9:$D$48, B43,'6- Coût participation agri'!$C$9:$C$48,"Chef de file")+SUMIFS('7- Taux forfaitaire'!$H$9:$H$32,'7- Taux forfaitaire'!$D$9:$D$32,B43,'7- Taux forfaitaire'!$C$9:$C$32,"Chef de file")</f>
        <v>0</v>
      </c>
      <c r="D43" s="1071" t="e">
        <f t="shared" si="24"/>
        <v>#VALUE!</v>
      </c>
      <c r="E43" s="893">
        <v>1</v>
      </c>
      <c r="F43" s="894">
        <f t="shared" si="15"/>
        <v>0</v>
      </c>
      <c r="G43" s="894" t="e">
        <f>IF(OR(F43=0,ROUND(($L$13+$I$13)*$D$46+$O$46,2)&gt;=ROUND($C$46,2)),0,IF($L$13*$D$46+$O$46&gt;($C$46-$F$46),F43-(($L$13*$D$46)+$O$46-($C$46-$F$46))*(F43/$F$46),F43))</f>
        <v>#VALUE!</v>
      </c>
      <c r="H43" s="981">
        <f t="shared" si="17"/>
        <v>0</v>
      </c>
      <c r="I43" s="1699"/>
      <c r="J43" s="887" t="e">
        <f t="shared" si="18"/>
        <v>#VALUE!</v>
      </c>
      <c r="K43" s="887" t="e">
        <f t="shared" si="19"/>
        <v>#VALUE!</v>
      </c>
      <c r="L43" s="887">
        <f t="shared" si="20"/>
        <v>0</v>
      </c>
      <c r="M43" s="887" t="e">
        <f t="shared" si="21"/>
        <v>#VALUE!</v>
      </c>
      <c r="N43" s="887">
        <f t="shared" si="22"/>
        <v>0</v>
      </c>
      <c r="O43" s="887">
        <f>SUMIFS('5- Contribution en nature'!$M$9:$M$48,'5- Contribution en nature'!$D$9:$D$48,'Syn pf bénéficiaire'!B43,'5- Contribution en nature'!$C$9:$C$48,"Chef de file")</f>
        <v>0</v>
      </c>
      <c r="P43" s="1073">
        <f t="shared" si="23"/>
        <v>0</v>
      </c>
    </row>
    <row r="44" spans="1:31" ht="14.45" customHeight="1">
      <c r="A44" s="1950"/>
      <c r="B44" s="1066" t="s">
        <v>88</v>
      </c>
      <c r="C44" s="1061">
        <f>SUMIFS('2.1- Investissements'!$AH$11:$AH$50,'2.1- Investissements'!$D$11:$D$50,B44,'2.1- Investissements'!$F$11:$F$50,"Non",'2.1- Investissements'!$C$11:$C$50,"Chef de file")+SUMIFS('2.2- Amortissement'!$Q$9:$Q$23,'2.2- Amortissement'!$D$9:$D$23,B44,'2.2- Amortissement'!$F$9:$F$23,"Non",'2.2- Amortissement'!$C$9:$C$23,"Chef de file")+SUMIFS('3- Frais généraux'!$AF$10:$AF$49,'3- Frais généraux'!$D$10:$D$49,B44,'3- Frais généraux'!$C$10:$C$49,"Chef de file")+SUMIFS('1- Frais personnel'!$Q$9:$Q$68,'1- Frais personnel'!$D$9:$D$68,B44,'1- Frais personnel'!$C$9:$C$68,"Chef de file")+SUMIFS('4- Déplacement &amp; hébergement'!$AF$10:$AF$49,'4- Déplacement &amp; hébergement'!$D$10:$D$49,B44,'4- Déplacement &amp; hébergement'!$C$10:$C$49,"Chef de file")+SUMIFS('5- Contribution en nature'!$M$9:$M$48,'5- Contribution en nature'!$D$9:$D$48,B44,'5- Contribution en nature'!$C$9:$C$48,"Chef de file")+SUMIFS('6- Coût participation agri'!$N$9:$N$48,'6- Coût participation agri'!$D$9:$D$48, B44,'6- Coût participation agri'!$C$9:$C$48,"Chef de file")+SUMIFS('7- Taux forfaitaire'!$H$9:$H$32,'7- Taux forfaitaire'!$D$9:$D$32,B44,'7- Taux forfaitaire'!$C$9:$C$32,"Chef de file")</f>
        <v>0</v>
      </c>
      <c r="D44" s="1071" t="e">
        <f t="shared" si="24"/>
        <v>#VALUE!</v>
      </c>
      <c r="E44" s="893">
        <v>1</v>
      </c>
      <c r="F44" s="894">
        <f t="shared" si="15"/>
        <v>0</v>
      </c>
      <c r="G44" s="894" t="e">
        <f t="shared" si="16"/>
        <v>#VALUE!</v>
      </c>
      <c r="H44" s="981">
        <f t="shared" si="17"/>
        <v>0</v>
      </c>
      <c r="I44" s="1699"/>
      <c r="J44" s="887" t="e">
        <f t="shared" si="18"/>
        <v>#VALUE!</v>
      </c>
      <c r="K44" s="887" t="e">
        <f t="shared" si="19"/>
        <v>#VALUE!</v>
      </c>
      <c r="L44" s="887">
        <f t="shared" si="20"/>
        <v>0</v>
      </c>
      <c r="M44" s="887" t="e">
        <f t="shared" si="21"/>
        <v>#VALUE!</v>
      </c>
      <c r="N44" s="887">
        <f t="shared" si="22"/>
        <v>0</v>
      </c>
      <c r="O44" s="887">
        <f>SUMIFS('5- Contribution en nature'!$M$9:$M$48,'5- Contribution en nature'!$D$9:$D$48,'Syn pf bénéficiaire'!B44,'5- Contribution en nature'!$C$9:$C$48,"Chef de file")</f>
        <v>0</v>
      </c>
      <c r="P44" s="1073">
        <f t="shared" si="23"/>
        <v>0</v>
      </c>
    </row>
    <row r="45" spans="1:31" ht="14.45" customHeight="1" thickBot="1">
      <c r="A45" s="1951"/>
      <c r="B45" s="1077" t="s">
        <v>91</v>
      </c>
      <c r="C45" s="1078">
        <f>SUMIFS('2.1- Investissements'!$AH$11:$AH$50,'2.1- Investissements'!$D$11:$D$50,B45,'2.1- Investissements'!$F$11:$F$50,"Non",'2.1- Investissements'!$C$11:$C$50,"Chef de file")+SUMIFS('2.2- Amortissement'!$Q$9:$Q$23,'2.2- Amortissement'!$D$9:$D$23,B45,'2.2- Amortissement'!$F$9:$F$23,"Non",'2.2- Amortissement'!$C$9:$C$23,"Chef de file")+SUMIFS('3- Frais généraux'!$AF$10:$AF$49,'3- Frais généraux'!$D$10:$D$49,B45,'3- Frais généraux'!$C$10:$C$49,"Chef de file")+SUMIFS('1- Frais personnel'!$Q$9:$Q$68,'1- Frais personnel'!$D$9:$D$68,B45,'1- Frais personnel'!$C$9:$C$68,"Chef de file")+SUMIFS('4- Déplacement &amp; hébergement'!$AF$10:$AF$49,'4- Déplacement &amp; hébergement'!$D$10:$D$49,B45,'4- Déplacement &amp; hébergement'!$C$10:$C$49,"Chef de file")+SUMIFS('5- Contribution en nature'!$M$9:$M$48,'5- Contribution en nature'!$D$9:$D$48,B45,'5- Contribution en nature'!$C$9:$C$48,"Chef de file")+SUMIFS('6- Coût participation agri'!$N$9:$N$48,'6- Coût participation agri'!$D$9:$D$48, B45,'6- Coût participation agri'!$C$9:$C$48,"Chef de file")+SUMIFS('7- Taux forfaitaire'!$H$9:$H$32,'7- Taux forfaitaire'!$D$9:$D$32,B45,'7- Taux forfaitaire'!$C$9:$C$32,"Chef de file")</f>
        <v>0</v>
      </c>
      <c r="D45" s="1079" t="e">
        <f t="shared" si="24"/>
        <v>#VALUE!</v>
      </c>
      <c r="E45" s="1080">
        <v>1</v>
      </c>
      <c r="F45" s="971">
        <f t="shared" si="15"/>
        <v>0</v>
      </c>
      <c r="G45" s="971" t="e">
        <f t="shared" si="16"/>
        <v>#VALUE!</v>
      </c>
      <c r="H45" s="1081">
        <f t="shared" si="17"/>
        <v>0</v>
      </c>
      <c r="I45" s="1700"/>
      <c r="J45" s="1045" t="e">
        <f t="shared" si="18"/>
        <v>#VALUE!</v>
      </c>
      <c r="K45" s="888" t="e">
        <f t="shared" si="19"/>
        <v>#VALUE!</v>
      </c>
      <c r="L45" s="1045">
        <f t="shared" si="20"/>
        <v>0</v>
      </c>
      <c r="M45" s="1064" t="e">
        <f t="shared" si="21"/>
        <v>#VALUE!</v>
      </c>
      <c r="N45" s="1064">
        <f t="shared" si="22"/>
        <v>0</v>
      </c>
      <c r="O45" s="1045">
        <f>SUMIFS('5- Contribution en nature'!$M$9:$M$48,'5- Contribution en nature'!$D$9:$D$48,'Syn pf bénéficiaire'!B45,'5- Contribution en nature'!$C$9:$C$48,"Chef de file")</f>
        <v>0</v>
      </c>
      <c r="P45" s="1082">
        <f t="shared" si="23"/>
        <v>0</v>
      </c>
    </row>
    <row r="46" spans="1:31" s="1086" customFormat="1" ht="48.6" customHeight="1" thickBot="1">
      <c r="B46" s="1087" t="s">
        <v>530</v>
      </c>
      <c r="C46" s="1088" t="str">
        <f>IF(D3=0,"",SUM(C40:C45))</f>
        <v/>
      </c>
      <c r="D46" s="983" t="e">
        <f>C46/$C$118</f>
        <v>#VALUE!</v>
      </c>
      <c r="E46" s="984"/>
      <c r="F46" s="1085">
        <f>SUM(F40:F45)</f>
        <v>0</v>
      </c>
      <c r="G46" s="1085" t="e">
        <f>IF(OR(F46=0,ROUND(($L$13+$I$13)*$D$46+$O$46,2)&gt;=ROUND($C$46,2)),0,IF($L$13*$D$46+$O$46&gt;($C$46-$F$46),F46-(($L$13*$D$46)+$O$46-($C$46-$F$46))*(F46/$F$46),F46))</f>
        <v>#VALUE!</v>
      </c>
      <c r="H46" s="985" t="e">
        <f>IF(C46=0,0,G46/C46)</f>
        <v>#VALUE!</v>
      </c>
      <c r="I46" s="1089"/>
      <c r="J46" s="986" t="e">
        <f>IF(G46=0,0,IF($I$40="Oui",G46-$I$13*((F46/$F$46)*$C$46/$C$118),G46*0.85))</f>
        <v>#VALUE!</v>
      </c>
      <c r="K46" s="1046" t="e">
        <f>IF(J46=0,0,IF($I$40="Oui",ROUNDUP(0.15*J46/0.85,2),G46-J46))</f>
        <v>#VALUE!</v>
      </c>
      <c r="L46" s="986" t="e">
        <f t="shared" si="20"/>
        <v>#VALUE!</v>
      </c>
      <c r="M46" s="1064" t="e">
        <f t="shared" si="21"/>
        <v>#VALUE!</v>
      </c>
      <c r="N46" s="986">
        <f>IF($F$46=0,0,IF($I$13=0,0,(F46/$F$46*$C$46/$C$118)*$I$13-L46))</f>
        <v>0</v>
      </c>
      <c r="O46" s="986">
        <f>SUM(O40:O45)</f>
        <v>0</v>
      </c>
      <c r="P46" s="987">
        <f t="shared" si="23"/>
        <v>0</v>
      </c>
      <c r="Q46" s="1165"/>
    </row>
    <row r="47" spans="1:31" ht="15.95" thickBot="1"/>
    <row r="48" spans="1:31" ht="15.95" customHeight="1" thickBot="1">
      <c r="B48" s="1947" t="s">
        <v>11</v>
      </c>
      <c r="C48" s="1948"/>
      <c r="D48" s="1948"/>
      <c r="E48" s="1948"/>
      <c r="F48" s="1948"/>
      <c r="G48" s="1948"/>
      <c r="H48" s="1948"/>
      <c r="I48" s="1948"/>
      <c r="J48" s="1948"/>
      <c r="K48" s="1948"/>
      <c r="L48" s="1948"/>
      <c r="M48" s="1948"/>
      <c r="N48" s="1949"/>
    </row>
    <row r="49" spans="1:17" ht="134.44999999999999" customHeight="1" thickBot="1">
      <c r="A49" s="1010" t="s">
        <v>520</v>
      </c>
      <c r="B49" s="1009" t="s">
        <v>77</v>
      </c>
      <c r="C49" s="1067" t="s">
        <v>373</v>
      </c>
      <c r="D49" s="1068" t="s">
        <v>521</v>
      </c>
      <c r="E49" s="1068" t="s">
        <v>522</v>
      </c>
      <c r="F49" s="1068" t="s">
        <v>523</v>
      </c>
      <c r="G49" s="1069" t="s">
        <v>524</v>
      </c>
      <c r="H49" s="1069" t="s">
        <v>525</v>
      </c>
      <c r="I49" s="1034" t="s">
        <v>493</v>
      </c>
      <c r="J49" s="1068" t="s">
        <v>494</v>
      </c>
      <c r="K49" s="1068" t="s">
        <v>526</v>
      </c>
      <c r="L49" s="1068" t="s">
        <v>498</v>
      </c>
      <c r="M49" s="1068" t="s">
        <v>499</v>
      </c>
      <c r="N49" s="1068" t="s">
        <v>500</v>
      </c>
      <c r="O49" s="1070" t="s">
        <v>442</v>
      </c>
      <c r="P49" s="1070" t="s">
        <v>527</v>
      </c>
    </row>
    <row r="50" spans="1:17" ht="14.45" customHeight="1">
      <c r="A50" s="1950" t="s">
        <v>528</v>
      </c>
      <c r="B50" s="1065" t="s">
        <v>85</v>
      </c>
      <c r="C50" s="1056">
        <f>SUMIFS('2.1- Investissements'!$AH$11:$AH$50,'2.1- Investissements'!$D$11:$D$50,B50,'2.1- Investissements'!$F$11:$F$50,"Oui",'2.1- Investissements'!$C$11:$C$50,$B$48)+SUMIFS('2.2- Amortissement'!$Q$9:$Q$23,'2.2- Amortissement'!$D$9:$D$23,B50,'2.2- Amortissement'!$F$9:$F$23,"Oui",'2.2- Amortissement'!$C$9:$C$23,$B$48)</f>
        <v>0</v>
      </c>
      <c r="D50" s="1057" t="e">
        <f>C50/$C$118</f>
        <v>#VALUE!</v>
      </c>
      <c r="E50" s="1058">
        <v>0.8</v>
      </c>
      <c r="F50" s="968">
        <f>IF(E50=0,0,C50*E50)</f>
        <v>0</v>
      </c>
      <c r="G50" s="968" t="e">
        <f>IF(OR(F50=0,ROUND(($L$13+$I$13)*$D$56+$O$56,2)&gt;=ROUND($C$56,2)),0,IF($L$13*$D$56+$O$56&gt;($C$56-$F$56),F50-(($L$13*$D$56)+$O$56-($C$56-$F$56))*(F50/$F$56),F50))</f>
        <v>#VALUE!</v>
      </c>
      <c r="H50" s="1072">
        <f>IF(C50=0,0,G50/C50)</f>
        <v>0</v>
      </c>
      <c r="I50" s="1698" t="e">
        <f>_xlfn.IFS($I$13="","Non concerné",$I$13*($C$56/$C$118)&lt;(0.15*$G$56),"Non",$I$13*($C$56/$C$118)=(0.15*$G$56),"Oui",$I$13*($C$56/$C$118)&gt;(0.15*$G$56),"Oui")</f>
        <v>#VALUE!</v>
      </c>
      <c r="J50" s="1059" t="e">
        <f>IF(G50=0,0,IF($I$50="Oui",G50-$I$13*((F50/$F$56)*$C$56/$C$118),G50*0.85))</f>
        <v>#VALUE!</v>
      </c>
      <c r="K50" s="1163" t="e">
        <f>IF(J50=0,0,IF($I$50="Oui",0.15*J50/0.85,G50-J50))</f>
        <v>#VALUE!</v>
      </c>
      <c r="L50" s="1059">
        <f>IF(C50=0,0,IF($I$50="Oui",K50,$I$13*(F50/$F$56*$C$56/$C$118)))</f>
        <v>0</v>
      </c>
      <c r="M50" s="1163" t="e">
        <f>IF(K50=0,0,K50-L50)</f>
        <v>#VALUE!</v>
      </c>
      <c r="N50" s="1059">
        <f>IF($F$56=0,0,IF($I$13=0,0,(F50/$F$56*$C$56/$C$118)*$I$13-L50))</f>
        <v>0</v>
      </c>
      <c r="O50" s="1763" t="s">
        <v>516</v>
      </c>
      <c r="P50" s="1060">
        <f>IFERROR(C50-J50-K50-N50-O50-($L$13*C50/$C$56*$C$56/$C$118),0)</f>
        <v>0</v>
      </c>
    </row>
    <row r="51" spans="1:17" ht="14.45" customHeight="1">
      <c r="A51" s="1950"/>
      <c r="B51" s="1066" t="s">
        <v>88</v>
      </c>
      <c r="C51" s="1061">
        <f>SUMIFS('2.1- Investissements'!$AH$11:$AH$50,'2.1- Investissements'!$D$11:$D$50,B51,'2.1- Investissements'!$F$11:$F$50,"Oui",'2.1- Investissements'!$C$11:$C$50,$B$48)+SUMIFS('2.2- Amortissement'!$Q$9:$Q$23,'2.2- Amortissement'!$D$9:$D$23,B51,'2.2- Amortissement'!$F$9:$F$23,"Oui",'2.2- Amortissement'!$C$9:$C$23,$B$48)</f>
        <v>0</v>
      </c>
      <c r="D51" s="1071" t="e">
        <f t="shared" ref="D51:D55" si="25">C51/$C$118</f>
        <v>#VALUE!</v>
      </c>
      <c r="E51" s="893">
        <v>0.8</v>
      </c>
      <c r="F51" s="894">
        <f t="shared" ref="F51:F55" si="26">IF(E51=0,0,C51*E51)</f>
        <v>0</v>
      </c>
      <c r="G51" s="894" t="e">
        <f t="shared" ref="G51:G55" si="27">IF(OR(F51=0,ROUND(($L$13+$I$13)*$D$56+$O$56,2)&gt;=ROUND($C$56,2)),0,IF($L$13*$D$56+$O$56&gt;($C$56-$F$56),F51-(($L$13*$D$56)+$O$56-($C$56-$F$56))*(F51/$F$56),F51))</f>
        <v>#VALUE!</v>
      </c>
      <c r="H51" s="981">
        <f t="shared" ref="H51:H55" si="28">IF(C51=0,0,G51/C51)</f>
        <v>0</v>
      </c>
      <c r="I51" s="1699"/>
      <c r="J51" s="887" t="e">
        <f t="shared" ref="J51:J55" si="29">IF(G51=0,0,IF($I$50="Oui",G51-$I$13*((F51/$F$56)*$C$56/$C$118),G51*0.85))</f>
        <v>#VALUE!</v>
      </c>
      <c r="K51" s="887" t="e">
        <f t="shared" ref="K51:K55" si="30">IF(J51=0,0,IF($I$50="Oui",0.15*J51/0.85,G51-J51))</f>
        <v>#VALUE!</v>
      </c>
      <c r="L51" s="887">
        <f t="shared" ref="L51:L56" si="31">IF(C51=0,0,IF($I$50="Oui",K51,$I$13*(F51/$F$56*$C$56/$C$118)))</f>
        <v>0</v>
      </c>
      <c r="M51" s="887" t="e">
        <f t="shared" ref="M51:M55" si="32">IF(K51=0,0,K51-L51)</f>
        <v>#VALUE!</v>
      </c>
      <c r="N51" s="887">
        <f t="shared" ref="N51:N55" si="33">IF($F$56=0,0,IF($I$13=0,0,(F51/$F$56*$C$56/$C$118)*$I$13-L51))</f>
        <v>0</v>
      </c>
      <c r="O51" s="1764"/>
      <c r="P51" s="1073">
        <f t="shared" ref="P51:P55" si="34">IFERROR(C51-J51-K51-N51-O51-($L$13*C51/$C$56*$C$56/$C$118),0)</f>
        <v>0</v>
      </c>
    </row>
    <row r="52" spans="1:17" ht="15.95">
      <c r="A52" s="1950"/>
      <c r="B52" s="1066" t="s">
        <v>91</v>
      </c>
      <c r="C52" s="1061">
        <f>SUMIFS('2.1- Investissements'!$AH$11:$AH$50,'2.1- Investissements'!$D$11:$D$50,B52,'2.1- Investissements'!$F$11:$F$50,"Oui",'2.1- Investissements'!$C$11:$C$50,$B$48)+SUMIFS('2.2- Amortissement'!$Q$9:$Q$23,'2.2- Amortissement'!$D$9:$D$23,B52,'2.2- Amortissement'!$F$9:$F$23,"Oui",'2.2- Amortissement'!$C$9:$C$23,$B$48)</f>
        <v>0</v>
      </c>
      <c r="D52" s="1071" t="e">
        <f t="shared" si="25"/>
        <v>#VALUE!</v>
      </c>
      <c r="E52" s="893">
        <v>0.8</v>
      </c>
      <c r="F52" s="894">
        <f t="shared" si="26"/>
        <v>0</v>
      </c>
      <c r="G52" s="894" t="e">
        <f t="shared" si="27"/>
        <v>#VALUE!</v>
      </c>
      <c r="H52" s="981">
        <f t="shared" si="28"/>
        <v>0</v>
      </c>
      <c r="I52" s="1699"/>
      <c r="J52" s="887" t="e">
        <f t="shared" si="29"/>
        <v>#VALUE!</v>
      </c>
      <c r="K52" s="887" t="e">
        <f t="shared" si="30"/>
        <v>#VALUE!</v>
      </c>
      <c r="L52" s="887">
        <f t="shared" si="31"/>
        <v>0</v>
      </c>
      <c r="M52" s="887" t="e">
        <f t="shared" si="32"/>
        <v>#VALUE!</v>
      </c>
      <c r="N52" s="887">
        <f t="shared" si="33"/>
        <v>0</v>
      </c>
      <c r="O52" s="1765"/>
      <c r="P52" s="1073">
        <f t="shared" si="34"/>
        <v>0</v>
      </c>
    </row>
    <row r="53" spans="1:17" ht="14.45" customHeight="1">
      <c r="A53" s="1950" t="s">
        <v>529</v>
      </c>
      <c r="B53" s="1066" t="s">
        <v>85</v>
      </c>
      <c r="C53" s="1061">
        <f>SUMIFS('2.1- Investissements'!$AH$11:$AH$50,'2.1- Investissements'!$D$11:$D$50,B53,'2.1- Investissements'!$F$11:$F$50,"Non",'2.1- Investissements'!$C$11:$C$50,$B$48)+SUMIFS('2.2- Amortissement'!$Q$9:$Q$23,'2.2- Amortissement'!$D$9:$D$23,B53,'2.2- Amortissement'!$F$9:$F$23,"Non",'2.2- Amortissement'!$C$9:$C$23,$B$48)+SUMIFS('3- Frais généraux'!$AF$10:$AF$49,'3- Frais généraux'!$D$10:$D$49,B53,'3- Frais généraux'!$C$10:$C$49,$B$48)+SUMIFS('1- Frais personnel'!$Q$9:$Q$68,'1- Frais personnel'!$D$9:$D$68,B53,'1- Frais personnel'!$C$9:$C$68,$B$48)+SUMIFS('4- Déplacement &amp; hébergement'!$AF$10:$AF$49,'4- Déplacement &amp; hébergement'!$D$10:$D$49,B53,'4- Déplacement &amp; hébergement'!$C$10:$C$49,$B$48)+SUMIFS('5- Contribution en nature'!$M$9:$M$48,'5- Contribution en nature'!$D$9:$D$48,B53,'5- Contribution en nature'!$C$9:$C$48,$B$48)+SUMIFS('6- Coût participation agri'!$N$9:$N$48,'6- Coût participation agri'!$D$9:$D$48, B53,'6- Coût participation agri'!$C$9:$C$48,$B$48)+SUMIFS('7- Taux forfaitaire'!$H$9:$H$32,'7- Taux forfaitaire'!$D$9:$D$32,B53,'7- Taux forfaitaire'!$C$9:$C$32,$B$48)</f>
        <v>0</v>
      </c>
      <c r="D53" s="1071" t="e">
        <f t="shared" si="25"/>
        <v>#VALUE!</v>
      </c>
      <c r="E53" s="893">
        <v>1</v>
      </c>
      <c r="F53" s="894">
        <f t="shared" si="26"/>
        <v>0</v>
      </c>
      <c r="G53" s="894" t="e">
        <f t="shared" si="27"/>
        <v>#VALUE!</v>
      </c>
      <c r="H53" s="981">
        <f t="shared" si="28"/>
        <v>0</v>
      </c>
      <c r="I53" s="1699"/>
      <c r="J53" s="887" t="e">
        <f t="shared" si="29"/>
        <v>#VALUE!</v>
      </c>
      <c r="K53" s="887" t="e">
        <f t="shared" si="30"/>
        <v>#VALUE!</v>
      </c>
      <c r="L53" s="887">
        <f t="shared" si="31"/>
        <v>0</v>
      </c>
      <c r="M53" s="887" t="e">
        <f t="shared" si="32"/>
        <v>#VALUE!</v>
      </c>
      <c r="N53" s="887">
        <f t="shared" si="33"/>
        <v>0</v>
      </c>
      <c r="O53" s="887">
        <f>SUMIFS('5- Contribution en nature'!$M$9:$M$48,'5- Contribution en nature'!$D$9:$D$48,'Syn pf bénéficiaire'!B53,'5- Contribution en nature'!$C$9:$C$48,"Partenaire 1")</f>
        <v>0</v>
      </c>
      <c r="P53" s="1073">
        <f t="shared" si="34"/>
        <v>0</v>
      </c>
    </row>
    <row r="54" spans="1:17" ht="14.45" customHeight="1">
      <c r="A54" s="1950"/>
      <c r="B54" s="1066" t="s">
        <v>88</v>
      </c>
      <c r="C54" s="1061">
        <f>SUMIFS('2.1- Investissements'!$AH$11:$AH$50,'2.1- Investissements'!$D$11:$D$50,B54,'2.1- Investissements'!$F$11:$F$50,"Non",'2.1- Investissements'!$C$11:$C$50,$B$48)+SUMIFS('2.2- Amortissement'!$Q$9:$Q$23,'2.2- Amortissement'!$D$9:$D$23,B54,'2.2- Amortissement'!$F$9:$F$23,"Non",'2.2- Amortissement'!$C$9:$C$23,$B$48)+SUMIFS('3- Frais généraux'!$AF$10:$AF$49,'3- Frais généraux'!$D$10:$D$49,B54,'3- Frais généraux'!$C$10:$C$49,$B$48)+SUMIFS('1- Frais personnel'!$Q$9:$Q$68,'1- Frais personnel'!$D$9:$D$68,B54,'1- Frais personnel'!$C$9:$C$68,$B$48)+SUMIFS('4- Déplacement &amp; hébergement'!$AF$10:$AF$49,'4- Déplacement &amp; hébergement'!$D$10:$D$49,B54,'4- Déplacement &amp; hébergement'!$C$10:$C$49,$B$48)+SUMIFS('5- Contribution en nature'!$M$9:$M$48,'5- Contribution en nature'!$D$9:$D$48,B54,'5- Contribution en nature'!$C$9:$C$48,$B$48)+SUMIFS('6- Coût participation agri'!$N$9:$N$48,'6- Coût participation agri'!$D$9:$D$48, B54,'6- Coût participation agri'!$C$9:$C$48,$B$48)+SUMIFS('7- Taux forfaitaire'!$H$9:$H$32,'7- Taux forfaitaire'!$D$9:$D$32,B54,'7- Taux forfaitaire'!$C$9:$C$32,$B$48)</f>
        <v>0</v>
      </c>
      <c r="D54" s="1071" t="e">
        <f t="shared" si="25"/>
        <v>#VALUE!</v>
      </c>
      <c r="E54" s="893">
        <v>1</v>
      </c>
      <c r="F54" s="894">
        <f t="shared" si="26"/>
        <v>0</v>
      </c>
      <c r="G54" s="894" t="e">
        <f t="shared" si="27"/>
        <v>#VALUE!</v>
      </c>
      <c r="H54" s="981">
        <f t="shared" si="28"/>
        <v>0</v>
      </c>
      <c r="I54" s="1699"/>
      <c r="J54" s="887" t="e">
        <f t="shared" si="29"/>
        <v>#VALUE!</v>
      </c>
      <c r="K54" s="887" t="e">
        <f t="shared" si="30"/>
        <v>#VALUE!</v>
      </c>
      <c r="L54" s="887">
        <f t="shared" si="31"/>
        <v>0</v>
      </c>
      <c r="M54" s="887" t="e">
        <f t="shared" si="32"/>
        <v>#VALUE!</v>
      </c>
      <c r="N54" s="887">
        <f t="shared" si="33"/>
        <v>0</v>
      </c>
      <c r="O54" s="887">
        <f>SUMIFS('5- Contribution en nature'!$M$9:$M$48,'5- Contribution en nature'!$D$9:$D$48,'Syn pf bénéficiaire'!B54,'5- Contribution en nature'!$C$9:$C$48,"Partenaire 1")</f>
        <v>0</v>
      </c>
      <c r="P54" s="1073">
        <f t="shared" si="34"/>
        <v>0</v>
      </c>
    </row>
    <row r="55" spans="1:17" ht="14.45" customHeight="1" thickBot="1">
      <c r="A55" s="1951"/>
      <c r="B55" s="1066" t="s">
        <v>91</v>
      </c>
      <c r="C55" s="1078">
        <f>SUMIFS('2.1- Investissements'!$AH$11:$AH$50,'2.1- Investissements'!$D$11:$D$50,B55,'2.1- Investissements'!$F$11:$F$50,"Non",'2.1- Investissements'!$C$11:$C$50,$B$48)+SUMIFS('2.2- Amortissement'!$Q$9:$Q$23,'2.2- Amortissement'!$D$9:$D$23,B55,'2.2- Amortissement'!$F$9:$F$23,"Non",'2.2- Amortissement'!$C$9:$C$23,$B$48)+SUMIFS('3- Frais généraux'!$AF$10:$AF$49,'3- Frais généraux'!$D$10:$D$49,B55,'3- Frais généraux'!$C$10:$C$49,$B$48)+SUMIFS('1- Frais personnel'!$Q$9:$Q$68,'1- Frais personnel'!$D$9:$D$68,B55,'1- Frais personnel'!$C$9:$C$68,$B$48)+SUMIFS('4- Déplacement &amp; hébergement'!$AF$10:$AF$49,'4- Déplacement &amp; hébergement'!$D$10:$D$49,B55,'4- Déplacement &amp; hébergement'!$C$10:$C$49,$B$48)+SUMIFS('5- Contribution en nature'!$M$9:$M$48,'5- Contribution en nature'!$D$9:$D$48,B55,'5- Contribution en nature'!$C$9:$C$48,$B$48)+SUMIFS('6- Coût participation agri'!$N$9:$N$48,'6- Coût participation agri'!$D$9:$D$48, B55,'6- Coût participation agri'!$C$9:$C$48,$B$48)+SUMIFS('7- Taux forfaitaire'!$H$9:$H$32,'7- Taux forfaitaire'!$D$9:$D$32,B55,'7- Taux forfaitaire'!$C$9:$C$32,$B$48)</f>
        <v>0</v>
      </c>
      <c r="D55" s="1079" t="e">
        <f t="shared" si="25"/>
        <v>#VALUE!</v>
      </c>
      <c r="E55" s="1080">
        <v>1</v>
      </c>
      <c r="F55" s="977">
        <f t="shared" si="26"/>
        <v>0</v>
      </c>
      <c r="G55" s="977" t="e">
        <f t="shared" si="27"/>
        <v>#VALUE!</v>
      </c>
      <c r="H55" s="1081">
        <f t="shared" si="28"/>
        <v>0</v>
      </c>
      <c r="I55" s="1700"/>
      <c r="J55" s="1045" t="e">
        <f t="shared" si="29"/>
        <v>#VALUE!</v>
      </c>
      <c r="K55" s="888" t="e">
        <f t="shared" si="30"/>
        <v>#VALUE!</v>
      </c>
      <c r="L55" s="1045">
        <f t="shared" si="31"/>
        <v>0</v>
      </c>
      <c r="M55" s="888" t="e">
        <f t="shared" si="32"/>
        <v>#VALUE!</v>
      </c>
      <c r="N55" s="1045">
        <f t="shared" si="33"/>
        <v>0</v>
      </c>
      <c r="O55" s="1045">
        <f>SUMIFS('5- Contribution en nature'!$M$9:$M$48,'5- Contribution en nature'!$D$9:$D$48,'Syn pf bénéficiaire'!B55,'5- Contribution en nature'!$C$9:$C$48,"Partenaire 1")</f>
        <v>0</v>
      </c>
      <c r="P55" s="1082">
        <f t="shared" si="34"/>
        <v>0</v>
      </c>
    </row>
    <row r="56" spans="1:17" s="353" customFormat="1" ht="48.6" customHeight="1" thickBot="1">
      <c r="B56" s="1090" t="s">
        <v>530</v>
      </c>
      <c r="C56" s="1091" t="str">
        <f>IF(D3=0,"",SUM(C50:C55))</f>
        <v/>
      </c>
      <c r="D56" s="983" t="e">
        <f>C56/$E$26</f>
        <v>#VALUE!</v>
      </c>
      <c r="E56" s="984"/>
      <c r="F56" s="684">
        <f>SUM(F50:F55)</f>
        <v>0</v>
      </c>
      <c r="G56" s="684" t="e">
        <f>IF(OR(C56=0,ROUND(($L$13+$I$13)*$D$56+$O$56,2)&gt;=ROUND($C$56,2)),0,IF($L$13*$D$56+$O$56&gt;($C$56-$F$56),F56-(($L$13*$D$56)+$O$56-($C$56-$F$56))*(F56/$F$56),F56))</f>
        <v>#VALUE!</v>
      </c>
      <c r="H56" s="985" t="e">
        <f>IF(C56=0,0,G56/C56)</f>
        <v>#VALUE!</v>
      </c>
      <c r="I56" s="1092"/>
      <c r="J56" s="1046" t="e">
        <f>IF(G56=0,0,IF($I$50="Oui",G56-$I$13*((F56/$F$56)*$C$56/$C$118),G56*0.85))</f>
        <v>#VALUE!</v>
      </c>
      <c r="K56" s="1046" t="e">
        <f>IF(J56=0,0,IF($I$50="Oui",ROUNDUP(0.15*J56/0.85,2),G56-J56))</f>
        <v>#VALUE!</v>
      </c>
      <c r="L56" s="1046" t="e">
        <f t="shared" si="31"/>
        <v>#VALUE!</v>
      </c>
      <c r="M56" s="1059" t="e">
        <f>IF(K56=0,0,K56-L56)</f>
        <v>#VALUE!</v>
      </c>
      <c r="N56" s="1046">
        <f>IF($F$56=0,0,IF($I$13=0,0,F56/$F$56*$C$56/$C$118)*$I$13-L56)</f>
        <v>0</v>
      </c>
      <c r="O56" s="986">
        <f>SUM(O50:O55)</f>
        <v>0</v>
      </c>
      <c r="P56" s="1054">
        <f>SUM(P50:P55)</f>
        <v>0</v>
      </c>
      <c r="Q56" s="1166"/>
    </row>
    <row r="57" spans="1:17" ht="15.95" thickBot="1"/>
    <row r="58" spans="1:17" ht="15.95" customHeight="1" thickBot="1">
      <c r="B58" s="1947" t="s">
        <v>12</v>
      </c>
      <c r="C58" s="1948"/>
      <c r="D58" s="1948"/>
      <c r="E58" s="1948"/>
      <c r="F58" s="1948"/>
      <c r="G58" s="1948"/>
      <c r="H58" s="1948"/>
      <c r="I58" s="1948"/>
      <c r="J58" s="1948"/>
      <c r="K58" s="1948"/>
      <c r="L58" s="1948"/>
      <c r="M58" s="1948"/>
      <c r="N58" s="1949"/>
    </row>
    <row r="59" spans="1:17" ht="101.1" thickBot="1">
      <c r="A59" s="1010" t="s">
        <v>520</v>
      </c>
      <c r="B59" s="1009" t="s">
        <v>77</v>
      </c>
      <c r="C59" s="1067" t="s">
        <v>373</v>
      </c>
      <c r="D59" s="1068" t="s">
        <v>521</v>
      </c>
      <c r="E59" s="1068" t="s">
        <v>522</v>
      </c>
      <c r="F59" s="1068" t="s">
        <v>523</v>
      </c>
      <c r="G59" s="1069" t="s">
        <v>524</v>
      </c>
      <c r="H59" s="1069" t="s">
        <v>525</v>
      </c>
      <c r="I59" s="1034" t="s">
        <v>493</v>
      </c>
      <c r="J59" s="1068" t="s">
        <v>494</v>
      </c>
      <c r="K59" s="1068" t="s">
        <v>526</v>
      </c>
      <c r="L59" s="1068" t="s">
        <v>498</v>
      </c>
      <c r="M59" s="1068" t="s">
        <v>499</v>
      </c>
      <c r="N59" s="1068" t="s">
        <v>500</v>
      </c>
      <c r="O59" s="1070" t="s">
        <v>442</v>
      </c>
      <c r="P59" s="1070" t="s">
        <v>527</v>
      </c>
    </row>
    <row r="60" spans="1:17" ht="15.95" customHeight="1">
      <c r="A60" s="1950" t="s">
        <v>528</v>
      </c>
      <c r="B60" s="1065" t="s">
        <v>85</v>
      </c>
      <c r="C60" s="1056">
        <f>SUMIFS('2.1- Investissements'!$AH$11:$AH$50,'2.1- Investissements'!$D$11:$D$50,B60,'2.1- Investissements'!$F$11:$F$50,"Oui",'2.1- Investissements'!$C$11:$C$50,$B$58)+SUMIFS('2.2- Amortissement'!$Q$9:$Q$23,'2.2- Amortissement'!$D$9:$D$23,B60,'2.2- Amortissement'!$F$9:$F$23,"Oui",'2.2- Amortissement'!$C$9:$C$23,$B$58)</f>
        <v>0</v>
      </c>
      <c r="D60" s="1057" t="e">
        <f>C60/$C$118</f>
        <v>#VALUE!</v>
      </c>
      <c r="E60" s="1058">
        <v>0.8</v>
      </c>
      <c r="F60" s="968">
        <f>IF(E60=0,0,C60*E60)</f>
        <v>0</v>
      </c>
      <c r="G60" s="968" t="e">
        <f>IF(OR(F60=0,ROUND(($L$13+$I$13)*$D$66+$O$66,2)&gt;=ROUND($C$66,2)),0,IF($L$13*$D$66+$O$66&gt;($C$66-$F$66),F60-(($L$13*$D$66)+$O$66-($C$66-$F$66))*(F60/$F$66),F60))</f>
        <v>#VALUE!</v>
      </c>
      <c r="H60" s="1072">
        <f>IF(C60=0,0,G60/C60)</f>
        <v>0</v>
      </c>
      <c r="I60" s="1698" t="e">
        <f>_xlfn.IFS($I$13="","Non concerné",$I$13*($C$66/$C$118)&lt;(0.15*$G$66),"Non",$I$13*($C$66/$C$118)=(0.15*$G$66),"Oui",$I$13*($C$66/$C$118)&gt;(0.15*$G$66),"Oui")</f>
        <v>#VALUE!</v>
      </c>
      <c r="J60" s="1059" t="e">
        <f>IF(G60=0,0,IF($I$60="Oui",G60-$I$13*((F60/$F$66)*$C$66/$C$118),G60*0.85))</f>
        <v>#VALUE!</v>
      </c>
      <c r="K60" s="1163" t="e">
        <f>IF(J60=0,0,IF($I$60="Oui",0.15*J60/0.85,G60-J60))</f>
        <v>#VALUE!</v>
      </c>
      <c r="L60" s="1059">
        <f>IF(C60=0,0,IF($I$60="Oui",K60,$I$13*(F60/$F$66*$C$66/$C$118)))</f>
        <v>0</v>
      </c>
      <c r="M60" s="1163" t="e">
        <f>IF(K60=0,0,K60-L60)</f>
        <v>#VALUE!</v>
      </c>
      <c r="N60" s="1059">
        <f>IF($F$66=0,0,IF($F$56=0,0,IF($I$13=0,0,(F60/$F$66*$C$66/$C$118)*$I$13-L60)))</f>
        <v>0</v>
      </c>
      <c r="O60" s="1763" t="s">
        <v>516</v>
      </c>
      <c r="P60" s="1060">
        <f>IFERROR(C60-J60-K60-N60-O60-($L$13*C60/$C$66*$C$66/$C$118),0)</f>
        <v>0</v>
      </c>
    </row>
    <row r="61" spans="1:17" ht="15.95">
      <c r="A61" s="1950"/>
      <c r="B61" s="1066" t="s">
        <v>88</v>
      </c>
      <c r="C61" s="1061">
        <f>SUMIFS('2.1- Investissements'!$AH$11:$AH$50,'2.1- Investissements'!$D$11:$D$50,B61,'2.1- Investissements'!$F$11:$F$50,"Oui",'2.1- Investissements'!$C$11:$C$50,$B$8)+SUMIFS('2.2- Amortissement'!$Q$9:$Q$23,'2.2- Amortissement'!$D$9:$D$23,B61,'2.2- Amortissement'!$F$9:$F$23,"Oui",'2.2- Amortissement'!$C$9:$C$23,$B$58)</f>
        <v>0</v>
      </c>
      <c r="D61" s="1071" t="e">
        <f t="shared" ref="D61:D65" si="35">C61/$C$118</f>
        <v>#VALUE!</v>
      </c>
      <c r="E61" s="893">
        <v>0.8</v>
      </c>
      <c r="F61" s="894">
        <f t="shared" ref="F61:F65" si="36">IF(E61=0,0,C61*E61)</f>
        <v>0</v>
      </c>
      <c r="G61" s="894" t="e">
        <f t="shared" ref="G61:G65" si="37">IF(OR(F61=0,ROUND(($L$13+$I$13)*$D$66+$O$66,2)&gt;=ROUND($C$66,2)),0,IF($L$13*$D$66+$O$66&gt;($C$66-$F$66),F61-(($L$13*$D$66)+$O$66-($C$66-$F$66))*(F61/$F$66),F61))</f>
        <v>#VALUE!</v>
      </c>
      <c r="H61" s="981">
        <f t="shared" ref="H61:H65" si="38">IF(C61=0,0,G61/C61)</f>
        <v>0</v>
      </c>
      <c r="I61" s="1699"/>
      <c r="J61" s="887" t="e">
        <f t="shared" ref="J61:J65" si="39">IF(G61=0,0,IF($I$60="Oui",G61-$I$13*((F61/$F$66)*$C$66/$C$118),G61*0.85))</f>
        <v>#VALUE!</v>
      </c>
      <c r="K61" s="887" t="e">
        <f t="shared" ref="K61:K65" si="40">IF(J61=0,0,IF($I$60="Oui",0.15*J61/0.85,G61-J61))</f>
        <v>#VALUE!</v>
      </c>
      <c r="L61" s="887">
        <f t="shared" ref="L61:L66" si="41">IF(C61=0,0,IF($I$60="Oui",K61,$I$13*(F61/$F$66*$C$66/$C$118)))</f>
        <v>0</v>
      </c>
      <c r="M61" s="887" t="e">
        <f t="shared" ref="M61:M66" si="42">IF(K61=0,0,K61-L61)</f>
        <v>#VALUE!</v>
      </c>
      <c r="N61" s="887">
        <f t="shared" ref="N61:N65" si="43">IF($F$66=0,0,IF($F$56=0,0,IF($I$13=0,0,(F61/$F$66*$C$66/$C$118)*$I$13-L61)))</f>
        <v>0</v>
      </c>
      <c r="O61" s="1764"/>
      <c r="P61" s="1073">
        <f t="shared" ref="P61:P65" si="44">IFERROR(C61-J61-K61-N61-O61-($L$13*C61/$C$66*$C$66/$C$118),0)</f>
        <v>0</v>
      </c>
    </row>
    <row r="62" spans="1:17" ht="15.95">
      <c r="A62" s="1950"/>
      <c r="B62" s="1066" t="s">
        <v>91</v>
      </c>
      <c r="C62" s="1061">
        <f>SUMIFS('2.1- Investissements'!$AH$11:$AH$50,'2.1- Investissements'!$D$11:$D$50,B62,'2.1- Investissements'!$F$11:$F$50,"Oui",'2.1- Investissements'!$C$11:$C$50,$B$58)+SUMIFS('2.2- Amortissement'!$Q$9:$Q$23,'2.2- Amortissement'!$D$9:$D$23,B62,'2.2- Amortissement'!$F$9:$F$23,"Oui",'2.2- Amortissement'!$C$9:$C$23,$B$58)</f>
        <v>0</v>
      </c>
      <c r="D62" s="1071" t="e">
        <f t="shared" si="35"/>
        <v>#VALUE!</v>
      </c>
      <c r="E62" s="893">
        <v>0.8</v>
      </c>
      <c r="F62" s="894">
        <f t="shared" si="36"/>
        <v>0</v>
      </c>
      <c r="G62" s="894" t="e">
        <f t="shared" si="37"/>
        <v>#VALUE!</v>
      </c>
      <c r="H62" s="981">
        <f t="shared" si="38"/>
        <v>0</v>
      </c>
      <c r="I62" s="1699"/>
      <c r="J62" s="887" t="e">
        <f t="shared" si="39"/>
        <v>#VALUE!</v>
      </c>
      <c r="K62" s="887" t="e">
        <f t="shared" si="40"/>
        <v>#VALUE!</v>
      </c>
      <c r="L62" s="887">
        <f t="shared" si="41"/>
        <v>0</v>
      </c>
      <c r="M62" s="887" t="e">
        <f t="shared" si="42"/>
        <v>#VALUE!</v>
      </c>
      <c r="N62" s="887">
        <f t="shared" si="43"/>
        <v>0</v>
      </c>
      <c r="O62" s="1765"/>
      <c r="P62" s="1073">
        <f t="shared" si="44"/>
        <v>0</v>
      </c>
    </row>
    <row r="63" spans="1:17" ht="15.95" customHeight="1">
      <c r="A63" s="1950" t="s">
        <v>529</v>
      </c>
      <c r="B63" s="1066" t="s">
        <v>85</v>
      </c>
      <c r="C63" s="1061">
        <f>SUMIFS('2.1- Investissements'!$AH$11:$AH$50,'2.1- Investissements'!$D$11:$D$50,B63,'2.1- Investissements'!$F$11:$F$50,"Non",'2.1- Investissements'!$C$11:$C$50,$B$58)+SUMIFS('2.2- Amortissement'!$Q$9:$Q$23,'2.2- Amortissement'!$D$9:$D$23,B63,'2.2- Amortissement'!$F$9:$F$23,"Non",'2.2- Amortissement'!$C$9:$C$23,$B$58)+SUMIFS('3- Frais généraux'!$AF$10:$AF$49,'3- Frais généraux'!$D$10:$D$49,B63,'3- Frais généraux'!$C$10:$C$49,$B$58)+SUMIFS('1- Frais personnel'!$Q$9:$Q$68,'1- Frais personnel'!$D$9:$D$68,B63,'1- Frais personnel'!$C$9:$C$68,$B$58)+SUMIFS('4- Déplacement &amp; hébergement'!$AF$10:$AF$49,'4- Déplacement &amp; hébergement'!$D$10:$D$49,B63,'4- Déplacement &amp; hébergement'!$C$10:$C$49,$B$58)+SUMIFS('5- Contribution en nature'!$M$9:$M$48,'5- Contribution en nature'!$D$9:$D$48,B63,'5- Contribution en nature'!$C$9:$C$48,$B$58)+SUMIFS('6- Coût participation agri'!$N$9:$N$48,'6- Coût participation agri'!$D$9:$D$48, B63,'6- Coût participation agri'!$C$9:$C$48,$B$58)+SUMIFS('7- Taux forfaitaire'!$H$9:$H$32,'7- Taux forfaitaire'!$D$9:$D$32,B63,'7- Taux forfaitaire'!$C$9:$C$32,$B$58)</f>
        <v>0</v>
      </c>
      <c r="D63" s="1071" t="e">
        <f t="shared" si="35"/>
        <v>#VALUE!</v>
      </c>
      <c r="E63" s="893">
        <v>1</v>
      </c>
      <c r="F63" s="894">
        <f t="shared" si="36"/>
        <v>0</v>
      </c>
      <c r="G63" s="894" t="e">
        <f t="shared" si="37"/>
        <v>#VALUE!</v>
      </c>
      <c r="H63" s="981">
        <f t="shared" si="38"/>
        <v>0</v>
      </c>
      <c r="I63" s="1699"/>
      <c r="J63" s="887" t="e">
        <f t="shared" si="39"/>
        <v>#VALUE!</v>
      </c>
      <c r="K63" s="887" t="e">
        <f t="shared" si="40"/>
        <v>#VALUE!</v>
      </c>
      <c r="L63" s="887">
        <f t="shared" si="41"/>
        <v>0</v>
      </c>
      <c r="M63" s="887" t="e">
        <f t="shared" si="42"/>
        <v>#VALUE!</v>
      </c>
      <c r="N63" s="887">
        <f t="shared" si="43"/>
        <v>0</v>
      </c>
      <c r="O63" s="887">
        <f>SUMIFS('5- Contribution en nature'!$M$9:$M$48,'5- Contribution en nature'!$D$9:$D$48,'Syn pf bénéficiaire'!B63,'5- Contribution en nature'!$C$9:$C$48,"Partenaire 2")</f>
        <v>0</v>
      </c>
      <c r="P63" s="1073">
        <f t="shared" si="44"/>
        <v>0</v>
      </c>
    </row>
    <row r="64" spans="1:17" ht="15.95">
      <c r="A64" s="1950"/>
      <c r="B64" s="1066" t="s">
        <v>88</v>
      </c>
      <c r="C64" s="1061">
        <f>SUMIFS('2.1- Investissements'!$AH$11:$AH$50,'2.1- Investissements'!$D$11:$D$50,B64,'2.1- Investissements'!$F$11:$F$50,"Non",'2.1- Investissements'!$C$11:$C$50,$B$58)+SUMIFS('2.2- Amortissement'!$Q$9:$Q$23,'2.2- Amortissement'!$D$9:$D$23,B64,'2.2- Amortissement'!$F$9:$F$23,"Non",'2.2- Amortissement'!$C$9:$C$23,$B$58)+SUMIFS('3- Frais généraux'!$AF$10:$AF$49,'3- Frais généraux'!$D$10:$D$49,B64,'3- Frais généraux'!$C$10:$C$49,$B$58)+SUMIFS('1- Frais personnel'!$Q$9:$Q$68,'1- Frais personnel'!$D$9:$D$68,B64,'1- Frais personnel'!$C$9:$C$68,$B$58)+SUMIFS('4- Déplacement &amp; hébergement'!$AF$10:$AF$49,'4- Déplacement &amp; hébergement'!$D$10:$D$49,B64,'4- Déplacement &amp; hébergement'!$C$10:$C$49,$B$58)+SUMIFS('5- Contribution en nature'!$M$9:$M$48,'5- Contribution en nature'!$D$9:$D$48,B64,'5- Contribution en nature'!$C$9:$C$48,$B$58)+SUMIFS('6- Coût participation agri'!$N$9:$N$48,'6- Coût participation agri'!$D$9:$D$48, B64,'6- Coût participation agri'!$C$9:$C$48,$B$58)+SUMIFS('7- Taux forfaitaire'!$H$9:$H$32,'7- Taux forfaitaire'!$D$9:$D$32,B64,'7- Taux forfaitaire'!$C$9:$C$32,$B$58)</f>
        <v>0</v>
      </c>
      <c r="D64" s="1071" t="e">
        <f t="shared" si="35"/>
        <v>#VALUE!</v>
      </c>
      <c r="E64" s="893">
        <v>1</v>
      </c>
      <c r="F64" s="894">
        <f t="shared" si="36"/>
        <v>0</v>
      </c>
      <c r="G64" s="894" t="e">
        <f t="shared" si="37"/>
        <v>#VALUE!</v>
      </c>
      <c r="H64" s="981">
        <f t="shared" si="38"/>
        <v>0</v>
      </c>
      <c r="I64" s="1699"/>
      <c r="J64" s="887" t="e">
        <f t="shared" si="39"/>
        <v>#VALUE!</v>
      </c>
      <c r="K64" s="887" t="e">
        <f t="shared" si="40"/>
        <v>#VALUE!</v>
      </c>
      <c r="L64" s="887">
        <f t="shared" si="41"/>
        <v>0</v>
      </c>
      <c r="M64" s="887" t="e">
        <f t="shared" si="42"/>
        <v>#VALUE!</v>
      </c>
      <c r="N64" s="887">
        <f t="shared" si="43"/>
        <v>0</v>
      </c>
      <c r="O64" s="887">
        <f>SUMIFS('5- Contribution en nature'!$M$9:$M$48,'5- Contribution en nature'!$D$9:$D$48,'Syn pf bénéficiaire'!B64,'5- Contribution en nature'!$C$9:$C$48,"Partenaire 2")</f>
        <v>0</v>
      </c>
      <c r="P64" s="1073">
        <f t="shared" si="44"/>
        <v>0</v>
      </c>
    </row>
    <row r="65" spans="1:17" ht="17.100000000000001" thickBot="1">
      <c r="A65" s="1951"/>
      <c r="B65" s="1066" t="s">
        <v>91</v>
      </c>
      <c r="C65" s="1078">
        <f>SUMIFS('2.1- Investissements'!$AH$11:$AH$50,'2.1- Investissements'!$D$11:$D$50,B65,'2.1- Investissements'!$F$11:$F$50,"Non",'2.1- Investissements'!$C$11:$C$50,$B$58)+SUMIFS('2.2- Amortissement'!$Q$9:$Q$23,'2.2- Amortissement'!$D$9:$D$23,B65,'2.2- Amortissement'!$F$9:$F$23,"Non",'2.2- Amortissement'!$C$9:$C$23,$B$58)+SUMIFS('3- Frais généraux'!$AF$10:$AF$49,'3- Frais généraux'!$D$10:$D$49,B65,'3- Frais généraux'!$C$10:$C$49,$B$58)+SUMIFS('1- Frais personnel'!$Q$9:$Q$68,'1- Frais personnel'!$D$9:$D$68,B65,'1- Frais personnel'!$C$9:$C$68,$B$58)+SUMIFS('4- Déplacement &amp; hébergement'!$AF$10:$AF$49,'4- Déplacement &amp; hébergement'!$D$10:$D$49,B65,'4- Déplacement &amp; hébergement'!$C$10:$C$49,$B$58)+SUMIFS('5- Contribution en nature'!$M$9:$M$48,'5- Contribution en nature'!$D$9:$D$48,B65,'5- Contribution en nature'!$C$9:$C$48,$B$58)+SUMIFS('6- Coût participation agri'!$N$9:$N$48,'6- Coût participation agri'!$D$9:$D$48, B65,'6- Coût participation agri'!$C$9:$C$48,$B$58)+SUMIFS('7- Taux forfaitaire'!$H$9:$H$32,'7- Taux forfaitaire'!$D$9:$D$32,B65,'7- Taux forfaitaire'!$C$9:$C$32,$B$58)</f>
        <v>0</v>
      </c>
      <c r="D65" s="1079" t="e">
        <f t="shared" si="35"/>
        <v>#VALUE!</v>
      </c>
      <c r="E65" s="1080">
        <v>1</v>
      </c>
      <c r="F65" s="977">
        <f t="shared" si="36"/>
        <v>0</v>
      </c>
      <c r="G65" s="977" t="e">
        <f t="shared" si="37"/>
        <v>#VALUE!</v>
      </c>
      <c r="H65" s="1081">
        <f t="shared" si="38"/>
        <v>0</v>
      </c>
      <c r="I65" s="1700"/>
      <c r="J65" s="1045" t="e">
        <f t="shared" si="39"/>
        <v>#VALUE!</v>
      </c>
      <c r="K65" s="888" t="e">
        <f t="shared" si="40"/>
        <v>#VALUE!</v>
      </c>
      <c r="L65" s="1045">
        <f t="shared" si="41"/>
        <v>0</v>
      </c>
      <c r="M65" s="888" t="e">
        <f t="shared" si="42"/>
        <v>#VALUE!</v>
      </c>
      <c r="N65" s="1045">
        <f t="shared" si="43"/>
        <v>0</v>
      </c>
      <c r="O65" s="1045">
        <f>SUMIFS('5- Contribution en nature'!$M$9:$M$48,'5- Contribution en nature'!$D$9:$D$48,'Syn pf bénéficiaire'!B65,'5- Contribution en nature'!$C$9:$C$48,"Partenaire 2")</f>
        <v>0</v>
      </c>
      <c r="P65" s="1082">
        <f t="shared" si="44"/>
        <v>0</v>
      </c>
    </row>
    <row r="66" spans="1:17" s="353" customFormat="1" ht="33" thickBot="1">
      <c r="B66" s="1090" t="s">
        <v>530</v>
      </c>
      <c r="C66" s="1091" t="str">
        <f>IF(D3=0,"",SUM(C60:C65))</f>
        <v/>
      </c>
      <c r="D66" s="983" t="e">
        <f>C66/$E$26</f>
        <v>#VALUE!</v>
      </c>
      <c r="E66" s="984"/>
      <c r="F66" s="684">
        <f>SUM(F60:F65)</f>
        <v>0</v>
      </c>
      <c r="G66" s="684" t="e">
        <f>IF(OR(C66=0,ROUND(($L$13+$I$13)*$D$66+$O$66,2)&gt;=ROUND($C$66,2)),0,IF($L$13*$D$66+$O$66&gt;($C$66-$F$66),F66-(($L$13*$D$66)+$O$66-($C$66-$F$66))*(F66/$F$66),F66))</f>
        <v>#VALUE!</v>
      </c>
      <c r="H66" s="985" t="e">
        <f>IF(C66=0,0,G66/C66)</f>
        <v>#VALUE!</v>
      </c>
      <c r="I66" s="1092"/>
      <c r="J66" s="1046" t="e">
        <f>IF(G66=0,0,IF($I$60="Oui",G66-$I$13*((F66/$F$66)*$C$66/$C$118),G66*0.85))</f>
        <v>#VALUE!</v>
      </c>
      <c r="K66" s="1046" t="e">
        <f>IF(J66=0,0,IF($I$60="Oui",ROUNDUP(0.15*J66/0.85,2),G66-J66))</f>
        <v>#VALUE!</v>
      </c>
      <c r="L66" s="1046" t="e">
        <f t="shared" si="41"/>
        <v>#VALUE!</v>
      </c>
      <c r="M66" s="1059" t="e">
        <f t="shared" si="42"/>
        <v>#VALUE!</v>
      </c>
      <c r="N66" s="1046">
        <f>IF($F$66=0,0,IF($I$13=0,0,F66/$F$66*$C$66/$C$118)*$I$13-L66)</f>
        <v>0</v>
      </c>
      <c r="O66" s="986">
        <f>SUM(O60:O65)</f>
        <v>0</v>
      </c>
      <c r="P66" s="1054">
        <f>SUM(P60:P65)</f>
        <v>0</v>
      </c>
      <c r="Q66" s="1166"/>
    </row>
    <row r="67" spans="1:17" ht="15.95" thickBot="1"/>
    <row r="68" spans="1:17" ht="15.95" customHeight="1" thickBot="1">
      <c r="B68" s="1947" t="s">
        <v>13</v>
      </c>
      <c r="C68" s="1948"/>
      <c r="D68" s="1948"/>
      <c r="E68" s="1948"/>
      <c r="F68" s="1948"/>
      <c r="G68" s="1948"/>
      <c r="H68" s="1948"/>
      <c r="I68" s="1948"/>
      <c r="J68" s="1948"/>
      <c r="K68" s="1948"/>
      <c r="L68" s="1948"/>
      <c r="M68" s="1948"/>
      <c r="N68" s="1949"/>
    </row>
    <row r="69" spans="1:17" ht="101.1" thickBot="1">
      <c r="A69" s="1010" t="s">
        <v>520</v>
      </c>
      <c r="B69" s="1009" t="s">
        <v>77</v>
      </c>
      <c r="C69" s="993" t="s">
        <v>373</v>
      </c>
      <c r="D69" s="994" t="s">
        <v>521</v>
      </c>
      <c r="E69" s="994" t="s">
        <v>522</v>
      </c>
      <c r="F69" s="994" t="s">
        <v>523</v>
      </c>
      <c r="G69" s="995" t="s">
        <v>524</v>
      </c>
      <c r="H69" s="995" t="s">
        <v>525</v>
      </c>
      <c r="I69" s="1034" t="s">
        <v>493</v>
      </c>
      <c r="J69" s="994" t="s">
        <v>494</v>
      </c>
      <c r="K69" s="994" t="s">
        <v>526</v>
      </c>
      <c r="L69" s="994" t="s">
        <v>498</v>
      </c>
      <c r="M69" s="994" t="s">
        <v>499</v>
      </c>
      <c r="N69" s="994" t="s">
        <v>500</v>
      </c>
      <c r="O69" s="996" t="s">
        <v>442</v>
      </c>
      <c r="P69" s="996" t="s">
        <v>527</v>
      </c>
    </row>
    <row r="70" spans="1:17" ht="15.95" customHeight="1">
      <c r="A70" s="1950" t="s">
        <v>528</v>
      </c>
      <c r="B70" s="1007" t="s">
        <v>85</v>
      </c>
      <c r="C70" s="988">
        <f>SUMIFS('2.1- Investissements'!$AH$11:$AH$50,'2.1- Investissements'!$D$11:$D$50,B70,'2.1- Investissements'!$F$11:$F$50,"Oui",'2.1- Investissements'!$C$11:$C$50,$B$68)+SUMIFS('2.2- Amortissement'!$Q$9:$Q$23,'2.2- Amortissement'!$D$9:$D$23,B70,'2.2- Amortissement'!$F$9:$F$23,"Oui",'2.2- Amortissement'!$C$9:$C$23,$B$68)</f>
        <v>0</v>
      </c>
      <c r="D70" s="989" t="e">
        <f>C70/$C$118</f>
        <v>#VALUE!</v>
      </c>
      <c r="E70" s="990">
        <v>0.8</v>
      </c>
      <c r="F70" s="977">
        <f>IF(E70=0,0,C70*E70)</f>
        <v>0</v>
      </c>
      <c r="G70" s="977" t="e">
        <f>IF(OR(F70=0,ROUND(($L$13+$I$13)*$D$76+$O$76,2)&gt;=ROUND($C$76,2)),0,IF($L$13*$D$76+$O$76&gt;($C$76-$F$76),F70-(($L$13*$D$76)+$O$76-($C$76-$F$76))*(F70/$F$76),F70))</f>
        <v>#VALUE!</v>
      </c>
      <c r="H70" s="1049">
        <f>IF(C70=0,0,G70/C70)</f>
        <v>0</v>
      </c>
      <c r="I70" s="1701" t="e">
        <f>_xlfn.IFS($I$13="","Non concerné",$I$13*($C$76/$C$118)&lt;(0.15*$G$76),"Non",$I$13*($C$76/$C$118)=(0.15*$G$76),"Oui",$I$13*($C$76/$C$118)&gt;(0.15*$G$76),"Oui")</f>
        <v>#VALUE!</v>
      </c>
      <c r="J70" s="1051" t="e">
        <f>IF(G70=0,0,IF($I$70="Oui",G70-$I$13*((F70/$F$76)*$C$76/$C$118),G70*0.85))</f>
        <v>#VALUE!</v>
      </c>
      <c r="K70" s="888" t="e">
        <f>IF(J70=0,0,IF($I$70="Oui",0.15*J70/0.85,G70-J70))</f>
        <v>#VALUE!</v>
      </c>
      <c r="L70" s="888">
        <f>IF(C70=0,0,IF($I$70="Oui",K70,$I$13*(F70/$F$76*$C$76/$C$118)))</f>
        <v>0</v>
      </c>
      <c r="M70" s="1163" t="e">
        <f>IF(K70=0,0,K70-L70)</f>
        <v>#VALUE!</v>
      </c>
      <c r="N70" s="888">
        <f>IF($F$76=0,0,IF($I$13=0,0,(F70/$F$76*$C$76/$C$118)*$I$13-L70))</f>
        <v>0</v>
      </c>
      <c r="O70" s="1763" t="s">
        <v>516</v>
      </c>
      <c r="P70" s="992">
        <f>IFERROR(C70-J70-K70-N70-O70-($L$13*C70/$C$76*$C$76/$C$118),0)</f>
        <v>0</v>
      </c>
    </row>
    <row r="71" spans="1:17" ht="15.95">
      <c r="A71" s="1950"/>
      <c r="B71" s="1008" t="s">
        <v>88</v>
      </c>
      <c r="C71" s="988">
        <f>SUMIFS('2.1- Investissements'!$AH$11:$AH$50,'2.1- Investissements'!$D$11:$D$50,B71,'2.1- Investissements'!$F$11:$F$50,"Oui",'2.1- Investissements'!$C$11:$C$50,$B$68)+SUMIFS('2.2- Amortissement'!$Q$9:$Q$23,'2.2- Amortissement'!$D$9:$D$23,B71,'2.2- Amortissement'!$F$9:$F$23,"Oui",'2.2- Amortissement'!$C$9:$C$23,$B$68)</f>
        <v>0</v>
      </c>
      <c r="D71" s="989" t="e">
        <f t="shared" ref="D71:D75" si="45">C71/$C$118</f>
        <v>#VALUE!</v>
      </c>
      <c r="E71" s="893">
        <v>0.8</v>
      </c>
      <c r="F71" s="977">
        <f t="shared" ref="F71:F75" si="46">IF(E71=0,0,C71*E71)</f>
        <v>0</v>
      </c>
      <c r="G71" s="977" t="e">
        <f t="shared" ref="G71:G75" si="47">IF(OR(F71=0,ROUND(($L$13+$I$13)*$D$76+$O$76,2)&gt;=ROUND($C$76,2)),0,IF($L$13*$D$76+$O$76&gt;($C$76-$F$76),F71-(($L$13*$D$76)+$O$76-($C$76-$F$76))*(F71/$F$76),F71))</f>
        <v>#VALUE!</v>
      </c>
      <c r="H71" s="946">
        <f t="shared" ref="H71:H75" si="48">IF(C71=0,0,G71/C71)</f>
        <v>0</v>
      </c>
      <c r="I71" s="1702"/>
      <c r="J71" s="1051" t="e">
        <f t="shared" ref="J71:J75" si="49">IF(G71=0,0,IF($I$70="Oui",G71-$I$13*((F71/$F$76)*$C$76/$C$118),G71*0.85))</f>
        <v>#VALUE!</v>
      </c>
      <c r="K71" s="888" t="e">
        <f t="shared" ref="K71:K75" si="50">IF(J71=0,0,IF($I$70="Oui",0.15*J71/0.85,G71-J71))</f>
        <v>#VALUE!</v>
      </c>
      <c r="L71" s="888">
        <f t="shared" ref="L71:L76" si="51">IF(C71=0,0,IF($I$70="Oui",K71,$I$13*(F71/$F$76*$C$76/$C$118)))</f>
        <v>0</v>
      </c>
      <c r="M71" s="887" t="e">
        <f t="shared" ref="M71:M76" si="52">IF(K71=0,0,K71-L71)</f>
        <v>#VALUE!</v>
      </c>
      <c r="N71" s="888">
        <f t="shared" ref="N71:N75" si="53">IF($F$76=0,0,IF($I$13=0,0,(F71/$F$76*$C$76/$C$118)*$I$13-L71))</f>
        <v>0</v>
      </c>
      <c r="O71" s="1764"/>
      <c r="P71" s="992">
        <f t="shared" ref="P71:P75" si="54">IFERROR(C71-J71-K71-N71-O71-($L$13*C71/$C$76*$C$76/$C$118),0)</f>
        <v>0</v>
      </c>
    </row>
    <row r="72" spans="1:17" ht="15.95">
      <c r="A72" s="1950"/>
      <c r="B72" s="1008" t="s">
        <v>91</v>
      </c>
      <c r="C72" s="988">
        <f>SUMIFS('2.1- Investissements'!$AH$11:$AH$50,'2.1- Investissements'!$D$11:$D$50,B72,'2.1- Investissements'!$F$11:$F$50,"Oui",'2.1- Investissements'!$C$11:$C$50,$B$68)+SUMIFS('2.2- Amortissement'!$Q$9:$Q$23,'2.2- Amortissement'!$D$9:$D$23,B72,'2.2- Amortissement'!$F$9:$F$23,"Oui",'2.2- Amortissement'!$C$9:$C$23,$B$68)</f>
        <v>0</v>
      </c>
      <c r="D72" s="989" t="e">
        <f t="shared" si="45"/>
        <v>#VALUE!</v>
      </c>
      <c r="E72" s="893">
        <v>0.8</v>
      </c>
      <c r="F72" s="977">
        <f t="shared" si="46"/>
        <v>0</v>
      </c>
      <c r="G72" s="977" t="e">
        <f t="shared" si="47"/>
        <v>#VALUE!</v>
      </c>
      <c r="H72" s="946">
        <f t="shared" si="48"/>
        <v>0</v>
      </c>
      <c r="I72" s="1702"/>
      <c r="J72" s="1051" t="e">
        <f t="shared" si="49"/>
        <v>#VALUE!</v>
      </c>
      <c r="K72" s="888" t="e">
        <f t="shared" si="50"/>
        <v>#VALUE!</v>
      </c>
      <c r="L72" s="888">
        <f t="shared" si="51"/>
        <v>0</v>
      </c>
      <c r="M72" s="887" t="e">
        <f t="shared" si="52"/>
        <v>#VALUE!</v>
      </c>
      <c r="N72" s="888">
        <f t="shared" si="53"/>
        <v>0</v>
      </c>
      <c r="O72" s="1765"/>
      <c r="P72" s="992">
        <f t="shared" si="54"/>
        <v>0</v>
      </c>
    </row>
    <row r="73" spans="1:17" ht="15.95" customHeight="1">
      <c r="A73" s="1950" t="s">
        <v>529</v>
      </c>
      <c r="B73" s="1008" t="s">
        <v>85</v>
      </c>
      <c r="C73" s="982">
        <f>SUMIFS('2.1- Investissements'!$AH$11:$AH$50,'2.1- Investissements'!$D$11:$D$50,B73,'2.1- Investissements'!$F$11:$F$50,"Non",'2.1- Investissements'!$C$11:$C$50,$B$68)+SUMIFS('2.2- Amortissement'!$Q$9:$Q$23,'2.2- Amortissement'!$D$9:$D$23,B73,'2.2- Amortissement'!$F$9:$F$23,"Non",'2.2- Amortissement'!$C$9:$C$23,$B$68)+SUMIFS('3- Frais généraux'!$AF$10:$AF$49,'3- Frais généraux'!$D$10:$D$49,B73,'3- Frais généraux'!$C$10:$C$49,$B$68)+SUMIFS('1- Frais personnel'!$Q$9:$Q$68,'1- Frais personnel'!$D$9:$D$68,B73,'1- Frais personnel'!$C$9:$C$68,$B$68)+SUMIFS('4- Déplacement &amp; hébergement'!$AF$10:$AF$49,'4- Déplacement &amp; hébergement'!$D$10:$D$49,B73,'4- Déplacement &amp; hébergement'!$C$10:$C$49,$B$68)+SUMIFS('5- Contribution en nature'!$M$9:$M$48,'5- Contribution en nature'!$D$9:$D$48,B73,'5- Contribution en nature'!$C$9:$C$48,$B$68)+SUMIFS('6- Coût participation agri'!$N$9:$N$48,'6- Coût participation agri'!$D$9:$D$48, B73,'6- Coût participation agri'!$C$9:$C$48,$B$68)+SUMIFS('7- Taux forfaitaire'!$H$9:$H$32,'7- Taux forfaitaire'!$D$9:$D$32,B73,'7- Taux forfaitaire'!$C$9:$C$32,$B$68)</f>
        <v>0</v>
      </c>
      <c r="D73" s="989" t="e">
        <f t="shared" si="45"/>
        <v>#VALUE!</v>
      </c>
      <c r="E73" s="893">
        <v>1</v>
      </c>
      <c r="F73" s="977">
        <f t="shared" si="46"/>
        <v>0</v>
      </c>
      <c r="G73" s="977" t="e">
        <f t="shared" si="47"/>
        <v>#VALUE!</v>
      </c>
      <c r="H73" s="946">
        <f t="shared" si="48"/>
        <v>0</v>
      </c>
      <c r="I73" s="1702"/>
      <c r="J73" s="1051" t="e">
        <f t="shared" si="49"/>
        <v>#VALUE!</v>
      </c>
      <c r="K73" s="888" t="e">
        <f t="shared" si="50"/>
        <v>#VALUE!</v>
      </c>
      <c r="L73" s="888">
        <f t="shared" si="51"/>
        <v>0</v>
      </c>
      <c r="M73" s="887" t="e">
        <f t="shared" si="52"/>
        <v>#VALUE!</v>
      </c>
      <c r="N73" s="888">
        <f t="shared" si="53"/>
        <v>0</v>
      </c>
      <c r="O73" s="992">
        <f>SUMIFS('5- Contribution en nature'!$M$9:$M$48,'5- Contribution en nature'!$D$9:$D$48,'Syn pf bénéficiaire'!B73,'5- Contribution en nature'!$C$9:$C$48,"Partenaire 3")</f>
        <v>0</v>
      </c>
      <c r="P73" s="992">
        <f t="shared" si="54"/>
        <v>0</v>
      </c>
    </row>
    <row r="74" spans="1:17" ht="15.95">
      <c r="A74" s="1950"/>
      <c r="B74" s="1008" t="s">
        <v>88</v>
      </c>
      <c r="C74" s="982">
        <f>SUMIFS('2.1- Investissements'!$AH$11:$AH$50,'2.1- Investissements'!$D$11:$D$50,B74,'2.1- Investissements'!$F$11:$F$50,"Non",'2.1- Investissements'!$C$11:$C$50,$B$68)+SUMIFS('2.2- Amortissement'!$Q$9:$Q$23,'2.2- Amortissement'!$D$9:$D$23,B74,'2.2- Amortissement'!$F$9:$F$23,"Non",'2.2- Amortissement'!$C$9:$C$23,$B$68)+SUMIFS('3- Frais généraux'!$AF$10:$AF$49,'3- Frais généraux'!$D$10:$D$49,B74,'3- Frais généraux'!$C$10:$C$49,$B$68)+SUMIFS('1- Frais personnel'!$Q$9:$Q$68,'1- Frais personnel'!$D$9:$D$68,B74,'1- Frais personnel'!$C$9:$C$68,$B$68)+SUMIFS('4- Déplacement &amp; hébergement'!$AF$10:$AF$49,'4- Déplacement &amp; hébergement'!$D$10:$D$49,B74,'4- Déplacement &amp; hébergement'!$C$10:$C$49,$B$68)+SUMIFS('5- Contribution en nature'!$M$9:$M$48,'5- Contribution en nature'!$D$9:$D$48,B74,'5- Contribution en nature'!$C$9:$C$48,$B$68)+SUMIFS('6- Coût participation agri'!$N$9:$N$48,'6- Coût participation agri'!$D$9:$D$48, B74,'6- Coût participation agri'!$C$9:$C$48,$B$68)+SUMIFS('7- Taux forfaitaire'!$H$9:$H$32,'7- Taux forfaitaire'!$D$9:$D$32,B74,'7- Taux forfaitaire'!$C$9:$C$32,$B$68)</f>
        <v>0</v>
      </c>
      <c r="D74" s="989" t="e">
        <f t="shared" si="45"/>
        <v>#VALUE!</v>
      </c>
      <c r="E74" s="893">
        <v>1</v>
      </c>
      <c r="F74" s="977">
        <f t="shared" si="46"/>
        <v>0</v>
      </c>
      <c r="G74" s="977" t="e">
        <f t="shared" si="47"/>
        <v>#VALUE!</v>
      </c>
      <c r="H74" s="946">
        <f t="shared" si="48"/>
        <v>0</v>
      </c>
      <c r="I74" s="1702"/>
      <c r="J74" s="1051" t="e">
        <f t="shared" si="49"/>
        <v>#VALUE!</v>
      </c>
      <c r="K74" s="888" t="e">
        <f t="shared" si="50"/>
        <v>#VALUE!</v>
      </c>
      <c r="L74" s="888">
        <f t="shared" si="51"/>
        <v>0</v>
      </c>
      <c r="M74" s="887" t="e">
        <f t="shared" si="52"/>
        <v>#VALUE!</v>
      </c>
      <c r="N74" s="888">
        <f t="shared" si="53"/>
        <v>0</v>
      </c>
      <c r="O74" s="992">
        <f>SUMIFS('5- Contribution en nature'!$M$9:$M$48,'5- Contribution en nature'!$D$9:$D$48,'Syn pf bénéficiaire'!B74,'5- Contribution en nature'!$C$9:$C$48,"Partenaire 3")</f>
        <v>0</v>
      </c>
      <c r="P74" s="992">
        <f>IFERROR(C74-J74-K74-N74-O74-($L$13*C74/$C$76*$C$76/$C$118),0)</f>
        <v>0</v>
      </c>
    </row>
    <row r="75" spans="1:17" ht="17.100000000000001" thickBot="1">
      <c r="A75" s="1951"/>
      <c r="B75" s="1008" t="s">
        <v>91</v>
      </c>
      <c r="C75" s="982">
        <f>SUMIFS('2.1- Investissements'!$AH$11:$AH$50,'2.1- Investissements'!$D$11:$D$50,B75,'2.1- Investissements'!$F$11:$F$50,"Non",'2.1- Investissements'!$C$11:$C$50,$B$68)+SUMIFS('2.2- Amortissement'!$Q$9:$Q$23,'2.2- Amortissement'!$D$9:$D$23,B75,'2.2- Amortissement'!$F$9:$F$23,"Non",'2.2- Amortissement'!$C$9:$C$23,$B$68)+SUMIFS('3- Frais généraux'!$AF$10:$AF$49,'3- Frais généraux'!$D$10:$D$49,B75,'3- Frais généraux'!$C$10:$C$49,$B$68)+SUMIFS('1- Frais personnel'!$Q$9:$Q$68,'1- Frais personnel'!$D$9:$D$68,B75,'1- Frais personnel'!$C$9:$C$68,$B$68)+SUMIFS('4- Déplacement &amp; hébergement'!$AF$10:$AF$49,'4- Déplacement &amp; hébergement'!$D$10:$D$49,B75,'4- Déplacement &amp; hébergement'!$C$10:$C$49,$B$68)+SUMIFS('5- Contribution en nature'!$M$9:$M$48,'5- Contribution en nature'!$D$9:$D$48,B75,'5- Contribution en nature'!$C$9:$C$48,$B$68)+SUMIFS('6- Coût participation agri'!$N$9:$N$48,'6- Coût participation agri'!$D$9:$D$48, B75,'6- Coût participation agri'!$C$9:$C$48,$B$68)+SUMIFS('7- Taux forfaitaire'!$H$9:$H$32,'7- Taux forfaitaire'!$D$9:$D$32,B75,'7- Taux forfaitaire'!$C$9:$C$32,$B$68)</f>
        <v>0</v>
      </c>
      <c r="D75" s="989" t="e">
        <f t="shared" si="45"/>
        <v>#VALUE!</v>
      </c>
      <c r="E75" s="893">
        <v>1</v>
      </c>
      <c r="F75" s="977">
        <f t="shared" si="46"/>
        <v>0</v>
      </c>
      <c r="G75" s="971" t="e">
        <f t="shared" si="47"/>
        <v>#VALUE!</v>
      </c>
      <c r="H75" s="1050">
        <f t="shared" si="48"/>
        <v>0</v>
      </c>
      <c r="I75" s="1953"/>
      <c r="J75" s="1051" t="e">
        <f t="shared" si="49"/>
        <v>#VALUE!</v>
      </c>
      <c r="K75" s="888" t="e">
        <f t="shared" si="50"/>
        <v>#VALUE!</v>
      </c>
      <c r="L75" s="888">
        <f t="shared" si="51"/>
        <v>0</v>
      </c>
      <c r="M75" s="888" t="e">
        <f t="shared" si="52"/>
        <v>#VALUE!</v>
      </c>
      <c r="N75" s="888">
        <f t="shared" si="53"/>
        <v>0</v>
      </c>
      <c r="O75" s="992">
        <f>SUMIFS('5- Contribution en nature'!$M$9:$M$48,'5- Contribution en nature'!$D$9:$D$48,'Syn pf bénéficiaire'!B75,'5- Contribution en nature'!$C$9:$C$48,"Partenaire 3")</f>
        <v>0</v>
      </c>
      <c r="P75" s="992">
        <f t="shared" si="54"/>
        <v>0</v>
      </c>
    </row>
    <row r="76" spans="1:17" s="1086" customFormat="1" ht="33" thickBot="1">
      <c r="B76" s="1093" t="s">
        <v>530</v>
      </c>
      <c r="C76" s="1094" t="str">
        <f>IF($D$3=0,"",SUM(C70:C75))</f>
        <v/>
      </c>
      <c r="D76" s="983" t="e">
        <f>C76/$E$26</f>
        <v>#VALUE!</v>
      </c>
      <c r="E76" s="984"/>
      <c r="F76" s="684">
        <f>SUM(F70:F75)</f>
        <v>0</v>
      </c>
      <c r="G76" s="684" t="e">
        <f>IF(OR(C76=0,ROUND(($L$13+$I$13)*$D$76+$O$76,2)&gt;=ROUND($C$76,2)),0,IF($L$13*$D$76+$O$76&gt;($C$76-$F$76),F76-(($L$13*$D$76)+$O$76-($C$76-$F$76))*(F76/$F$76),F76))</f>
        <v>#VALUE!</v>
      </c>
      <c r="H76" s="1048" t="e">
        <f>IF(C76=0,0,G76/C76)</f>
        <v>#VALUE!</v>
      </c>
      <c r="J76" s="1095" t="e">
        <f>IF(G76=0,0,IF($I$70="Oui",G76-$I$13*((F76/$F$76)*$C$76/$C$118),G76*0.85))</f>
        <v>#VALUE!</v>
      </c>
      <c r="K76" s="986" t="e">
        <f>IF(J76=0,0,IF($I$70="Oui",ROUNDUP(0.15*J76/0.85,2),G76-J76))</f>
        <v>#VALUE!</v>
      </c>
      <c r="L76" s="1096" t="e">
        <f t="shared" si="51"/>
        <v>#VALUE!</v>
      </c>
      <c r="M76" s="1059" t="e">
        <f t="shared" si="52"/>
        <v>#VALUE!</v>
      </c>
      <c r="N76" s="986">
        <f>IF($F$76=0,0,IF($I$13=0,0,F76/$F$76*$C$76/$C$118)*$I$13-L76)</f>
        <v>0</v>
      </c>
      <c r="O76" s="1053">
        <f>SUM(O70:O75)</f>
        <v>0</v>
      </c>
      <c r="P76" s="1097">
        <f>SUM(P70:P75)</f>
        <v>0</v>
      </c>
      <c r="Q76" s="1166"/>
    </row>
    <row r="77" spans="1:17" ht="15.95" thickBot="1"/>
    <row r="78" spans="1:17" ht="15.95" thickBot="1">
      <c r="B78" s="1947" t="s">
        <v>14</v>
      </c>
      <c r="C78" s="1948"/>
      <c r="D78" s="1948"/>
      <c r="E78" s="1948"/>
      <c r="F78" s="1948"/>
      <c r="G78" s="1948"/>
      <c r="H78" s="1948"/>
      <c r="I78" s="1948"/>
      <c r="J78" s="1948"/>
      <c r="K78" s="1948"/>
      <c r="L78" s="1948"/>
      <c r="M78" s="1948"/>
      <c r="N78" s="1949"/>
    </row>
    <row r="79" spans="1:17" ht="101.1" thickBot="1">
      <c r="A79" s="1010" t="s">
        <v>520</v>
      </c>
      <c r="B79" s="1009" t="s">
        <v>77</v>
      </c>
      <c r="C79" s="1067" t="s">
        <v>373</v>
      </c>
      <c r="D79" s="1068" t="s">
        <v>521</v>
      </c>
      <c r="E79" s="1068" t="s">
        <v>522</v>
      </c>
      <c r="F79" s="1068" t="s">
        <v>523</v>
      </c>
      <c r="G79" s="1069" t="s">
        <v>524</v>
      </c>
      <c r="H79" s="1069" t="s">
        <v>525</v>
      </c>
      <c r="I79" s="1034" t="s">
        <v>493</v>
      </c>
      <c r="J79" s="1068" t="s">
        <v>494</v>
      </c>
      <c r="K79" s="1068" t="s">
        <v>526</v>
      </c>
      <c r="L79" s="1068" t="s">
        <v>498</v>
      </c>
      <c r="M79" s="1068" t="s">
        <v>499</v>
      </c>
      <c r="N79" s="1068" t="s">
        <v>500</v>
      </c>
      <c r="O79" s="1070" t="s">
        <v>442</v>
      </c>
      <c r="P79" s="1070" t="s">
        <v>527</v>
      </c>
    </row>
    <row r="80" spans="1:17" ht="15.95">
      <c r="A80" s="1950" t="s">
        <v>528</v>
      </c>
      <c r="B80" s="1065" t="s">
        <v>85</v>
      </c>
      <c r="C80" s="1056">
        <f>SUMIFS('2.1- Investissements'!$AH$11:$AH$50,'2.1- Investissements'!$D$11:$D$50,B80,'2.1- Investissements'!$F$11:$F$50,"Oui",'2.1- Investissements'!$C$11:$C$50,$B$78)+SUMIFS('2.2- Amortissement'!$Q$9:$Q$23,'2.2- Amortissement'!$D$9:$D$23,B80,'2.2- Amortissement'!$F$9:$F$23,"Oui",'2.2- Amortissement'!$C$9:$C$23,$B$78)</f>
        <v>0</v>
      </c>
      <c r="D80" s="1057" t="e">
        <f>C80/$C$118</f>
        <v>#VALUE!</v>
      </c>
      <c r="E80" s="1058">
        <v>0.8</v>
      </c>
      <c r="F80" s="968">
        <f>IF(E80=0,0,C80*E80)</f>
        <v>0</v>
      </c>
      <c r="G80" s="968" t="e">
        <f>IF(OR(F80=0,ROUND(($L$13+$I$13)*$D$86+$O$86,2)&gt;=ROUND($C$86,2)),0,IF($L$13*$D$86+$O$86&gt;($C$86-$F$86),F80-(($L$13*$D$86)+$O$86-($C$86-$F$86))*(F80/$F$86),F80))</f>
        <v>#VALUE!</v>
      </c>
      <c r="H80" s="1072">
        <f>IF(C80=0,0,G80/C80)</f>
        <v>0</v>
      </c>
      <c r="I80" s="1698" t="e">
        <f>_xlfn.IFS($I$13="","Non concerné",$I$13*($C$86/$C$118)&lt;(0.15*$G$86),"Non",$I$13*($C$86/$C$118)=(0.15*$G$86),"Oui",$I$13*($C$86/$C$118)&gt;(0.15*$G$86),"Oui")</f>
        <v>#VALUE!</v>
      </c>
      <c r="J80" s="1059" t="e">
        <f>IF(G80=0,0,IF($I$80="Oui",G80-$I$13*((F80/$F$86)*$C$86/$C$118),G80*0.85))</f>
        <v>#VALUE!</v>
      </c>
      <c r="K80" s="888" t="e">
        <f>IF(J80=0,0,IF($I$80="Oui",0.15*J80/0.85,G80-J80))</f>
        <v>#VALUE!</v>
      </c>
      <c r="L80" s="1059">
        <f>IF(C80=0,0,IF($I$80="Oui",K80,$I$13*(F80/$F$86*$C$86/$C$118)))</f>
        <v>0</v>
      </c>
      <c r="M80" s="1163" t="e">
        <f>IF(K80=0,0,K80-L80)</f>
        <v>#VALUE!</v>
      </c>
      <c r="N80" s="1059">
        <f>IF($F$86=0,0,IF($I$13=0,0,(F80/$F$86*$C$86/$C$118)*$I$13-L80))</f>
        <v>0</v>
      </c>
      <c r="O80" s="1763" t="s">
        <v>516</v>
      </c>
      <c r="P80" s="1060">
        <f>IFERROR(C80-J80-K80-N80-O80-($L$13*C80/$C$86*$C$86/$C$118),0)</f>
        <v>0</v>
      </c>
    </row>
    <row r="81" spans="1:16" ht="15.95">
      <c r="A81" s="1950"/>
      <c r="B81" s="1066" t="s">
        <v>88</v>
      </c>
      <c r="C81" s="1061">
        <f>SUMIFS('2.1- Investissements'!$AH$11:$AH$50,'2.1- Investissements'!$D$11:$D$50,B81,'2.1- Investissements'!$F$11:$F$50,"Oui",'2.1- Investissements'!$C$11:$C$50,$B$78)+SUMIFS('2.2- Amortissement'!$Q$9:$Q$23,'2.2- Amortissement'!$D$9:$D$23,B81,'2.2- Amortissement'!$F$9:$F$23,"Oui",'2.2- Amortissement'!$C$9:$C$23,$B$78)</f>
        <v>0</v>
      </c>
      <c r="D81" s="1071" t="e">
        <f t="shared" ref="D81:D85" si="55">C81/$C$118</f>
        <v>#VALUE!</v>
      </c>
      <c r="E81" s="893">
        <v>0.8</v>
      </c>
      <c r="F81" s="894">
        <f t="shared" ref="F81:F85" si="56">IF(E81=0,0,C81*E81)</f>
        <v>0</v>
      </c>
      <c r="G81" s="894" t="e">
        <f t="shared" ref="G81:G85" si="57">IF(OR(F81=0,ROUND(($L$13+$I$13)*$D$86+$O$86,2)&gt;=ROUND($C$86,2)),0,IF($L$13*$D$86+$O$86&gt;($C$86-$F$86),F81-(($L$13*$D$86)+$O$86-($C$86-$F$86))*(F81/$F$86),F81))</f>
        <v>#VALUE!</v>
      </c>
      <c r="H81" s="981">
        <f t="shared" ref="H81:H85" si="58">IF(C81=0,0,G81/C81)</f>
        <v>0</v>
      </c>
      <c r="I81" s="1699"/>
      <c r="J81" s="887" t="e">
        <f t="shared" ref="J81:J85" si="59">IF(G81=0,0,IF($I$80="Oui",G81-$I$13*((F81/$F$86)*$C$86/$C$118),G81*0.85))</f>
        <v>#VALUE!</v>
      </c>
      <c r="K81" s="888" t="e">
        <f t="shared" ref="K81:K85" si="60">IF(J81=0,0,IF($I$80="Oui",0.15*J81/0.85,G81-J81))</f>
        <v>#VALUE!</v>
      </c>
      <c r="L81" s="887">
        <f t="shared" ref="L81:L86" si="61">IF(C81=0,0,IF($I$80="Oui",K81,$I$13*(F81/$F$86*$C$86/$C$118)))</f>
        <v>0</v>
      </c>
      <c r="M81" s="887" t="e">
        <f t="shared" ref="M81:M86" si="62">IF(K81=0,0,K81-L81)</f>
        <v>#VALUE!</v>
      </c>
      <c r="N81" s="887">
        <f t="shared" ref="N81:N85" si="63">IF($F$86=0,0,IF($I$13=0,0,(F81/$F$86*$C$86/$C$118)*$I$13-L81))</f>
        <v>0</v>
      </c>
      <c r="O81" s="1764"/>
      <c r="P81" s="1073">
        <f t="shared" ref="P81:P85" si="64">IFERROR(C81-J81-K81-N81-O81-($L$13*C81/$C$86*$C$86/$C$118),0)</f>
        <v>0</v>
      </c>
    </row>
    <row r="82" spans="1:16" ht="15.95">
      <c r="A82" s="1950"/>
      <c r="B82" s="1066" t="s">
        <v>91</v>
      </c>
      <c r="C82" s="1061">
        <f>SUMIFS('2.1- Investissements'!$AH$11:$AH$50,'2.1- Investissements'!$D$11:$D$50,B82,'2.1- Investissements'!$F$11:$F$50,"Oui",'2.1- Investissements'!$C$11:$C$50,$B$78)+SUMIFS('2.2- Amortissement'!$Q$9:$Q$23,'2.2- Amortissement'!$D$9:$D$23,B82,'2.2- Amortissement'!$F$9:$F$23,"Oui",'2.2- Amortissement'!$C$9:$C$23,$B$78)</f>
        <v>0</v>
      </c>
      <c r="D82" s="1071" t="e">
        <f t="shared" si="55"/>
        <v>#VALUE!</v>
      </c>
      <c r="E82" s="893">
        <v>0.8</v>
      </c>
      <c r="F82" s="894">
        <f t="shared" si="56"/>
        <v>0</v>
      </c>
      <c r="G82" s="894" t="e">
        <f t="shared" si="57"/>
        <v>#VALUE!</v>
      </c>
      <c r="H82" s="981">
        <f t="shared" si="58"/>
        <v>0</v>
      </c>
      <c r="I82" s="1699"/>
      <c r="J82" s="887" t="e">
        <f t="shared" si="59"/>
        <v>#VALUE!</v>
      </c>
      <c r="K82" s="888" t="e">
        <f t="shared" si="60"/>
        <v>#VALUE!</v>
      </c>
      <c r="L82" s="887">
        <f t="shared" si="61"/>
        <v>0</v>
      </c>
      <c r="M82" s="887" t="e">
        <f t="shared" si="62"/>
        <v>#VALUE!</v>
      </c>
      <c r="N82" s="887">
        <f t="shared" si="63"/>
        <v>0</v>
      </c>
      <c r="O82" s="1765"/>
      <c r="P82" s="1073">
        <f t="shared" si="64"/>
        <v>0</v>
      </c>
    </row>
    <row r="83" spans="1:16" ht="15.95">
      <c r="A83" s="1950" t="s">
        <v>529</v>
      </c>
      <c r="B83" s="1066" t="s">
        <v>85</v>
      </c>
      <c r="C83" s="1061">
        <f>SUMIFS('2.1- Investissements'!$AH$11:$AH$50,'2.1- Investissements'!$D$11:$D$50,B83,'2.1- Investissements'!$F$11:$F$50,"Non",'2.1- Investissements'!$C$11:$C$50,$B$78)+SUMIFS('2.2- Amortissement'!$Q$9:$Q$23,'2.2- Amortissement'!$D$9:$D$23,B83,'2.2- Amortissement'!$F$9:$F$23,"Non",'2.2- Amortissement'!$C$9:$C$23,$B$78)+SUMIFS('3- Frais généraux'!$AF$10:$AF$49,'3- Frais généraux'!$D$10:$D$49,B83,'3- Frais généraux'!$C$10:$C$49,$B$78)+SUMIFS('1- Frais personnel'!$Q$9:$Q$68,'1- Frais personnel'!$D$9:$D$68,B83,'1- Frais personnel'!$C$9:$C$68,$B$78)+SUMIFS('4- Déplacement &amp; hébergement'!$AF$10:$AF$49,'4- Déplacement &amp; hébergement'!$D$10:$D$49,B83,'4- Déplacement &amp; hébergement'!$C$10:$C$49,$B$78)+SUMIFS('5- Contribution en nature'!$M$9:$M$48,'5- Contribution en nature'!$D$9:$D$48,B83,'5- Contribution en nature'!$C$9:$C$48,$B$78)+SUMIFS('6- Coût participation agri'!$N$9:$N$48,'6- Coût participation agri'!$D$9:$D$48, B83,'6- Coût participation agri'!$C$9:$C$48,$B$78)+SUMIFS('7- Taux forfaitaire'!$H$9:$H$32,'7- Taux forfaitaire'!$D$9:$D$32,B83,'7- Taux forfaitaire'!$C$9:$C$32,$B$78)</f>
        <v>0</v>
      </c>
      <c r="D83" s="1071" t="e">
        <f t="shared" si="55"/>
        <v>#VALUE!</v>
      </c>
      <c r="E83" s="893">
        <v>1</v>
      </c>
      <c r="F83" s="894">
        <f t="shared" si="56"/>
        <v>0</v>
      </c>
      <c r="G83" s="894" t="e">
        <f t="shared" si="57"/>
        <v>#VALUE!</v>
      </c>
      <c r="H83" s="981">
        <f t="shared" si="58"/>
        <v>0</v>
      </c>
      <c r="I83" s="1699"/>
      <c r="J83" s="887" t="e">
        <f t="shared" si="59"/>
        <v>#VALUE!</v>
      </c>
      <c r="K83" s="888" t="e">
        <f t="shared" si="60"/>
        <v>#VALUE!</v>
      </c>
      <c r="L83" s="887">
        <f t="shared" si="61"/>
        <v>0</v>
      </c>
      <c r="M83" s="887" t="e">
        <f t="shared" si="62"/>
        <v>#VALUE!</v>
      </c>
      <c r="N83" s="887">
        <f t="shared" si="63"/>
        <v>0</v>
      </c>
      <c r="O83" s="887">
        <f>SUMIFS('5- Contribution en nature'!$M$9:$M$48,'5- Contribution en nature'!$D$9:$D$48,'Syn pf bénéficiaire'!B83,'5- Contribution en nature'!$C$9:$C$48,"Partenaire 4")</f>
        <v>0</v>
      </c>
      <c r="P83" s="1073">
        <f t="shared" si="64"/>
        <v>0</v>
      </c>
    </row>
    <row r="84" spans="1:16" ht="15.95">
      <c r="A84" s="1950"/>
      <c r="B84" s="1066" t="s">
        <v>88</v>
      </c>
      <c r="C84" s="1061">
        <f>SUMIFS('2.1- Investissements'!$AH$11:$AH$50,'2.1- Investissements'!$D$11:$D$50,B84,'2.1- Investissements'!$F$11:$F$50,"Non",'2.1- Investissements'!$C$11:$C$50,$B$78)+SUMIFS('2.2- Amortissement'!$Q$9:$Q$23,'2.2- Amortissement'!$D$9:$D$23,B84,'2.2- Amortissement'!$F$9:$F$23,"Non",'2.2- Amortissement'!$C$9:$C$23,$B$78)+SUMIFS('3- Frais généraux'!$AF$10:$AF$49,'3- Frais généraux'!$D$10:$D$49,B84,'3- Frais généraux'!$C$10:$C$49,$B$78)+SUMIFS('1- Frais personnel'!$Q$9:$Q$68,'1- Frais personnel'!$D$9:$D$68,B84,'1- Frais personnel'!$C$9:$C$68,$B$78)+SUMIFS('4- Déplacement &amp; hébergement'!$AF$10:$AF$49,'4- Déplacement &amp; hébergement'!$D$10:$D$49,B84,'4- Déplacement &amp; hébergement'!$C$10:$C$49,$B$78)+SUMIFS('5- Contribution en nature'!$M$9:$M$48,'5- Contribution en nature'!$D$9:$D$48,B84,'5- Contribution en nature'!$C$9:$C$48,$B$78)+SUMIFS('6- Coût participation agri'!$N$9:$N$48,'6- Coût participation agri'!$D$9:$D$48, B84,'6- Coût participation agri'!$C$9:$C$48,$B$78)+SUMIFS('7- Taux forfaitaire'!$H$9:$H$32,'7- Taux forfaitaire'!$D$9:$D$32,B84,'7- Taux forfaitaire'!$C$9:$C$32,$B$78)</f>
        <v>0</v>
      </c>
      <c r="D84" s="1071" t="e">
        <f t="shared" si="55"/>
        <v>#VALUE!</v>
      </c>
      <c r="E84" s="893">
        <v>1</v>
      </c>
      <c r="F84" s="894">
        <f t="shared" si="56"/>
        <v>0</v>
      </c>
      <c r="G84" s="894" t="e">
        <f t="shared" si="57"/>
        <v>#VALUE!</v>
      </c>
      <c r="H84" s="981">
        <f t="shared" si="58"/>
        <v>0</v>
      </c>
      <c r="I84" s="1699"/>
      <c r="J84" s="887" t="e">
        <f t="shared" si="59"/>
        <v>#VALUE!</v>
      </c>
      <c r="K84" s="888" t="e">
        <f t="shared" si="60"/>
        <v>#VALUE!</v>
      </c>
      <c r="L84" s="887">
        <f t="shared" si="61"/>
        <v>0</v>
      </c>
      <c r="M84" s="887" t="e">
        <f t="shared" si="62"/>
        <v>#VALUE!</v>
      </c>
      <c r="N84" s="887">
        <f t="shared" si="63"/>
        <v>0</v>
      </c>
      <c r="O84" s="887">
        <f>SUMIFS('5- Contribution en nature'!$M$9:$M$48,'5- Contribution en nature'!$D$9:$D$48,'Syn pf bénéficiaire'!B84,'5- Contribution en nature'!$C$9:$C$48,"Partenaire 4")</f>
        <v>0</v>
      </c>
      <c r="P84" s="1073">
        <f t="shared" si="64"/>
        <v>0</v>
      </c>
    </row>
    <row r="85" spans="1:16" ht="17.100000000000001" thickBot="1">
      <c r="A85" s="1951"/>
      <c r="B85" s="1077" t="s">
        <v>91</v>
      </c>
      <c r="C85" s="1062">
        <f>SUMIFS('2.1- Investissements'!$AH$11:$AH$50,'2.1- Investissements'!$D$11:$D$50,B85,'2.1- Investissements'!$F$11:$F$50,"Non",'2.1- Investissements'!$C$11:$C$50,$B$78)+SUMIFS('2.2- Amortissement'!$Q$9:$Q$23,'2.2- Amortissement'!$D$9:$D$23,B85,'2.2- Amortissement'!$F$9:$F$23,"Non",'2.2- Amortissement'!$C$9:$C$23,$B$78)+SUMIFS('3- Frais généraux'!$AF$10:$AF$49,'3- Frais généraux'!$D$10:$D$49,B85,'3- Frais généraux'!$C$10:$C$49,$B$78)+SUMIFS('1- Frais personnel'!$Q$9:$Q$68,'1- Frais personnel'!$D$9:$D$68,B85,'1- Frais personnel'!$C$9:$C$68,$B$78)+SUMIFS('4- Déplacement &amp; hébergement'!$AF$10:$AF$49,'4- Déplacement &amp; hébergement'!$D$10:$D$49,B85,'4- Déplacement &amp; hébergement'!$C$10:$C$49,$B$78)+SUMIFS('5- Contribution en nature'!$M$9:$M$48,'5- Contribution en nature'!$D$9:$D$48,B85,'5- Contribution en nature'!$C$9:$C$48,$B$78)+SUMIFS('6- Coût participation agri'!$N$9:$N$48,'6- Coût participation agri'!$D$9:$D$48, B85,'6- Coût participation agri'!$C$9:$C$48,$B$78)+SUMIFS('7- Taux forfaitaire'!$H$9:$H$32,'7- Taux forfaitaire'!$D$9:$D$32,B85,'7- Taux forfaitaire'!$C$9:$C$32,$B$78)</f>
        <v>0</v>
      </c>
      <c r="D85" s="1074" t="e">
        <f t="shared" si="55"/>
        <v>#VALUE!</v>
      </c>
      <c r="E85" s="1063">
        <v>1</v>
      </c>
      <c r="F85" s="977">
        <f t="shared" si="56"/>
        <v>0</v>
      </c>
      <c r="G85" s="971" t="e">
        <f t="shared" si="57"/>
        <v>#VALUE!</v>
      </c>
      <c r="H85" s="1075">
        <f t="shared" si="58"/>
        <v>0</v>
      </c>
      <c r="I85" s="1952"/>
      <c r="J85" s="1064" t="e">
        <f t="shared" si="59"/>
        <v>#VALUE!</v>
      </c>
      <c r="K85" s="888" t="e">
        <f t="shared" si="60"/>
        <v>#VALUE!</v>
      </c>
      <c r="L85" s="1064">
        <f t="shared" si="61"/>
        <v>0</v>
      </c>
      <c r="M85" s="888" t="e">
        <f t="shared" si="62"/>
        <v>#VALUE!</v>
      </c>
      <c r="N85" s="1064">
        <f t="shared" si="63"/>
        <v>0</v>
      </c>
      <c r="O85" s="1064">
        <f>SUMIFS('5- Contribution en nature'!$M$9:$M$48,'5- Contribution en nature'!$D$9:$D$48,'Syn pf bénéficiaire'!B85,'5- Contribution en nature'!$C$9:$C$48,"Partenaire 4")</f>
        <v>0</v>
      </c>
      <c r="P85" s="1076">
        <f t="shared" si="64"/>
        <v>0</v>
      </c>
    </row>
    <row r="86" spans="1:16" s="1086" customFormat="1" ht="33" thickBot="1">
      <c r="B86" s="1087" t="s">
        <v>530</v>
      </c>
      <c r="C86" s="1098" t="str">
        <f>IF($D$3=0,"",SUM(C80:C85))</f>
        <v/>
      </c>
      <c r="D86" s="1083" t="e">
        <f>C86/$E$26</f>
        <v>#VALUE!</v>
      </c>
      <c r="E86" s="1084"/>
      <c r="F86" s="1085">
        <f>SUM(F80:F85)</f>
        <v>0</v>
      </c>
      <c r="G86" s="1085" t="e">
        <f>IF(OR(C86=0,ROUND(($L$13+$I$13)*$D$86+$O$86,2)&gt;=ROUND($C$86,2)),0,IF($L$13*$D$86+$O$86&gt;($C$86-$F$86),F86-(($L$13*$D$86)+$O$86-($C$86-$F$86))*(F86/$F$86),F86))</f>
        <v>#VALUE!</v>
      </c>
      <c r="H86" s="1099" t="e">
        <f>IF(C86=0,0,G86/C86)</f>
        <v>#VALUE!</v>
      </c>
      <c r="I86" s="1100"/>
      <c r="J86" s="1055" t="e">
        <f>IF(G86=0,0,IF($I$80="Oui",G86-$I$13*((F86/$F$86)*$C$86/$C$118),G86*0.85))</f>
        <v>#VALUE!</v>
      </c>
      <c r="K86" s="986" t="e">
        <f>IF(J86=0,0,IF($I$80="Oui",ROUNDUP(0.15*J86/0.85,2),G86-J86))</f>
        <v>#VALUE!</v>
      </c>
      <c r="L86" s="1055" t="e">
        <f t="shared" si="61"/>
        <v>#VALUE!</v>
      </c>
      <c r="M86" s="1059" t="e">
        <f t="shared" si="62"/>
        <v>#VALUE!</v>
      </c>
      <c r="N86" s="1055">
        <f>IF($F$86=0,0,IF($I$13=0,0,F86/$F$86*$C$86/$C$118)*$I$13-L86)</f>
        <v>0</v>
      </c>
      <c r="O86" s="1055">
        <f>SUM(O80:O85)</f>
        <v>0</v>
      </c>
      <c r="P86" s="1101">
        <f>SUM(P80:P85)</f>
        <v>0</v>
      </c>
    </row>
    <row r="87" spans="1:16" ht="15.95" thickBot="1"/>
    <row r="88" spans="1:16" ht="15.95" thickBot="1">
      <c r="B88" s="1947" t="s">
        <v>15</v>
      </c>
      <c r="C88" s="1948"/>
      <c r="D88" s="1948"/>
      <c r="E88" s="1948"/>
      <c r="F88" s="1948"/>
      <c r="G88" s="1948"/>
      <c r="H88" s="1948"/>
      <c r="I88" s="1948"/>
      <c r="J88" s="1948"/>
      <c r="K88" s="1948"/>
      <c r="L88" s="1948"/>
      <c r="M88" s="1948"/>
      <c r="N88" s="1949"/>
    </row>
    <row r="89" spans="1:16" ht="101.1" thickBot="1">
      <c r="A89" s="1010" t="s">
        <v>520</v>
      </c>
      <c r="B89" s="1009" t="s">
        <v>77</v>
      </c>
      <c r="C89" s="1067" t="s">
        <v>373</v>
      </c>
      <c r="D89" s="1068" t="s">
        <v>521</v>
      </c>
      <c r="E89" s="1068" t="s">
        <v>522</v>
      </c>
      <c r="F89" s="1068" t="s">
        <v>523</v>
      </c>
      <c r="G89" s="1069" t="s">
        <v>524</v>
      </c>
      <c r="H89" s="1069" t="s">
        <v>525</v>
      </c>
      <c r="I89" s="1034" t="s">
        <v>493</v>
      </c>
      <c r="J89" s="1068" t="s">
        <v>494</v>
      </c>
      <c r="K89" s="1068" t="s">
        <v>526</v>
      </c>
      <c r="L89" s="1068" t="s">
        <v>498</v>
      </c>
      <c r="M89" s="1068" t="s">
        <v>499</v>
      </c>
      <c r="N89" s="1068" t="s">
        <v>500</v>
      </c>
      <c r="O89" s="1070" t="s">
        <v>442</v>
      </c>
      <c r="P89" s="1070" t="s">
        <v>527</v>
      </c>
    </row>
    <row r="90" spans="1:16" ht="15.95">
      <c r="A90" s="1950" t="s">
        <v>528</v>
      </c>
      <c r="B90" s="1065" t="s">
        <v>85</v>
      </c>
      <c r="C90" s="1056">
        <f>SUMIFS('2.1- Investissements'!$AH$11:$AH$50,'2.1- Investissements'!$D$11:$D$50,B90,'2.1- Investissements'!$F$11:$F$50,"Oui",'2.1- Investissements'!$C$11:$C$50,$B$88)+SUMIFS('2.2- Amortissement'!$Q$9:$Q$23,'2.2- Amortissement'!$D$9:$D$23,B90,'2.2- Amortissement'!$F$9:$F$23,"Oui",'2.2- Amortissement'!$C$9:$C$23,$B$88)</f>
        <v>0</v>
      </c>
      <c r="D90" s="1057" t="e">
        <f>C90/$C$118</f>
        <v>#VALUE!</v>
      </c>
      <c r="E90" s="1058">
        <v>0.8</v>
      </c>
      <c r="F90" s="968">
        <f>IF(E90=0,0,C90*E90)</f>
        <v>0</v>
      </c>
      <c r="G90" s="968" t="e">
        <f>IF(OR(F90=0,ROUND(($L$13+$I$13)*$D$96+$O$96,2)&gt;=ROUND($C$96,2)),0,IF($L$13*$D$96+$O$96&gt;($C$96-$F$96),F90-(($L$13*$D$96)+$O$96-($C$96-$F$96))*(F90/$F$96),F90))</f>
        <v>#VALUE!</v>
      </c>
      <c r="H90" s="1072">
        <f>IF(C90=0,0,G90/C90)</f>
        <v>0</v>
      </c>
      <c r="I90" s="1698" t="e">
        <f>_xlfn.IFS($I$13="","Non concerné",$I$13*($C$96/$C$118)&lt;(0.15*$G$96),"Non",$I$13*($C$96/$C$118)=(0.15*$G$96),"Oui",$I$13*($C$96/$C$118)&gt;(0.15*$G$96),"Oui")</f>
        <v>#VALUE!</v>
      </c>
      <c r="J90" s="1059" t="e">
        <f>IF(G90=0,0,IF($I$90="Oui",G90-$I$13*((F90/$F$96)*$C$96/$C$118),G90*0.85))</f>
        <v>#VALUE!</v>
      </c>
      <c r="K90" s="888" t="e">
        <f>IF(J90=0,0,IF($I$90="Oui",0.15*J90/0.85,G90-J90))</f>
        <v>#VALUE!</v>
      </c>
      <c r="L90" s="1059">
        <f>IF(C90=0,0,IF($I$90="Oui",K90,$I$13*(F90/$F$96*$C$96/$C$118)))</f>
        <v>0</v>
      </c>
      <c r="M90" s="1163" t="e">
        <f>IF(K90=0,0,K90-L90)</f>
        <v>#VALUE!</v>
      </c>
      <c r="N90" s="1059">
        <f>IF($F$96=0,0,IF($I$13=0,0,(F90/$F$96*$C$96/$C$118)*$I$13-L90))</f>
        <v>0</v>
      </c>
      <c r="O90" s="1763" t="s">
        <v>516</v>
      </c>
      <c r="P90" s="1060">
        <f>IFERROR(C90-J90-K90-N90-O90-($L$13*C90/$C$96*$C$96/$C$118),0)</f>
        <v>0</v>
      </c>
    </row>
    <row r="91" spans="1:16" ht="15.95">
      <c r="A91" s="1950"/>
      <c r="B91" s="1066" t="s">
        <v>88</v>
      </c>
      <c r="C91" s="1061">
        <f>SUMIFS('2.1- Investissements'!$AH$11:$AH$50,'2.1- Investissements'!$D$11:$D$50,B91,'2.1- Investissements'!$F$11:$F$50,"Oui",'2.1- Investissements'!$C$11:$C$50,$B$88)+SUMIFS('2.2- Amortissement'!$Q$9:$Q$23,'2.2- Amortissement'!$D$9:$D$23,B91,'2.2- Amortissement'!$F$9:$F$23,"Oui",'2.2- Amortissement'!$C$9:$C$23,$B$88)</f>
        <v>0</v>
      </c>
      <c r="D91" s="1071" t="e">
        <f t="shared" ref="D91:D95" si="65">C91/$C$118</f>
        <v>#VALUE!</v>
      </c>
      <c r="E91" s="893">
        <v>0.8</v>
      </c>
      <c r="F91" s="894">
        <f t="shared" ref="F91:F95" si="66">IF(E91=0,0,C91*E91)</f>
        <v>0</v>
      </c>
      <c r="G91" s="894" t="e">
        <f t="shared" ref="G91:G95" si="67">IF(OR(F91=0,ROUND(($L$13+$I$13)*$D$96+$O$96,2)&gt;=ROUND($C$96,2)),0,IF($L$13*$D$96+$O$96&gt;($C$96-$F$96),F91-(($L$13*$D$96)+$O$96-($C$96-$F$96))*(F91/$F$96),F91))</f>
        <v>#VALUE!</v>
      </c>
      <c r="H91" s="981">
        <f t="shared" ref="H91:H95" si="68">IF(C91=0,0,G91/C91)</f>
        <v>0</v>
      </c>
      <c r="I91" s="1699"/>
      <c r="J91" s="887" t="e">
        <f t="shared" ref="J91:J95" si="69">IF(G91=0,0,IF($I$90="Oui",G91-$I$13*((F91/$F$96)*$C$96/$C$118),G91*0.85))</f>
        <v>#VALUE!</v>
      </c>
      <c r="K91" s="888" t="e">
        <f t="shared" ref="K91:K95" si="70">IF(J91=0,0,IF($I$90="Oui",0.15*J91/0.85,G91-J91))</f>
        <v>#VALUE!</v>
      </c>
      <c r="L91" s="887">
        <f t="shared" ref="L91:L96" si="71">IF(C91=0,0,IF($I$90="Oui",K91,$I$13*(F91/$F$96*$C$96/$C$118)))</f>
        <v>0</v>
      </c>
      <c r="M91" s="887" t="e">
        <f t="shared" ref="M91:M96" si="72">IF(K91=0,0,K91-L91)</f>
        <v>#VALUE!</v>
      </c>
      <c r="N91" s="887">
        <f t="shared" ref="N91:N95" si="73">IF($F$96=0,0,IF($I$13=0,0,(F91/$F$96*$C$96/$C$118)*$I$13-L91))</f>
        <v>0</v>
      </c>
      <c r="O91" s="1764"/>
      <c r="P91" s="1073">
        <f t="shared" ref="P91:P95" si="74">IFERROR(C91-J91-K91-N91-O91-($L$13*C91/$C$96*$C$96/$C$118),0)</f>
        <v>0</v>
      </c>
    </row>
    <row r="92" spans="1:16" ht="15.95">
      <c r="A92" s="1950"/>
      <c r="B92" s="1066" t="s">
        <v>91</v>
      </c>
      <c r="C92" s="1061">
        <f>SUMIFS('2.1- Investissements'!$AH$11:$AH$50,'2.1- Investissements'!$D$11:$D$50,B92,'2.1- Investissements'!$F$11:$F$50,"Oui",'2.1- Investissements'!$C$11:$C$50,$B$88)+SUMIFS('2.2- Amortissement'!$Q$9:$Q$23,'2.2- Amortissement'!$D$9:$D$23,B92,'2.2- Amortissement'!$F$9:$F$23,"Oui",'2.2- Amortissement'!$C$9:$C$23,$B$88)</f>
        <v>0</v>
      </c>
      <c r="D92" s="1071" t="e">
        <f t="shared" si="65"/>
        <v>#VALUE!</v>
      </c>
      <c r="E92" s="893">
        <v>0.8</v>
      </c>
      <c r="F92" s="894">
        <f t="shared" si="66"/>
        <v>0</v>
      </c>
      <c r="G92" s="894" t="e">
        <f t="shared" si="67"/>
        <v>#VALUE!</v>
      </c>
      <c r="H92" s="981">
        <f t="shared" si="68"/>
        <v>0</v>
      </c>
      <c r="I92" s="1699"/>
      <c r="J92" s="887" t="e">
        <f t="shared" si="69"/>
        <v>#VALUE!</v>
      </c>
      <c r="K92" s="888" t="e">
        <f t="shared" si="70"/>
        <v>#VALUE!</v>
      </c>
      <c r="L92" s="887">
        <f t="shared" si="71"/>
        <v>0</v>
      </c>
      <c r="M92" s="887" t="e">
        <f t="shared" si="72"/>
        <v>#VALUE!</v>
      </c>
      <c r="N92" s="887">
        <f t="shared" si="73"/>
        <v>0</v>
      </c>
      <c r="O92" s="1765"/>
      <c r="P92" s="1073">
        <f t="shared" si="74"/>
        <v>0</v>
      </c>
    </row>
    <row r="93" spans="1:16" ht="15.95">
      <c r="A93" s="1950" t="s">
        <v>529</v>
      </c>
      <c r="B93" s="1066" t="s">
        <v>85</v>
      </c>
      <c r="C93" s="1061">
        <f>SUMIFS('2.1- Investissements'!$AH$11:$AH$50,'2.1- Investissements'!$D$11:$D$50,B93,'2.1- Investissements'!$F$11:$F$50,"Non",'2.1- Investissements'!$C$11:$C$50,$B$88)+SUMIFS('2.2- Amortissement'!$Q$9:$Q$23,'2.2- Amortissement'!$D$9:$D$23,B93,'2.2- Amortissement'!$F$9:$F$23,"Non",'2.2- Amortissement'!$C$9:$C$23,$B$88)+SUMIFS('3- Frais généraux'!$AF$10:$AF$49,'3- Frais généraux'!$D$10:$D$49,B93,'3- Frais généraux'!$C$10:$C$49,$B$88)+SUMIFS('1- Frais personnel'!$Q$9:$Q$68,'1- Frais personnel'!$D$9:$D$68,B93,'1- Frais personnel'!$C$9:$C$68,$B$88)+SUMIFS('4- Déplacement &amp; hébergement'!$AF$10:$AF$49,'4- Déplacement &amp; hébergement'!$D$10:$D$49,B93,'4- Déplacement &amp; hébergement'!$C$10:$C$49,$B$88)+SUMIFS('5- Contribution en nature'!$M$9:$M$48,'5- Contribution en nature'!$D$9:$D$48,B93,'5- Contribution en nature'!$C$9:$C$48,$B$88)+SUMIFS('6- Coût participation agri'!$N$9:$N$48,'6- Coût participation agri'!$D$9:$D$48, B93,'6- Coût participation agri'!$C$9:$C$48,$B$88)+SUMIFS('7- Taux forfaitaire'!$H$9:$H$32,'7- Taux forfaitaire'!$D$9:$D$32,B93,'7- Taux forfaitaire'!$C$9:$C$32,$B$88)</f>
        <v>0</v>
      </c>
      <c r="D93" s="1071" t="e">
        <f t="shared" si="65"/>
        <v>#VALUE!</v>
      </c>
      <c r="E93" s="893">
        <v>1</v>
      </c>
      <c r="F93" s="894">
        <f t="shared" si="66"/>
        <v>0</v>
      </c>
      <c r="G93" s="894" t="e">
        <f t="shared" si="67"/>
        <v>#VALUE!</v>
      </c>
      <c r="H93" s="981">
        <f t="shared" si="68"/>
        <v>0</v>
      </c>
      <c r="I93" s="1699"/>
      <c r="J93" s="887" t="e">
        <f t="shared" si="69"/>
        <v>#VALUE!</v>
      </c>
      <c r="K93" s="888" t="e">
        <f t="shared" si="70"/>
        <v>#VALUE!</v>
      </c>
      <c r="L93" s="887">
        <f t="shared" si="71"/>
        <v>0</v>
      </c>
      <c r="M93" s="887" t="e">
        <f t="shared" si="72"/>
        <v>#VALUE!</v>
      </c>
      <c r="N93" s="887">
        <f t="shared" si="73"/>
        <v>0</v>
      </c>
      <c r="O93" s="887">
        <f>SUMIFS('5- Contribution en nature'!$M$9:$M$48,'5- Contribution en nature'!$D$9:$D$48,'Syn pf bénéficiaire'!B93,'5- Contribution en nature'!$C$9:$C$48,"Partenaire 5")</f>
        <v>0</v>
      </c>
      <c r="P93" s="1073">
        <f t="shared" si="74"/>
        <v>0</v>
      </c>
    </row>
    <row r="94" spans="1:16" ht="15.95">
      <c r="A94" s="1950"/>
      <c r="B94" s="1066" t="s">
        <v>88</v>
      </c>
      <c r="C94" s="1061">
        <f>SUMIFS('2.1- Investissements'!$AH$11:$AH$50,'2.1- Investissements'!$D$11:$D$50,B94,'2.1- Investissements'!$F$11:$F$50,"Non",'2.1- Investissements'!$C$11:$C$50,$B$88)+SUMIFS('2.2- Amortissement'!$Q$9:$Q$23,'2.2- Amortissement'!$D$9:$D$23,B94,'2.2- Amortissement'!$F$9:$F$23,"Non",'2.2- Amortissement'!$C$9:$C$23,$B$88)+SUMIFS('3- Frais généraux'!$AF$10:$AF$49,'3- Frais généraux'!$D$10:$D$49,B94,'3- Frais généraux'!$C$10:$C$49,$B$88)+SUMIFS('1- Frais personnel'!$Q$9:$Q$68,'1- Frais personnel'!$D$9:$D$68,B94,'1- Frais personnel'!$C$9:$C$68,$B$88)+SUMIFS('4- Déplacement &amp; hébergement'!$AF$10:$AF$49,'4- Déplacement &amp; hébergement'!$D$10:$D$49,B94,'4- Déplacement &amp; hébergement'!$C$10:$C$49,$B$88)+SUMIFS('5- Contribution en nature'!$M$9:$M$48,'5- Contribution en nature'!$D$9:$D$48,B94,'5- Contribution en nature'!$C$9:$C$48,$B$88)+SUMIFS('6- Coût participation agri'!$N$9:$N$48,'6- Coût participation agri'!$D$9:$D$48, B94,'6- Coût participation agri'!$C$9:$C$48,$B$88)+SUMIFS('7- Taux forfaitaire'!$H$9:$H$32,'7- Taux forfaitaire'!$D$9:$D$32,B94,'7- Taux forfaitaire'!$C$9:$C$32,$B$88)</f>
        <v>0</v>
      </c>
      <c r="D94" s="1071" t="e">
        <f t="shared" si="65"/>
        <v>#VALUE!</v>
      </c>
      <c r="E94" s="893">
        <v>1</v>
      </c>
      <c r="F94" s="894">
        <f t="shared" si="66"/>
        <v>0</v>
      </c>
      <c r="G94" s="894" t="e">
        <f t="shared" si="67"/>
        <v>#VALUE!</v>
      </c>
      <c r="H94" s="981">
        <f t="shared" si="68"/>
        <v>0</v>
      </c>
      <c r="I94" s="1699"/>
      <c r="J94" s="887" t="e">
        <f t="shared" si="69"/>
        <v>#VALUE!</v>
      </c>
      <c r="K94" s="888" t="e">
        <f t="shared" si="70"/>
        <v>#VALUE!</v>
      </c>
      <c r="L94" s="887">
        <f t="shared" si="71"/>
        <v>0</v>
      </c>
      <c r="M94" s="887" t="e">
        <f t="shared" si="72"/>
        <v>#VALUE!</v>
      </c>
      <c r="N94" s="887">
        <f t="shared" si="73"/>
        <v>0</v>
      </c>
      <c r="O94" s="887">
        <f>SUMIFS('5- Contribution en nature'!$M$9:$M$48,'5- Contribution en nature'!$D$9:$D$48,'Syn pf bénéficiaire'!B94,'5- Contribution en nature'!$C$9:$C$48,"Partenaire 5")</f>
        <v>0</v>
      </c>
      <c r="P94" s="1073">
        <f t="shared" si="74"/>
        <v>0</v>
      </c>
    </row>
    <row r="95" spans="1:16" ht="17.100000000000001" thickBot="1">
      <c r="A95" s="1951"/>
      <c r="B95" s="1077" t="s">
        <v>91</v>
      </c>
      <c r="C95" s="1078">
        <f>SUMIFS('2.1- Investissements'!$AH$11:$AH$50,'2.1- Investissements'!$D$11:$D$50,B95,'2.1- Investissements'!$F$11:$F$50,"Non",'2.1- Investissements'!$C$11:$C$50,$B$88)+SUMIFS('2.2- Amortissement'!$Q$9:$Q$23,'2.2- Amortissement'!$D$9:$D$23,B95,'2.2- Amortissement'!$F$9:$F$23,"Non",'2.2- Amortissement'!$C$9:$C$23,$B$88)+SUMIFS('3- Frais généraux'!$AF$10:$AF$49,'3- Frais généraux'!$D$10:$D$49,B95,'3- Frais généraux'!$C$10:$C$49,$B$88)+SUMIFS('1- Frais personnel'!$Q$9:$Q$68,'1- Frais personnel'!$D$9:$D$68,B95,'1- Frais personnel'!$C$9:$C$68,$B$88)+SUMIFS('4- Déplacement &amp; hébergement'!$AF$10:$AF$49,'4- Déplacement &amp; hébergement'!$D$10:$D$49,B95,'4- Déplacement &amp; hébergement'!$C$10:$C$49,$B$88)+SUMIFS('5- Contribution en nature'!$M$9:$M$48,'5- Contribution en nature'!$D$9:$D$48,B95,'5- Contribution en nature'!$C$9:$C$48,$B$88)+SUMIFS('6- Coût participation agri'!$N$9:$N$48,'6- Coût participation agri'!$D$9:$D$48, B95,'6- Coût participation agri'!$C$9:$C$48,$B$88)+SUMIFS('7- Taux forfaitaire'!$H$9:$H$32,'7- Taux forfaitaire'!$D$9:$D$32,B95,'7- Taux forfaitaire'!$C$9:$C$32,$B$88)</f>
        <v>0</v>
      </c>
      <c r="D95" s="1079" t="e">
        <f t="shared" si="65"/>
        <v>#VALUE!</v>
      </c>
      <c r="E95" s="1080">
        <v>1</v>
      </c>
      <c r="F95" s="977">
        <f t="shared" si="66"/>
        <v>0</v>
      </c>
      <c r="G95" s="977" t="e">
        <f t="shared" si="67"/>
        <v>#VALUE!</v>
      </c>
      <c r="H95" s="1081">
        <f t="shared" si="68"/>
        <v>0</v>
      </c>
      <c r="I95" s="1700"/>
      <c r="J95" s="1045" t="e">
        <f t="shared" si="69"/>
        <v>#VALUE!</v>
      </c>
      <c r="K95" s="888" t="e">
        <f t="shared" si="70"/>
        <v>#VALUE!</v>
      </c>
      <c r="L95" s="1045">
        <f t="shared" si="71"/>
        <v>0</v>
      </c>
      <c r="M95" s="888" t="e">
        <f t="shared" si="72"/>
        <v>#VALUE!</v>
      </c>
      <c r="N95" s="1045">
        <f t="shared" si="73"/>
        <v>0</v>
      </c>
      <c r="O95" s="1045">
        <f>SUMIFS('5- Contribution en nature'!$M$9:$M$48,'5- Contribution en nature'!$D$9:$D$48,'Syn pf bénéficiaire'!B95,'5- Contribution en nature'!$C$9:$C$48,"Partenaire 5")</f>
        <v>0</v>
      </c>
      <c r="P95" s="1082">
        <f t="shared" si="74"/>
        <v>0</v>
      </c>
    </row>
    <row r="96" spans="1:16" ht="33" thickBot="1">
      <c r="B96" s="1087" t="s">
        <v>530</v>
      </c>
      <c r="C96" s="1088" t="str">
        <f>IF($D$3=0,"",SUM(C90:C95))</f>
        <v/>
      </c>
      <c r="D96" s="983" t="e">
        <f>C96/$E$26</f>
        <v>#VALUE!</v>
      </c>
      <c r="E96" s="984"/>
      <c r="F96" s="684">
        <f>SUM(F90:F95)</f>
        <v>0</v>
      </c>
      <c r="G96" s="684" t="e">
        <f>IF(OR(C96=0,ROUND(($L$13+$I$13)*$D$96+$O$96,2)&gt;=ROUND($C$96,2)),0,IF($L$13*$D$96+$O$96&gt;($C$96-$F$96),F96-(($L$13*$D$96)+$O$96-($C$96-$F$96))*(F96/$F$96),F96))</f>
        <v>#VALUE!</v>
      </c>
      <c r="H96" s="985" t="e">
        <f>IF(C96=0,0,G96/C96)</f>
        <v>#VALUE!</v>
      </c>
      <c r="I96" s="1089"/>
      <c r="J96" s="986" t="e">
        <f>IF(G96=0,0,IF($I$90="Oui",G96-$I$13*((F96/$F$96)*$C$96/$C$118),G96*0.85))</f>
        <v>#VALUE!</v>
      </c>
      <c r="K96" s="986" t="e">
        <f>IF(J96=0,0,IF($I$90="Oui",ROUNDUP(0.15*J96/0.85,2),G96-J96))</f>
        <v>#VALUE!</v>
      </c>
      <c r="L96" s="986" t="e">
        <f t="shared" si="71"/>
        <v>#VALUE!</v>
      </c>
      <c r="M96" s="1059" t="e">
        <f t="shared" si="72"/>
        <v>#VALUE!</v>
      </c>
      <c r="N96" s="986">
        <f>IF($F$96=0,0,IF($I$13=0,0,F96/$F$96*$C$96/$C$118)*$I$13-L96)</f>
        <v>0</v>
      </c>
      <c r="O96" s="986">
        <f>SUM(O90:O95)</f>
        <v>0</v>
      </c>
      <c r="P96" s="987">
        <f>SUM(P90:P95)</f>
        <v>0</v>
      </c>
    </row>
    <row r="97" spans="1:16" ht="15.95" thickBot="1"/>
    <row r="98" spans="1:16" ht="15.95" customHeight="1" thickBot="1">
      <c r="B98" s="1947" t="s">
        <v>16</v>
      </c>
      <c r="C98" s="1948"/>
      <c r="D98" s="1948"/>
      <c r="E98" s="1948"/>
      <c r="F98" s="1948"/>
      <c r="G98" s="1948"/>
      <c r="H98" s="1948"/>
      <c r="I98" s="1948"/>
      <c r="J98" s="1948"/>
      <c r="K98" s="1948"/>
      <c r="L98" s="1948"/>
      <c r="M98" s="1948"/>
      <c r="N98" s="1949"/>
    </row>
    <row r="99" spans="1:16" ht="101.1" thickBot="1">
      <c r="A99" s="1010" t="s">
        <v>520</v>
      </c>
      <c r="B99" s="1009" t="s">
        <v>77</v>
      </c>
      <c r="C99" s="1067" t="s">
        <v>373</v>
      </c>
      <c r="D99" s="1068" t="s">
        <v>521</v>
      </c>
      <c r="E99" s="1068" t="s">
        <v>522</v>
      </c>
      <c r="F99" s="1068" t="s">
        <v>523</v>
      </c>
      <c r="G99" s="1069" t="s">
        <v>524</v>
      </c>
      <c r="H99" s="1069" t="s">
        <v>525</v>
      </c>
      <c r="I99" s="1034" t="s">
        <v>493</v>
      </c>
      <c r="J99" s="1068" t="s">
        <v>494</v>
      </c>
      <c r="K99" s="1068" t="s">
        <v>526</v>
      </c>
      <c r="L99" s="1068" t="s">
        <v>498</v>
      </c>
      <c r="M99" s="1068" t="s">
        <v>499</v>
      </c>
      <c r="N99" s="1068" t="s">
        <v>500</v>
      </c>
      <c r="O99" s="1070" t="s">
        <v>442</v>
      </c>
      <c r="P99" s="1070" t="s">
        <v>527</v>
      </c>
    </row>
    <row r="100" spans="1:16" ht="15.95" customHeight="1">
      <c r="A100" s="1950" t="s">
        <v>528</v>
      </c>
      <c r="B100" s="1065" t="s">
        <v>85</v>
      </c>
      <c r="C100" s="1056">
        <f>SUMIFS('2.1- Investissements'!$AH$11:$AH$50,'2.1- Investissements'!$D$11:$D$50,B100,'2.1- Investissements'!$F$11:$F$50,"Oui",'2.1- Investissements'!$C$11:$C$50,$B$98)+SUMIFS('2.2- Amortissement'!$Q$9:$Q$23,'2.2- Amortissement'!$D$9:$D$23,B100,'2.2- Amortissement'!$F$9:$F$23,"Oui",'2.2- Amortissement'!$C$9:$C$23,$B$98)</f>
        <v>0</v>
      </c>
      <c r="D100" s="1057" t="e">
        <f>C100/$C$118</f>
        <v>#VALUE!</v>
      </c>
      <c r="E100" s="1058">
        <v>0.8</v>
      </c>
      <c r="F100" s="968">
        <f>IF(E100=0,0,C100*E100)</f>
        <v>0</v>
      </c>
      <c r="G100" s="968" t="e">
        <f>IF(OR(F100=0,ROUND(($L$13+$I$13)*$D$106+$O$106,2)&gt;=ROUND($C$106,2)),0,IF($L$13*$D$106+$O$106&gt;($C$106-$F$106),F100-(($L$13*$D$106)+$O$106-($C$106-$F$106))*(F100/$F$106),F100))</f>
        <v>#VALUE!</v>
      </c>
      <c r="H100" s="1072">
        <f>IF(C100=0,0,G100/C100)</f>
        <v>0</v>
      </c>
      <c r="I100" s="1698" t="e">
        <f>_xlfn.IFS($I$13="","Non concerné",$I$13*($C$106/$C$118)&lt;(0.15*$G$106),"Non",$I$13*($C$106/$C$118)=(0.15*$G$106),"Oui",$I$13*($C$106/$C$118)&gt;(0.15*$G$106),"Oui")</f>
        <v>#VALUE!</v>
      </c>
      <c r="J100" s="1059" t="e">
        <f>IF(G100=0,0,IF($I$100="Oui",G100-$I$13*((F100/$F$106)*$C$106/$C$118),G100*0.85))</f>
        <v>#VALUE!</v>
      </c>
      <c r="K100" s="888" t="e">
        <f>IF(J100=0,0,IF($I$100="Oui",0.15*J100/0.85,G100-J100))</f>
        <v>#VALUE!</v>
      </c>
      <c r="L100" s="1059">
        <f>IF(C100=0,0,IF($I$100="Oui",K100,$I$13*(F100/$F$106*$C$106/$C$118)))</f>
        <v>0</v>
      </c>
      <c r="M100" s="1163" t="e">
        <f>IF(K100=0,0,K100-L100)</f>
        <v>#VALUE!</v>
      </c>
      <c r="N100" s="1059">
        <f>IF($F$106=0,0,IF($I$13=0,0,(F100/$F$106*$C$106/$C$118)*$I$13-L100))</f>
        <v>0</v>
      </c>
      <c r="O100" s="1763" t="s">
        <v>516</v>
      </c>
      <c r="P100" s="1060">
        <f>IFERROR(C100-J100-K100-N100-O100-($L$13*C100/$C$106*$C$106/$C$118),0)</f>
        <v>0</v>
      </c>
    </row>
    <row r="101" spans="1:16" ht="15.95">
      <c r="A101" s="1950"/>
      <c r="B101" s="1066" t="s">
        <v>88</v>
      </c>
      <c r="C101" s="1061">
        <f>SUMIFS('2.1- Investissements'!$AH$11:$AH$50,'2.1- Investissements'!$D$11:$D$50,B101,'2.1- Investissements'!$F$11:$F$50,"Oui",'2.1- Investissements'!$C$11:$C$50,$B$98)+SUMIFS('2.2- Amortissement'!$Q$9:$Q$23,'2.2- Amortissement'!$D$9:$D$23,B101,'2.2- Amortissement'!$F$9:$F$23,"Oui",'2.2- Amortissement'!$C$9:$C$23,$B$98)</f>
        <v>0</v>
      </c>
      <c r="D101" s="1071" t="e">
        <f t="shared" ref="D101:D105" si="75">C101/$C$118</f>
        <v>#VALUE!</v>
      </c>
      <c r="E101" s="893">
        <v>0.8</v>
      </c>
      <c r="F101" s="894">
        <f t="shared" ref="F101:F105" si="76">IF(E101=0,0,C101*E101)</f>
        <v>0</v>
      </c>
      <c r="G101" s="894" t="e">
        <f t="shared" ref="G101:G105" si="77">IF(OR(F101=0,ROUND(($L$13+$I$13)*$D$106+$O$106,2)&gt;=ROUND($C$106,2)),0,IF($L$13*$D$106+$O$106&gt;($C$106-$F$106),F101-(($L$13*$D$106)+$O$106-($C$106-$F$106))*(F101/$F$106),F101))</f>
        <v>#VALUE!</v>
      </c>
      <c r="H101" s="981">
        <f t="shared" ref="H101:H105" si="78">IF(C101=0,0,G101/C101)</f>
        <v>0</v>
      </c>
      <c r="I101" s="1699"/>
      <c r="J101" s="887" t="e">
        <f t="shared" ref="J101:J105" si="79">IF(G101=0,0,IF($I$100="Oui",G101-$I$13*((F101/$F$106)*$C$106/$C$118),G101*0.85))</f>
        <v>#VALUE!</v>
      </c>
      <c r="K101" s="888" t="e">
        <f t="shared" ref="K101:K105" si="80">IF(J101=0,0,IF($I$100="Oui",0.15*J101/0.85,G101-J101))</f>
        <v>#VALUE!</v>
      </c>
      <c r="L101" s="887">
        <f t="shared" ref="L101:L106" si="81">IF(C101=0,0,IF($I$100="Oui",K101,$I$13*(F101/$F$106*$C$106/$C$118)))</f>
        <v>0</v>
      </c>
      <c r="M101" s="887" t="e">
        <f t="shared" ref="M101:M106" si="82">IF(K101=0,0,K101-L101)</f>
        <v>#VALUE!</v>
      </c>
      <c r="N101" s="887">
        <f t="shared" ref="N101:N105" si="83">IF($F$106=0,0,IF($I$13=0,0,(F101/$F$106*$C$106/$C$118)*$I$13-L101))</f>
        <v>0</v>
      </c>
      <c r="O101" s="1764"/>
      <c r="P101" s="1073">
        <f t="shared" ref="P101:P105" si="84">IFERROR(C101-J101-K101-N101-O101-($L$13*C101/$C$106*$C$106/$C$118),0)</f>
        <v>0</v>
      </c>
    </row>
    <row r="102" spans="1:16" ht="15.95">
      <c r="A102" s="1950"/>
      <c r="B102" s="1066" t="s">
        <v>91</v>
      </c>
      <c r="C102" s="1061">
        <f>SUMIFS('2.1- Investissements'!$AH$11:$AH$50,'2.1- Investissements'!$D$11:$D$50,B102,'2.1- Investissements'!$F$11:$F$50,"Oui",'2.1- Investissements'!$C$11:$C$50,$B$98)+SUMIFS('2.2- Amortissement'!$Q$9:$Q$23,'2.2- Amortissement'!$D$9:$D$23,B102,'2.2- Amortissement'!$F$9:$F$23,"Oui",'2.2- Amortissement'!$C$9:$C$23,$B$98)</f>
        <v>0</v>
      </c>
      <c r="D102" s="1071" t="e">
        <f t="shared" si="75"/>
        <v>#VALUE!</v>
      </c>
      <c r="E102" s="893">
        <v>0.8</v>
      </c>
      <c r="F102" s="894">
        <f t="shared" si="76"/>
        <v>0</v>
      </c>
      <c r="G102" s="894" t="e">
        <f t="shared" si="77"/>
        <v>#VALUE!</v>
      </c>
      <c r="H102" s="981">
        <f t="shared" si="78"/>
        <v>0</v>
      </c>
      <c r="I102" s="1699"/>
      <c r="J102" s="887" t="e">
        <f t="shared" si="79"/>
        <v>#VALUE!</v>
      </c>
      <c r="K102" s="888" t="e">
        <f t="shared" si="80"/>
        <v>#VALUE!</v>
      </c>
      <c r="L102" s="887">
        <f t="shared" si="81"/>
        <v>0</v>
      </c>
      <c r="M102" s="887" t="e">
        <f t="shared" si="82"/>
        <v>#VALUE!</v>
      </c>
      <c r="N102" s="887">
        <f t="shared" si="83"/>
        <v>0</v>
      </c>
      <c r="O102" s="1765"/>
      <c r="P102" s="1073">
        <f t="shared" si="84"/>
        <v>0</v>
      </c>
    </row>
    <row r="103" spans="1:16" ht="15.95" customHeight="1">
      <c r="A103" s="1950" t="s">
        <v>529</v>
      </c>
      <c r="B103" s="1066" t="s">
        <v>85</v>
      </c>
      <c r="C103" s="1061">
        <f>SUMIFS('2.1- Investissements'!$AH$11:$AH$50,'2.1- Investissements'!$D$11:$D$50,B103,'2.1- Investissements'!$F$11:$F$50,"Non",'2.1- Investissements'!$C$11:$C$50,$B$98)+SUMIFS('2.2- Amortissement'!$Q$9:$Q$23,'2.2- Amortissement'!$D$9:$D$23,B103,'2.2- Amortissement'!$F$9:$F$23,"Non",'2.2- Amortissement'!$C$9:$C$23,$B$98)+SUMIFS('3- Frais généraux'!$AF$10:$AF$49,'3- Frais généraux'!$D$10:$D$49,B103,'3- Frais généraux'!$C$10:$C$49,$B$98)+SUMIFS('1- Frais personnel'!$Q$9:$Q$68,'1- Frais personnel'!$D$9:$D$68,B103,'1- Frais personnel'!$C$9:$C$68,$B$98)+SUMIFS('4- Déplacement &amp; hébergement'!$AF$10:$AF$49,'4- Déplacement &amp; hébergement'!$D$10:$D$49,B103,'4- Déplacement &amp; hébergement'!$C$10:$C$49,$B$98)+SUMIFS('5- Contribution en nature'!$M$9:$M$48,'5- Contribution en nature'!$D$9:$D$48,B103,'5- Contribution en nature'!$C$9:$C$48,$B$98)+SUMIFS('6- Coût participation agri'!$N$9:$N$48,'6- Coût participation agri'!$D$9:$D$48, B103,'6- Coût participation agri'!$C$9:$C$48,$B$98)+SUMIFS('7- Taux forfaitaire'!$H$9:$H$32,'7- Taux forfaitaire'!$D$9:$D$32,B103,'7- Taux forfaitaire'!$C$9:$C$32,$B$98)</f>
        <v>0</v>
      </c>
      <c r="D103" s="1071" t="e">
        <f t="shared" si="75"/>
        <v>#VALUE!</v>
      </c>
      <c r="E103" s="893">
        <v>1</v>
      </c>
      <c r="F103" s="894">
        <f t="shared" si="76"/>
        <v>0</v>
      </c>
      <c r="G103" s="894" t="e">
        <f t="shared" si="77"/>
        <v>#VALUE!</v>
      </c>
      <c r="H103" s="981">
        <f t="shared" si="78"/>
        <v>0</v>
      </c>
      <c r="I103" s="1699"/>
      <c r="J103" s="887" t="e">
        <f t="shared" si="79"/>
        <v>#VALUE!</v>
      </c>
      <c r="K103" s="888" t="e">
        <f t="shared" si="80"/>
        <v>#VALUE!</v>
      </c>
      <c r="L103" s="887">
        <f t="shared" si="81"/>
        <v>0</v>
      </c>
      <c r="M103" s="887" t="e">
        <f t="shared" si="82"/>
        <v>#VALUE!</v>
      </c>
      <c r="N103" s="887">
        <f t="shared" si="83"/>
        <v>0</v>
      </c>
      <c r="O103" s="887">
        <f>SUMIFS('5- Contribution en nature'!$M$9:$M$48,'5- Contribution en nature'!$D$9:$D$48,'Syn pf bénéficiaire'!B103,'5- Contribution en nature'!$C$9:$C$48,"Partenaire 6")</f>
        <v>0</v>
      </c>
      <c r="P103" s="1073">
        <f t="shared" si="84"/>
        <v>0</v>
      </c>
    </row>
    <row r="104" spans="1:16" ht="15.95">
      <c r="A104" s="1950"/>
      <c r="B104" s="1066" t="s">
        <v>88</v>
      </c>
      <c r="C104" s="1061">
        <f>SUMIFS('2.1- Investissements'!$AH$11:$AH$50,'2.1- Investissements'!$D$11:$D$50,B104,'2.1- Investissements'!$F$11:$F$50,"Non",'2.1- Investissements'!$C$11:$C$50,$B$98)+SUMIFS('2.2- Amortissement'!$Q$9:$Q$23,'2.2- Amortissement'!$D$9:$D$23,B104,'2.2- Amortissement'!$F$9:$F$23,"Non",'2.2- Amortissement'!$C$9:$C$23,$B$98)+SUMIFS('3- Frais généraux'!$AF$10:$AF$49,'3- Frais généraux'!$D$10:$D$49,B104,'3- Frais généraux'!$C$10:$C$49,$B$98)+SUMIFS('1- Frais personnel'!$Q$9:$Q$68,'1- Frais personnel'!$D$9:$D$68,B104,'1- Frais personnel'!$C$9:$C$68,$B$98)+SUMIFS('4- Déplacement &amp; hébergement'!$AF$10:$AF$49,'4- Déplacement &amp; hébergement'!$D$10:$D$49,B104,'4- Déplacement &amp; hébergement'!$C$10:$C$49,$B$98)+SUMIFS('5- Contribution en nature'!$M$9:$M$48,'5- Contribution en nature'!$D$9:$D$48,B104,'5- Contribution en nature'!$C$9:$C$48,$B$98)+SUMIFS('6- Coût participation agri'!$N$9:$N$48,'6- Coût participation agri'!$D$9:$D$48, B104,'6- Coût participation agri'!$C$9:$C$48,$B$98)+SUMIFS('7- Taux forfaitaire'!$H$9:$H$32,'7- Taux forfaitaire'!$D$9:$D$32,B104,'7- Taux forfaitaire'!$C$9:$C$32,$B$98)</f>
        <v>0</v>
      </c>
      <c r="D104" s="1071" t="e">
        <f t="shared" si="75"/>
        <v>#VALUE!</v>
      </c>
      <c r="E104" s="893">
        <v>1</v>
      </c>
      <c r="F104" s="894">
        <f t="shared" si="76"/>
        <v>0</v>
      </c>
      <c r="G104" s="894" t="e">
        <f t="shared" si="77"/>
        <v>#VALUE!</v>
      </c>
      <c r="H104" s="981">
        <f t="shared" si="78"/>
        <v>0</v>
      </c>
      <c r="I104" s="1699"/>
      <c r="J104" s="887" t="e">
        <f t="shared" si="79"/>
        <v>#VALUE!</v>
      </c>
      <c r="K104" s="888" t="e">
        <f t="shared" si="80"/>
        <v>#VALUE!</v>
      </c>
      <c r="L104" s="887">
        <f t="shared" si="81"/>
        <v>0</v>
      </c>
      <c r="M104" s="887" t="e">
        <f t="shared" si="82"/>
        <v>#VALUE!</v>
      </c>
      <c r="N104" s="887">
        <f t="shared" si="83"/>
        <v>0</v>
      </c>
      <c r="O104" s="887">
        <f>SUMIFS('5- Contribution en nature'!$M$9:$M$48,'5- Contribution en nature'!$D$9:$D$48,'Syn pf bénéficiaire'!B104,'5- Contribution en nature'!$C$9:$C$48,"Partenaire 6")</f>
        <v>0</v>
      </c>
      <c r="P104" s="1073">
        <f t="shared" si="84"/>
        <v>0</v>
      </c>
    </row>
    <row r="105" spans="1:16" ht="17.100000000000001" thickBot="1">
      <c r="A105" s="1951"/>
      <c r="B105" s="1077" t="s">
        <v>91</v>
      </c>
      <c r="C105" s="1078">
        <f>SUMIFS('2.1- Investissements'!$AH$11:$AH$50,'2.1- Investissements'!$D$11:$D$50,B105,'2.1- Investissements'!$F$11:$F$50,"Non",'2.1- Investissements'!$C$11:$C$50,$B$98)+SUMIFS('2.2- Amortissement'!$Q$9:$Q$23,'2.2- Amortissement'!$D$9:$D$23,B105,'2.2- Amortissement'!$F$9:$F$23,"Non",'2.2- Amortissement'!$C$9:$C$23,$B$98)+SUMIFS('3- Frais généraux'!$AF$10:$AF$49,'3- Frais généraux'!$D$10:$D$49,B105,'3- Frais généraux'!$C$10:$C$49,$B$98)+SUMIFS('1- Frais personnel'!$Q$9:$Q$68,'1- Frais personnel'!$D$9:$D$68,B105,'1- Frais personnel'!$C$9:$C$68,$B$98)+SUMIFS('4- Déplacement &amp; hébergement'!$AF$10:$AF$49,'4- Déplacement &amp; hébergement'!$D$10:$D$49,B105,'4- Déplacement &amp; hébergement'!$C$10:$C$49,$B$98)+SUMIFS('5- Contribution en nature'!$M$9:$M$48,'5- Contribution en nature'!$D$9:$D$48,B105,'5- Contribution en nature'!$C$9:$C$48,$B$98)+SUMIFS('6- Coût participation agri'!$N$9:$N$48,'6- Coût participation agri'!$D$9:$D$48, B105,'6- Coût participation agri'!$C$9:$C$48,$B$98)+SUMIFS('7- Taux forfaitaire'!$H$9:$H$32,'7- Taux forfaitaire'!$D$9:$D$32,B105,'7- Taux forfaitaire'!$C$9:$C$32,$B$98)</f>
        <v>0</v>
      </c>
      <c r="D105" s="1079" t="e">
        <f t="shared" si="75"/>
        <v>#VALUE!</v>
      </c>
      <c r="E105" s="1080">
        <v>1</v>
      </c>
      <c r="F105" s="977">
        <f t="shared" si="76"/>
        <v>0</v>
      </c>
      <c r="G105" s="977" t="e">
        <f t="shared" si="77"/>
        <v>#VALUE!</v>
      </c>
      <c r="H105" s="1081">
        <f t="shared" si="78"/>
        <v>0</v>
      </c>
      <c r="I105" s="1700"/>
      <c r="J105" s="1045" t="e">
        <f t="shared" si="79"/>
        <v>#VALUE!</v>
      </c>
      <c r="K105" s="888" t="e">
        <f t="shared" si="80"/>
        <v>#VALUE!</v>
      </c>
      <c r="L105" s="1045">
        <f t="shared" si="81"/>
        <v>0</v>
      </c>
      <c r="M105" s="888" t="e">
        <f t="shared" si="82"/>
        <v>#VALUE!</v>
      </c>
      <c r="N105" s="1045">
        <f t="shared" si="83"/>
        <v>0</v>
      </c>
      <c r="O105" s="1045">
        <f>SUMIFS('5- Contribution en nature'!$M$9:$M$48,'5- Contribution en nature'!$D$9:$D$48,'Syn pf bénéficiaire'!B105,'5- Contribution en nature'!$C$9:$C$48,"Partenaire 6")</f>
        <v>0</v>
      </c>
      <c r="P105" s="1082">
        <f t="shared" si="84"/>
        <v>0</v>
      </c>
    </row>
    <row r="106" spans="1:16" ht="33" thickBot="1">
      <c r="B106" s="1087" t="s">
        <v>530</v>
      </c>
      <c r="C106" s="1088" t="str">
        <f>IF($D$3=0,"",SUM(C100:C105))</f>
        <v/>
      </c>
      <c r="D106" s="983" t="e">
        <f>C106/$E$26</f>
        <v>#VALUE!</v>
      </c>
      <c r="E106" s="984"/>
      <c r="F106" s="684">
        <f>SUM(F100:F105)</f>
        <v>0</v>
      </c>
      <c r="G106" s="684" t="e">
        <f>IF(OR(C106=0,ROUND(($L$13+$I$13)*$D$106+$O$106,2)&gt;=ROUND($C$106,2)),0,IF($L$13*$D$106+$O$106&gt;($C$106-$F$106),F106-(($L$13*$D$106)+$O$106-($C$106-$F$106))*(F106/$F$106),F106))</f>
        <v>#VALUE!</v>
      </c>
      <c r="H106" s="985" t="e">
        <f>IF(C106=0,0,G106/C106)</f>
        <v>#VALUE!</v>
      </c>
      <c r="I106" s="1089"/>
      <c r="J106" s="986" t="e">
        <f>IF(G106=0,0,IF($I$100="Oui",G106-$I$13*((F106/$F$106)*$C$106/$C$118),G106*0.85))</f>
        <v>#VALUE!</v>
      </c>
      <c r="K106" s="986" t="e">
        <f>IF(J106=0,0,IF($I$100="Oui",ROUNDUP(0.15*J106/0.85,2),G106-J106))</f>
        <v>#VALUE!</v>
      </c>
      <c r="L106" s="986" t="e">
        <f t="shared" si="81"/>
        <v>#VALUE!</v>
      </c>
      <c r="M106" s="1059" t="e">
        <f t="shared" si="82"/>
        <v>#VALUE!</v>
      </c>
      <c r="N106" s="986">
        <f>IF($F$106=0,0,IF($I$13=0,0,F106/$F$106*$C$106/$C$118)*$I$13-L106)</f>
        <v>0</v>
      </c>
      <c r="O106" s="986">
        <f>SUM(O100:O105)</f>
        <v>0</v>
      </c>
      <c r="P106" s="987">
        <f>SUM(P100:P105)</f>
        <v>0</v>
      </c>
    </row>
    <row r="107" spans="1:16" ht="15.95" thickBot="1"/>
    <row r="108" spans="1:16" ht="15.95" thickBot="1">
      <c r="B108" s="1947" t="s">
        <v>17</v>
      </c>
      <c r="C108" s="1948"/>
      <c r="D108" s="1948"/>
      <c r="E108" s="1948"/>
      <c r="F108" s="1948"/>
      <c r="G108" s="1948"/>
      <c r="H108" s="1948"/>
      <c r="I108" s="1948"/>
      <c r="J108" s="1948"/>
      <c r="K108" s="1948"/>
      <c r="L108" s="1948"/>
      <c r="M108" s="1948"/>
      <c r="N108" s="1949"/>
    </row>
    <row r="109" spans="1:16" ht="101.1" thickBot="1">
      <c r="A109" s="1010" t="s">
        <v>520</v>
      </c>
      <c r="B109" s="1009" t="s">
        <v>77</v>
      </c>
      <c r="C109" s="1067" t="s">
        <v>373</v>
      </c>
      <c r="D109" s="1068" t="s">
        <v>521</v>
      </c>
      <c r="E109" s="1068" t="s">
        <v>522</v>
      </c>
      <c r="F109" s="1068" t="s">
        <v>523</v>
      </c>
      <c r="G109" s="1069" t="s">
        <v>524</v>
      </c>
      <c r="H109" s="1069" t="s">
        <v>525</v>
      </c>
      <c r="I109" s="1034" t="s">
        <v>493</v>
      </c>
      <c r="J109" s="1068" t="s">
        <v>494</v>
      </c>
      <c r="K109" s="994" t="s">
        <v>526</v>
      </c>
      <c r="L109" s="1068" t="s">
        <v>498</v>
      </c>
      <c r="M109" s="1068" t="s">
        <v>499</v>
      </c>
      <c r="N109" s="1068" t="s">
        <v>500</v>
      </c>
      <c r="O109" s="1070" t="s">
        <v>442</v>
      </c>
      <c r="P109" s="1070" t="s">
        <v>527</v>
      </c>
    </row>
    <row r="110" spans="1:16" ht="15.95">
      <c r="A110" s="1950" t="s">
        <v>528</v>
      </c>
      <c r="B110" s="1065" t="s">
        <v>85</v>
      </c>
      <c r="C110" s="1056">
        <f>SUMIFS('2.1- Investissements'!$AH$11:$AH$50,'2.1- Investissements'!$D$11:$D$50,B110,'2.1- Investissements'!$F$11:$F$50,"Oui",'2.1- Investissements'!$C$11:$C$50,$B$108)+SUMIFS('2.2- Amortissement'!$Q$9:$Q$23,'2.2- Amortissement'!$D$9:$D$23,B110,'2.2- Amortissement'!$F$9:$F$23,"Oui",'2.2- Amortissement'!$C$9:$C$23,$B$108)</f>
        <v>0</v>
      </c>
      <c r="D110" s="1057" t="e">
        <f>C110/$C$118</f>
        <v>#VALUE!</v>
      </c>
      <c r="E110" s="1058">
        <v>0.8</v>
      </c>
      <c r="F110" s="968">
        <f>IF(E110=0,0,C110*E110)</f>
        <v>0</v>
      </c>
      <c r="G110" s="968" t="e">
        <f>IF(OR(F110=0,ROUND(($L$13+$I$13)*$D$116+$O$116,2)&gt;=ROUND($C$116,2)),0,IF($L$13*$D$116+$O$116&gt;($C$116-$F$116),F110-(($L$13*$D$116)+$O$116-($C$116-$F$116))*(F110/$F$116),F110))</f>
        <v>#VALUE!</v>
      </c>
      <c r="H110" s="1072">
        <f>IF(C110=0,0,G110/C110)</f>
        <v>0</v>
      </c>
      <c r="I110" s="1698" t="e">
        <f>_xlfn.IFS($I$13="","Non concerné",$I$13*($C$116/$C$118)&lt;(0.15*$G$116),"Non",$I$13*($C$116/$C$118)=(0.15*$G$116),"Oui",$I$13*($C$116/$C$118)&gt;(0.15*$G$116),"Oui")</f>
        <v>#VALUE!</v>
      </c>
      <c r="J110" s="1059" t="e">
        <f>IF(G110=0,0,IF($I$110="Oui",G110-$I$13*((F110/$F$116)*$C$116/$C$118),G110*0.85))</f>
        <v>#VALUE!</v>
      </c>
      <c r="K110" s="888" t="e">
        <f>IF(J110=0,0,IF($I$110="Oui",0.15*J110/0.85,G110-J110))</f>
        <v>#VALUE!</v>
      </c>
      <c r="L110" s="1059">
        <f>IF(C110=0,0,IF($I$110="Oui",K110,$I$13*(F110/$F$116*$C$116/$C$118)))</f>
        <v>0</v>
      </c>
      <c r="M110" s="1163" t="e">
        <f>IF(K110=0,0,K110-L110)</f>
        <v>#VALUE!</v>
      </c>
      <c r="N110" s="1059">
        <f>IF($F$116=0,0,IF($I$13=0,0,(F110/$F$116*$C$116/$C$118)*$I$13-L110))</f>
        <v>0</v>
      </c>
      <c r="O110" s="1763" t="s">
        <v>516</v>
      </c>
      <c r="P110" s="1060">
        <f>IFERROR(C110-J110-K110-N110-O110-($L$13*C110/$C$116*$C$116/$C$118),0)</f>
        <v>0</v>
      </c>
    </row>
    <row r="111" spans="1:16" ht="15.95">
      <c r="A111" s="1950"/>
      <c r="B111" s="1066" t="s">
        <v>88</v>
      </c>
      <c r="C111" s="1061">
        <f>SUMIFS('2.1- Investissements'!$AH$11:$AH$50,'2.1- Investissements'!$D$11:$D$50,B111,'2.1- Investissements'!$F$11:$F$50,"Oui",'2.1- Investissements'!$C$11:$C$50,$B$108)+SUMIFS('2.2- Amortissement'!$Q$9:$Q$23,'2.2- Amortissement'!$D$9:$D$23,B111,'2.2- Amortissement'!$F$9:$F$23,"Oui",'2.2- Amortissement'!$C$9:$C$23,$B$108)</f>
        <v>0</v>
      </c>
      <c r="D111" s="1071" t="e">
        <f t="shared" ref="D111:D115" si="85">C111/$C$118</f>
        <v>#VALUE!</v>
      </c>
      <c r="E111" s="893">
        <v>0.8</v>
      </c>
      <c r="F111" s="894">
        <f t="shared" ref="F111:F115" si="86">IF(E111=0,0,C111*E111)</f>
        <v>0</v>
      </c>
      <c r="G111" s="894" t="e">
        <f t="shared" ref="G111:G115" si="87">IF(OR(F111=0,ROUND(($L$13+$I$13)*$D$116+$O$116,2)&gt;=ROUND($C$116,2)),0,IF($L$13*$D$116+$O$116&gt;($C$116-$F$116),F111-(($L$13*$D$116)+$O$116-($C$116-$F$116))*(F111/$F$116),F111))</f>
        <v>#VALUE!</v>
      </c>
      <c r="H111" s="981">
        <f t="shared" ref="H111:H115" si="88">IF(C111=0,0,G111/C111)</f>
        <v>0</v>
      </c>
      <c r="I111" s="1699"/>
      <c r="J111" s="887" t="e">
        <f t="shared" ref="J111:J115" si="89">IF(G111=0,0,IF($I$110="Oui",G111-$I$13*((F111/$F$116)*$C$116/$C$118),G111*0.85))</f>
        <v>#VALUE!</v>
      </c>
      <c r="K111" s="888" t="e">
        <f t="shared" ref="K111:K115" si="90">IF(J111=0,0,IF($I$110="Oui",0.15*J111/0.85,G111-J111))</f>
        <v>#VALUE!</v>
      </c>
      <c r="L111" s="887">
        <f t="shared" ref="L111:L116" si="91">IF(C111=0,0,IF($I$110="Oui",K111,$I$13*(F111/$F$116*$C$116/$C$118)))</f>
        <v>0</v>
      </c>
      <c r="M111" s="887" t="e">
        <f t="shared" ref="M111:M116" si="92">IF(K111=0,0,K111-L111)</f>
        <v>#VALUE!</v>
      </c>
      <c r="N111" s="887">
        <f t="shared" ref="N111:N115" si="93">IF($F$116=0,0,IF($I$13=0,0,(F111/$F$116*$C$116/$C$118)*$I$13-L111))</f>
        <v>0</v>
      </c>
      <c r="O111" s="1764"/>
      <c r="P111" s="1073">
        <f t="shared" ref="P111:P115" si="94">IFERROR(C111-J111-K111-N111-O111-($L$13*C111/$C$116*$C$116/$C$118),0)</f>
        <v>0</v>
      </c>
    </row>
    <row r="112" spans="1:16" ht="15.95">
      <c r="A112" s="1950"/>
      <c r="B112" s="1066" t="s">
        <v>91</v>
      </c>
      <c r="C112" s="1061">
        <f>SUMIFS('2.1- Investissements'!$AH$11:$AH$50,'2.1- Investissements'!$D$11:$D$50,B112,'2.1- Investissements'!$F$11:$F$50,"Oui",'2.1- Investissements'!$C$11:$C$50,$B$108)+SUMIFS('2.2- Amortissement'!$Q$9:$Q$23,'2.2- Amortissement'!$D$9:$D$23,B112,'2.2- Amortissement'!$F$9:$F$23,"Oui",'2.2- Amortissement'!$C$9:$C$23,$B$108)</f>
        <v>0</v>
      </c>
      <c r="D112" s="1071" t="e">
        <f t="shared" si="85"/>
        <v>#VALUE!</v>
      </c>
      <c r="E112" s="893">
        <v>0.8</v>
      </c>
      <c r="F112" s="894">
        <f t="shared" si="86"/>
        <v>0</v>
      </c>
      <c r="G112" s="894" t="e">
        <f t="shared" si="87"/>
        <v>#VALUE!</v>
      </c>
      <c r="H112" s="981">
        <f t="shared" si="88"/>
        <v>0</v>
      </c>
      <c r="I112" s="1699"/>
      <c r="J112" s="887" t="e">
        <f t="shared" si="89"/>
        <v>#VALUE!</v>
      </c>
      <c r="K112" s="888" t="e">
        <f t="shared" si="90"/>
        <v>#VALUE!</v>
      </c>
      <c r="L112" s="887">
        <f t="shared" si="91"/>
        <v>0</v>
      </c>
      <c r="M112" s="887" t="e">
        <f t="shared" si="92"/>
        <v>#VALUE!</v>
      </c>
      <c r="N112" s="887">
        <f t="shared" si="93"/>
        <v>0</v>
      </c>
      <c r="O112" s="1765"/>
      <c r="P112" s="1073">
        <f t="shared" si="94"/>
        <v>0</v>
      </c>
    </row>
    <row r="113" spans="1:16" ht="15.95">
      <c r="A113" s="1950" t="s">
        <v>529</v>
      </c>
      <c r="B113" s="1066" t="s">
        <v>85</v>
      </c>
      <c r="C113" s="1061">
        <f>SUMIFS('2.1- Investissements'!$AH$11:$AH$50,'2.1- Investissements'!$D$11:$D$50,B113,'2.1- Investissements'!$F$11:$F$50,"Non",'2.1- Investissements'!$C$11:$C$50,$B$108)+SUMIFS('2.2- Amortissement'!$Q$9:$Q$23,'2.2- Amortissement'!$D$9:$D$23,B113,'2.2- Amortissement'!$F$9:$F$23,"Non",'2.2- Amortissement'!$C$9:$C$23,$B$108)+SUMIFS('3- Frais généraux'!$AF$10:$AF$49,'3- Frais généraux'!$D$10:$D$49,B113,'3- Frais généraux'!$C$10:$C$49,$B$108)+SUMIFS('1- Frais personnel'!$Q$9:$Q$68,'1- Frais personnel'!$D$9:$D$68,B113,'1- Frais personnel'!$C$9:$C$68,$B$108)+SUMIFS('4- Déplacement &amp; hébergement'!$AF$10:$AF$49,'4- Déplacement &amp; hébergement'!$D$10:$D$49,B113,'4- Déplacement &amp; hébergement'!$C$10:$C$49,$B$108)+SUMIFS('5- Contribution en nature'!$M$9:$M$48,'5- Contribution en nature'!$D$9:$D$48,B113,'5- Contribution en nature'!$C$9:$C$48,$B$108)+SUMIFS('6- Coût participation agri'!$N$9:$N$48,'6- Coût participation agri'!$D$9:$D$48, B113,'6- Coût participation agri'!$C$9:$C$48,$B$108)+SUMIFS('7- Taux forfaitaire'!$H$9:$H$32,'7- Taux forfaitaire'!$D$9:$D$32,B113,'7- Taux forfaitaire'!$C$9:$C$32,$B$108)</f>
        <v>0</v>
      </c>
      <c r="D113" s="1071" t="e">
        <f t="shared" si="85"/>
        <v>#VALUE!</v>
      </c>
      <c r="E113" s="893">
        <v>1</v>
      </c>
      <c r="F113" s="894">
        <f t="shared" si="86"/>
        <v>0</v>
      </c>
      <c r="G113" s="894" t="e">
        <f t="shared" si="87"/>
        <v>#VALUE!</v>
      </c>
      <c r="H113" s="981">
        <f t="shared" si="88"/>
        <v>0</v>
      </c>
      <c r="I113" s="1699"/>
      <c r="J113" s="887" t="e">
        <f t="shared" si="89"/>
        <v>#VALUE!</v>
      </c>
      <c r="K113" s="888" t="e">
        <f t="shared" si="90"/>
        <v>#VALUE!</v>
      </c>
      <c r="L113" s="887">
        <f t="shared" si="91"/>
        <v>0</v>
      </c>
      <c r="M113" s="887" t="e">
        <f t="shared" si="92"/>
        <v>#VALUE!</v>
      </c>
      <c r="N113" s="887">
        <f t="shared" si="93"/>
        <v>0</v>
      </c>
      <c r="O113" s="887">
        <f>SUMIFS('5- Contribution en nature'!$M$9:$M$48,'5- Contribution en nature'!$D$9:$D$48,'Syn pf bénéficiaire'!B113,'5- Contribution en nature'!$C$9:$C$48,"Partenaire 7")</f>
        <v>0</v>
      </c>
      <c r="P113" s="1073">
        <f t="shared" si="94"/>
        <v>0</v>
      </c>
    </row>
    <row r="114" spans="1:16" ht="15.95">
      <c r="A114" s="1950"/>
      <c r="B114" s="1066" t="s">
        <v>88</v>
      </c>
      <c r="C114" s="1061">
        <f>SUMIFS('2.1- Investissements'!$AH$11:$AH$50,'2.1- Investissements'!$D$11:$D$50,B114,'2.1- Investissements'!$F$11:$F$50,"Non",'2.1- Investissements'!$C$11:$C$50,$B$108)+SUMIFS('2.2- Amortissement'!$Q$9:$Q$23,'2.2- Amortissement'!$D$9:$D$23,B114,'2.2- Amortissement'!$F$9:$F$23,"Non",'2.2- Amortissement'!$C$9:$C$23,$B$108)+SUMIFS('3- Frais généraux'!$AF$10:$AF$49,'3- Frais généraux'!$D$10:$D$49,B114,'3- Frais généraux'!$C$10:$C$49,$B$108)+SUMIFS('1- Frais personnel'!$Q$9:$Q$68,'1- Frais personnel'!$D$9:$D$68,B114,'1- Frais personnel'!$C$9:$C$68,$B$108)+SUMIFS('4- Déplacement &amp; hébergement'!$AF$10:$AF$49,'4- Déplacement &amp; hébergement'!$D$10:$D$49,B114,'4- Déplacement &amp; hébergement'!$C$10:$C$49,$B$108)+SUMIFS('5- Contribution en nature'!$M$9:$M$48,'5- Contribution en nature'!$D$9:$D$48,B114,'5- Contribution en nature'!$C$9:$C$48,$B$108)+SUMIFS('6- Coût participation agri'!$N$9:$N$48,'6- Coût participation agri'!$D$9:$D$48, B114,'6- Coût participation agri'!$C$9:$C$48,$B$108)+SUMIFS('7- Taux forfaitaire'!$H$9:$H$32,'7- Taux forfaitaire'!$D$9:$D$32,B114,'7- Taux forfaitaire'!$C$9:$C$32,$B$108)</f>
        <v>0</v>
      </c>
      <c r="D114" s="1071" t="e">
        <f t="shared" si="85"/>
        <v>#VALUE!</v>
      </c>
      <c r="E114" s="893">
        <v>1</v>
      </c>
      <c r="F114" s="894">
        <f t="shared" si="86"/>
        <v>0</v>
      </c>
      <c r="G114" s="894" t="e">
        <f t="shared" si="87"/>
        <v>#VALUE!</v>
      </c>
      <c r="H114" s="981">
        <f t="shared" si="88"/>
        <v>0</v>
      </c>
      <c r="I114" s="1699"/>
      <c r="J114" s="887" t="e">
        <f t="shared" si="89"/>
        <v>#VALUE!</v>
      </c>
      <c r="K114" s="888" t="e">
        <f t="shared" si="90"/>
        <v>#VALUE!</v>
      </c>
      <c r="L114" s="887">
        <f t="shared" si="91"/>
        <v>0</v>
      </c>
      <c r="M114" s="887" t="e">
        <f t="shared" si="92"/>
        <v>#VALUE!</v>
      </c>
      <c r="N114" s="887">
        <f t="shared" si="93"/>
        <v>0</v>
      </c>
      <c r="O114" s="887">
        <f>SUMIFS('5- Contribution en nature'!$M$9:$M$48,'5- Contribution en nature'!$D$9:$D$48,'Syn pf bénéficiaire'!B114,'5- Contribution en nature'!$C$9:$C$48,"Partenaire 7")</f>
        <v>0</v>
      </c>
      <c r="P114" s="1073">
        <f t="shared" si="94"/>
        <v>0</v>
      </c>
    </row>
    <row r="115" spans="1:16" ht="17.100000000000001" thickBot="1">
      <c r="A115" s="1951"/>
      <c r="B115" s="1077" t="s">
        <v>91</v>
      </c>
      <c r="C115" s="1078">
        <f>SUMIFS('2.1- Investissements'!$AH$11:$AH$50,'2.1- Investissements'!$D$11:$D$50,B115,'2.1- Investissements'!$F$11:$F$50,"Non",'2.1- Investissements'!$C$11:$C$50,$B$108)+SUMIFS('2.2- Amortissement'!$Q$9:$Q$23,'2.2- Amortissement'!$D$9:$D$23,B115,'2.2- Amortissement'!$F$9:$F$23,"Non",'2.2- Amortissement'!$C$9:$C$23,$B$108)+SUMIFS('3- Frais généraux'!$AF$10:$AF$49,'3- Frais généraux'!$D$10:$D$49,B115,'3- Frais généraux'!$C$10:$C$49,$B$108)+SUMIFS('1- Frais personnel'!$Q$9:$Q$68,'1- Frais personnel'!$D$9:$D$68,B115,'1- Frais personnel'!$C$9:$C$68,$B$108)+SUMIFS('4- Déplacement &amp; hébergement'!$AF$10:$AF$49,'4- Déplacement &amp; hébergement'!$D$10:$D$49,B115,'4- Déplacement &amp; hébergement'!$C$10:$C$49,$B$108)+SUMIFS('5- Contribution en nature'!$M$9:$M$48,'5- Contribution en nature'!$D$9:$D$48,B115,'5- Contribution en nature'!$C$9:$C$48,$B$108)+SUMIFS('6- Coût participation agri'!$N$9:$N$48,'6- Coût participation agri'!$D$9:$D$48, B115,'6- Coût participation agri'!$C$9:$C$48,$B$108)+SUMIFS('7- Taux forfaitaire'!$H$9:$H$32,'7- Taux forfaitaire'!$D$9:$D$32,B115,'7- Taux forfaitaire'!$C$9:$C$32,$B$108)</f>
        <v>0</v>
      </c>
      <c r="D115" s="1079" t="e">
        <f t="shared" si="85"/>
        <v>#VALUE!</v>
      </c>
      <c r="E115" s="1080">
        <v>1</v>
      </c>
      <c r="F115" s="977">
        <f t="shared" si="86"/>
        <v>0</v>
      </c>
      <c r="G115" s="977" t="e">
        <f t="shared" si="87"/>
        <v>#VALUE!</v>
      </c>
      <c r="H115" s="1081">
        <f t="shared" si="88"/>
        <v>0</v>
      </c>
      <c r="I115" s="1700"/>
      <c r="J115" s="1045" t="e">
        <f t="shared" si="89"/>
        <v>#VALUE!</v>
      </c>
      <c r="K115" s="888" t="e">
        <f t="shared" si="90"/>
        <v>#VALUE!</v>
      </c>
      <c r="L115" s="1045">
        <f t="shared" si="91"/>
        <v>0</v>
      </c>
      <c r="M115" s="888" t="e">
        <f t="shared" si="92"/>
        <v>#VALUE!</v>
      </c>
      <c r="N115" s="1045">
        <f t="shared" si="93"/>
        <v>0</v>
      </c>
      <c r="O115" s="1045">
        <f>SUMIFS('5- Contribution en nature'!$M$9:$M$48,'5- Contribution en nature'!$D$9:$D$48,'Syn pf bénéficiaire'!B115,'5- Contribution en nature'!$C$9:$C$48,"Partenaire 7")</f>
        <v>0</v>
      </c>
      <c r="P115" s="1082">
        <f t="shared" si="94"/>
        <v>0</v>
      </c>
    </row>
    <row r="116" spans="1:16" ht="33" thickBot="1">
      <c r="B116" s="1087" t="s">
        <v>530</v>
      </c>
      <c r="C116" s="1088" t="str">
        <f>IF($D$3=0,"",SUM(C110:C115))</f>
        <v/>
      </c>
      <c r="D116" s="983" t="e">
        <f>C116/$E$26</f>
        <v>#VALUE!</v>
      </c>
      <c r="E116" s="984"/>
      <c r="F116" s="684">
        <f>SUM(F110:F115)</f>
        <v>0</v>
      </c>
      <c r="G116" s="684" t="e">
        <f>IF(OR(C116=0,ROUND(($L$13+$I$13)*$D$116+$O$116,2)&gt;=ROUND($C$116,2)),0,IF($L$13*$D$116+$O$116&gt;($C$116-$F$116),F116-(($L$13*$D$116)+$O$116-($C$116-$F$116))*(F116/$F$116),F116))</f>
        <v>#VALUE!</v>
      </c>
      <c r="H116" s="985" t="e">
        <f>IF(C116=0,0,G116/C116)</f>
        <v>#VALUE!</v>
      </c>
      <c r="I116" s="1089"/>
      <c r="J116" s="986" t="e">
        <f>IF(G116=0,0,IF($I$100="Oui",G116-$I$13*((F116/$F$116)*$C$116/$C$118),G116*0.85))</f>
        <v>#VALUE!</v>
      </c>
      <c r="K116" s="986" t="e">
        <f>IF(J116=0,0,IF($I$110="Oui",ROUNDUP(0.15*J116/0.85,2),G116-J116))</f>
        <v>#VALUE!</v>
      </c>
      <c r="L116" s="986" t="e">
        <f t="shared" si="91"/>
        <v>#VALUE!</v>
      </c>
      <c r="M116" s="1059" t="e">
        <f t="shared" si="92"/>
        <v>#VALUE!</v>
      </c>
      <c r="N116" s="986">
        <f>IF($F$116=0,0,IF($I$13=0,0,F116/$F$116*$C$116/$C$118)*$I$13-L116)</f>
        <v>0</v>
      </c>
      <c r="O116" s="986">
        <f>SUM(O110:O115)</f>
        <v>0</v>
      </c>
      <c r="P116" s="987">
        <f>SUM(P110:P115)</f>
        <v>0</v>
      </c>
    </row>
    <row r="118" spans="1:16" ht="15.95">
      <c r="B118" s="1011" t="s">
        <v>415</v>
      </c>
      <c r="C118" s="1012" t="e">
        <f>C46+C56+C66+C76+C86+C96+C106+C116</f>
        <v>#VALUE!</v>
      </c>
      <c r="D118" s="1012"/>
      <c r="E118" s="1012"/>
      <c r="F118" s="1012">
        <f>F46+F56+F66+F76+F86+F96+F106+F116</f>
        <v>0</v>
      </c>
      <c r="G118" s="1012" t="e">
        <f t="shared" ref="G118" si="95">G46+G56+G66+G76+G86+G96+G106+G116</f>
        <v>#VALUE!</v>
      </c>
      <c r="H118" s="1012"/>
      <c r="I118" s="1012"/>
      <c r="J118" s="1012" t="e">
        <f>ROUNDDOWN(J46+J56+J66+J76+J86+J96+J106+J116,2)</f>
        <v>#VALUE!</v>
      </c>
      <c r="K118" s="1012" t="e">
        <f>ROUNDUP(K46+K56+K66+K76+K86+K96+K106+K116,2)</f>
        <v>#VALUE!</v>
      </c>
      <c r="L118" s="1012" t="e">
        <f t="shared" ref="L118:P118" si="96">L46+L56+L66+L76+L86+L96+L106+L116</f>
        <v>#VALUE!</v>
      </c>
      <c r="M118" s="1012" t="e">
        <f t="shared" si="96"/>
        <v>#VALUE!</v>
      </c>
      <c r="N118" s="1012">
        <f t="shared" si="96"/>
        <v>0</v>
      </c>
      <c r="O118" s="1012">
        <f t="shared" si="96"/>
        <v>0</v>
      </c>
      <c r="P118" s="1012">
        <f t="shared" si="96"/>
        <v>0</v>
      </c>
    </row>
  </sheetData>
  <sheetProtection formatCells="0" formatColumns="0" formatRows="0" insertColumns="0" insertRows="0" insertHyperlinks="0" deleteColumns="0" deleteRows="0" sort="0" autoFilter="0" pivotTables="0"/>
  <mergeCells count="103">
    <mergeCell ref="O110:O112"/>
    <mergeCell ref="O60:O62"/>
    <mergeCell ref="O70:O72"/>
    <mergeCell ref="O80:O82"/>
    <mergeCell ref="O90:O92"/>
    <mergeCell ref="O100:O102"/>
    <mergeCell ref="AG20:AG22"/>
    <mergeCell ref="AA20:AA25"/>
    <mergeCell ref="X20:X26"/>
    <mergeCell ref="Y20:Y26"/>
    <mergeCell ref="O20:O25"/>
    <mergeCell ref="T20:T22"/>
    <mergeCell ref="B23:B25"/>
    <mergeCell ref="B58:N58"/>
    <mergeCell ref="B38:P38"/>
    <mergeCell ref="B37:P37"/>
    <mergeCell ref="O40:O42"/>
    <mergeCell ref="O50:O52"/>
    <mergeCell ref="F18:F19"/>
    <mergeCell ref="N20:N25"/>
    <mergeCell ref="B18:B19"/>
    <mergeCell ref="C18:C19"/>
    <mergeCell ref="D18:D19"/>
    <mergeCell ref="B20:B22"/>
    <mergeCell ref="I18:I19"/>
    <mergeCell ref="L20:L25"/>
    <mergeCell ref="AB20:AB25"/>
    <mergeCell ref="B5:C5"/>
    <mergeCell ref="E6:F6"/>
    <mergeCell ref="E2:G5"/>
    <mergeCell ref="E7:F7"/>
    <mergeCell ref="E13:F13"/>
    <mergeCell ref="E11:F11"/>
    <mergeCell ref="B10:C10"/>
    <mergeCell ref="B11:C11"/>
    <mergeCell ref="I7:N7"/>
    <mergeCell ref="J8:J9"/>
    <mergeCell ref="K8:K9"/>
    <mergeCell ref="M8:M9"/>
    <mergeCell ref="N8:N9"/>
    <mergeCell ref="B9:C9"/>
    <mergeCell ref="B8:C8"/>
    <mergeCell ref="E8:F8"/>
    <mergeCell ref="E9:F9"/>
    <mergeCell ref="A40:A42"/>
    <mergeCell ref="A43:A45"/>
    <mergeCell ref="B48:N48"/>
    <mergeCell ref="A50:A52"/>
    <mergeCell ref="A53:A55"/>
    <mergeCell ref="I50:I55"/>
    <mergeCell ref="I40:I45"/>
    <mergeCell ref="U1:V1"/>
    <mergeCell ref="K2:K3"/>
    <mergeCell ref="K5:R5"/>
    <mergeCell ref="L2:L3"/>
    <mergeCell ref="M2:M3"/>
    <mergeCell ref="N2:N3"/>
    <mergeCell ref="O2:O3"/>
    <mergeCell ref="P2:P3"/>
    <mergeCell ref="Q2:Q3"/>
    <mergeCell ref="B1:T1"/>
    <mergeCell ref="J2:J3"/>
    <mergeCell ref="B2:D2"/>
    <mergeCell ref="B3:C3"/>
    <mergeCell ref="B4:C4"/>
    <mergeCell ref="B6:C6"/>
    <mergeCell ref="I2:I5"/>
    <mergeCell ref="B7:C7"/>
    <mergeCell ref="B78:N78"/>
    <mergeCell ref="A80:A82"/>
    <mergeCell ref="A83:A85"/>
    <mergeCell ref="B88:N88"/>
    <mergeCell ref="A90:A92"/>
    <mergeCell ref="I80:I85"/>
    <mergeCell ref="A60:A62"/>
    <mergeCell ref="A63:A65"/>
    <mergeCell ref="B68:N68"/>
    <mergeCell ref="A70:A72"/>
    <mergeCell ref="A73:A75"/>
    <mergeCell ref="I60:I65"/>
    <mergeCell ref="I70:I75"/>
    <mergeCell ref="B108:N108"/>
    <mergeCell ref="A110:A112"/>
    <mergeCell ref="A113:A115"/>
    <mergeCell ref="A93:A95"/>
    <mergeCell ref="B98:N98"/>
    <mergeCell ref="A100:A102"/>
    <mergeCell ref="A103:A105"/>
    <mergeCell ref="I90:I95"/>
    <mergeCell ref="I100:I105"/>
    <mergeCell ref="I110:I115"/>
    <mergeCell ref="P7:S7"/>
    <mergeCell ref="P9:Q9"/>
    <mergeCell ref="R9:S9"/>
    <mergeCell ref="W30:W31"/>
    <mergeCell ref="X33:AE33"/>
    <mergeCell ref="AD30:AD31"/>
    <mergeCell ref="AC30:AC31"/>
    <mergeCell ref="AB30:AB31"/>
    <mergeCell ref="AA30:AA31"/>
    <mergeCell ref="Z30:Z31"/>
    <mergeCell ref="Y30:Y31"/>
    <mergeCell ref="X30:X31"/>
  </mergeCells>
  <phoneticPr fontId="31" type="noConversion"/>
  <conditionalFormatting sqref="G6">
    <cfRule type="notContainsText" dxfId="9" priority="32" stopIfTrue="1" operator="notContains" text="est">
      <formula>ISERROR(SEARCH("est",G6))</formula>
    </cfRule>
    <cfRule type="containsText" dxfId="8" priority="33" operator="containsText" text="est">
      <formula>NOT(ISERROR(SEARCH("est",G6)))</formula>
    </cfRule>
  </conditionalFormatting>
  <conditionalFormatting sqref="G7:G8">
    <cfRule type="expression" dxfId="7" priority="1">
      <formula>G7="Oui"</formula>
    </cfRule>
    <cfRule type="expression" dxfId="6" priority="2">
      <formula>G7="Non, l'aide publique doit diminuer"</formula>
    </cfRule>
  </conditionalFormatting>
  <dataValidations count="3">
    <dataValidation type="list" allowBlank="1" showInputMessage="1" showErrorMessage="1" sqref="C20:C25" xr:uid="{B103E5D8-8D25-4A9B-8512-C37F8E20C2DF}">
      <formula1>"Création groupes opérationnels, Projets groupes opérationnels, Diffusion résultats"</formula1>
    </dataValidation>
    <dataValidation type="list" allowBlank="1" showInputMessage="1" showErrorMessage="1" sqref="N10:N12 K10:K12" xr:uid="{0FD58761-009C-45EF-AD5D-55EBF1906DD2}">
      <formula1>"Oui,Non"</formula1>
    </dataValidation>
    <dataValidation type="list" allowBlank="1" showInputMessage="1" showErrorMessage="1" sqref="X20:Y26 L20 I40 I50 I60 I70 I80 I90 I100 I110" xr:uid="{08BADFFC-75D7-4E2B-9396-0B5F14D82A82}">
      <formula1>"Oui,Non,Non concerné"</formula1>
    </dataValidation>
  </dataValidation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B59E-C7E7-45D8-B69C-EF181247DA9E}">
  <sheetPr codeName="Feuil13">
    <tabColor theme="5" tint="0.39997558519241921"/>
  </sheetPr>
  <dimension ref="A1:AJ129"/>
  <sheetViews>
    <sheetView showGridLines="0" tabSelected="1" topLeftCell="D22" zoomScale="75" zoomScaleNormal="25" workbookViewId="0">
      <selection activeCell="G36" sqref="G36"/>
    </sheetView>
  </sheetViews>
  <sheetFormatPr defaultColWidth="11.42578125" defaultRowHeight="15"/>
  <cols>
    <col min="1" max="1" width="17.42578125" customWidth="1"/>
    <col min="2" max="2" width="19.42578125" customWidth="1"/>
    <col min="3" max="3" width="24.42578125" customWidth="1"/>
    <col min="4" max="4" width="30.42578125" customWidth="1"/>
    <col min="5" max="5" width="33.42578125" customWidth="1"/>
    <col min="6" max="6" width="73.42578125" customWidth="1"/>
    <col min="7" max="7" width="54.140625" customWidth="1"/>
    <col min="8" max="8" width="51.42578125" customWidth="1"/>
    <col min="9" max="9" width="31" customWidth="1"/>
    <col min="10" max="10" width="24.140625" customWidth="1"/>
    <col min="11" max="11" width="26.42578125" customWidth="1"/>
    <col min="12" max="12" width="40.140625" customWidth="1"/>
    <col min="13" max="13" width="36.85546875" customWidth="1"/>
    <col min="14" max="14" width="33.42578125" customWidth="1"/>
    <col min="15" max="15" width="21.42578125" customWidth="1"/>
    <col min="16" max="16" width="24.42578125" customWidth="1"/>
    <col min="17" max="17" width="23.42578125" customWidth="1"/>
    <col min="18" max="18" width="24.42578125" customWidth="1"/>
    <col min="19" max="19" width="26.42578125" customWidth="1"/>
    <col min="20" max="20" width="29" customWidth="1"/>
    <col min="21" max="21" width="15.42578125" customWidth="1"/>
    <col min="22" max="22" width="21.140625" customWidth="1"/>
    <col min="23" max="23" width="31.42578125" customWidth="1"/>
    <col min="24" max="24" width="43.85546875" customWidth="1"/>
    <col min="25" max="25" width="15.42578125" customWidth="1"/>
    <col min="26" max="26" width="63" customWidth="1"/>
    <col min="27" max="27" width="43.85546875" customWidth="1"/>
    <col min="28" max="28" width="15.42578125" customWidth="1"/>
    <col min="29" max="29" width="16.42578125" customWidth="1"/>
    <col min="30" max="30" width="16.85546875" customWidth="1"/>
    <col min="31" max="33" width="16.42578125" customWidth="1"/>
    <col min="34" max="34" width="11.42578125" bestFit="1" customWidth="1"/>
    <col min="35" max="35" width="19.42578125" bestFit="1" customWidth="1"/>
    <col min="36" max="36" width="17.85546875" bestFit="1" customWidth="1"/>
  </cols>
  <sheetData>
    <row r="1" spans="2:19" ht="104.1" customHeight="1" thickBot="1">
      <c r="B1" s="1737" t="s">
        <v>531</v>
      </c>
      <c r="C1" s="1738"/>
      <c r="D1" s="1738"/>
      <c r="E1" s="1738"/>
      <c r="F1" s="1739"/>
      <c r="G1" s="1739"/>
      <c r="H1" s="1738"/>
      <c r="I1" s="1738"/>
      <c r="J1" s="1738"/>
      <c r="K1" s="1738"/>
      <c r="L1" s="1738"/>
      <c r="M1" s="1738"/>
      <c r="N1" s="1738"/>
      <c r="O1" s="1738"/>
      <c r="P1" s="1738"/>
      <c r="Q1" s="1738"/>
      <c r="R1" s="1738"/>
      <c r="S1" s="1740"/>
    </row>
    <row r="2" spans="2:19" ht="26.1" customHeight="1" thickBot="1">
      <c r="B2" s="1747" t="s">
        <v>532</v>
      </c>
      <c r="C2" s="1748"/>
      <c r="D2" s="1748"/>
      <c r="E2" s="909" t="s">
        <v>533</v>
      </c>
      <c r="F2" s="1741" t="s">
        <v>534</v>
      </c>
      <c r="G2" s="1742"/>
    </row>
    <row r="3" spans="2:19" ht="63" customHeight="1">
      <c r="B3" s="1749" t="s">
        <v>446</v>
      </c>
      <c r="C3" s="1750"/>
      <c r="D3" s="910">
        <f>SUM('1- Frais personnel'!AI69,'2.1- Investissements'!BQ51,'3- Frais généraux'!BM50,'4- Déplacement &amp; hébergement'!BF50,'4- Déplacement &amp; hébergement'!BN50,'5- Contribution en nature'!Z49,'6- Coût participation agri'!AE49,'2.2- Amortissement'!AJ24,'7- Taux forfaitaire'!O33)</f>
        <v>0</v>
      </c>
      <c r="E3" s="911" t="str">
        <f>IF(D3=0,"",SUM('1- Frais personnel'!AL69,'2.1- Investissements'!BW51,'3- Frais généraux'!BS50,'4- Déplacement &amp; hébergement'!BT50,'5- Contribution en nature'!AC49,'6- Coût participation agri'!AH49,'2.2- Amortissement'!AM24,'7- Taux forfaitaire'!R33))</f>
        <v/>
      </c>
      <c r="F3" s="1743"/>
      <c r="G3" s="1744"/>
      <c r="H3" s="1751" t="s">
        <v>535</v>
      </c>
      <c r="I3" s="1751"/>
      <c r="J3" s="1751"/>
    </row>
    <row r="4" spans="2:19" ht="38.1" customHeight="1" thickBot="1">
      <c r="B4" s="1749" t="s">
        <v>448</v>
      </c>
      <c r="C4" s="1750"/>
      <c r="D4" s="910">
        <f>SUM('2.1- Investissements'!BR51,'3- Frais généraux'!BN50,'4- Déplacement &amp; hébergement'!BG50)</f>
        <v>0</v>
      </c>
      <c r="E4" s="912" t="str">
        <f>IF(D3=0,"",SUM('2.1- Investissements'!BX51,'3- Frais généraux'!BT50,'4- Déplacement &amp; hébergement'!BU50))</f>
        <v/>
      </c>
      <c r="F4" s="1743"/>
      <c r="G4" s="1744"/>
      <c r="H4" s="1752" t="str">
        <f>IF(Accueil!A9="SAISIR L'INTITULE DE L'OPERATION","SAISIR L'INTITULE DE L'OPERATION EN LIGNE 9 DE L'ONGLET ACCUEIL",Accueil!A9)</f>
        <v xml:space="preserve">NOM DE L'OPÉRATION </v>
      </c>
      <c r="I4" s="1752"/>
      <c r="J4" s="1752"/>
    </row>
    <row r="5" spans="2:19" ht="51.95" customHeight="1" thickBot="1">
      <c r="B5" s="1753" t="s">
        <v>449</v>
      </c>
      <c r="C5" s="1754"/>
      <c r="D5" s="913">
        <f>SUM(D3:D4)</f>
        <v>0</v>
      </c>
      <c r="E5" s="914" t="str">
        <f>IF(D3=0,"",SUM(E3:E4))</f>
        <v/>
      </c>
      <c r="F5" s="1495" t="s">
        <v>536</v>
      </c>
      <c r="G5" s="1496" t="str">
        <f>IF(D3=0,"",IF('Syn pf bénéficiaire'!D3&gt;1000000,"L'opération est inéligible","Règle respectée"))</f>
        <v/>
      </c>
      <c r="H5" s="1752"/>
      <c r="I5" s="1752"/>
      <c r="J5" s="1752"/>
    </row>
    <row r="6" spans="2:19" ht="118.5" customHeight="1" thickBot="1">
      <c r="B6" s="1761" t="s">
        <v>537</v>
      </c>
      <c r="C6" s="1762"/>
      <c r="D6" s="915">
        <f>'A-Recettes'!M38</f>
        <v>0</v>
      </c>
      <c r="E6" s="916" t="str">
        <f>IF(D3=0,"",'A-Recettes'!M39)</f>
        <v/>
      </c>
      <c r="F6" s="958" t="s">
        <v>538</v>
      </c>
      <c r="G6" s="959" t="str">
        <f>IF(D3=0,"",$E$33-$H$33)</f>
        <v/>
      </c>
      <c r="J6" s="1755" t="s">
        <v>539</v>
      </c>
      <c r="K6" s="1759" t="s">
        <v>437</v>
      </c>
      <c r="L6" s="1745" t="s">
        <v>438</v>
      </c>
      <c r="M6" s="1745" t="s">
        <v>439</v>
      </c>
      <c r="N6" s="1745" t="s">
        <v>440</v>
      </c>
      <c r="O6" s="685" t="s">
        <v>441</v>
      </c>
      <c r="P6" s="685" t="s">
        <v>442</v>
      </c>
      <c r="Q6" s="685" t="s">
        <v>443</v>
      </c>
      <c r="R6" s="685" t="s">
        <v>444</v>
      </c>
      <c r="S6" s="586" t="s">
        <v>445</v>
      </c>
    </row>
    <row r="7" spans="2:19" ht="118.5" customHeight="1" thickBot="1">
      <c r="B7" s="1710" t="s">
        <v>540</v>
      </c>
      <c r="C7" s="1711"/>
      <c r="D7" s="917" t="str">
        <f>IF(D3=0,"",E33)</f>
        <v/>
      </c>
      <c r="E7" s="918" t="str">
        <f>IF(D3=0,"",'Syn pf bénéficiaire'!D7-'Syn pf instructeur'!D7)</f>
        <v/>
      </c>
      <c r="F7" s="1493" t="s">
        <v>541</v>
      </c>
      <c r="G7" s="1494" t="str">
        <f>IF(E33=0,"",IF($P$9+$E$21&lt;=G6,"La règle de non-profit est respectée, pas de modification du TAP réglementaire","La règle de non-profit n'est pas respectée, le TAP réglementaire sera diminué"))</f>
        <v/>
      </c>
      <c r="J7" s="1756"/>
      <c r="K7" s="1760"/>
      <c r="L7" s="1746"/>
      <c r="M7" s="1746"/>
      <c r="N7" s="1746"/>
      <c r="O7" s="688"/>
      <c r="P7" s="688"/>
      <c r="Q7" s="688"/>
      <c r="R7" s="688"/>
      <c r="S7" s="689" t="s">
        <v>542</v>
      </c>
    </row>
    <row r="8" spans="2:19" ht="116.45" customHeight="1" thickBot="1">
      <c r="B8" s="1710" t="s">
        <v>457</v>
      </c>
      <c r="C8" s="1711"/>
      <c r="D8" s="919" t="str">
        <f>IF(D3=0,"",K33)</f>
        <v/>
      </c>
      <c r="E8" s="1491" t="str">
        <f>IF(D3=0,"",'Syn pf bénéficiaire'!D8-'Syn pf instructeur'!D8)</f>
        <v/>
      </c>
      <c r="F8" s="1499" t="s">
        <v>543</v>
      </c>
      <c r="G8" s="1497">
        <f>50%*SUMIFS('2.1- Investissements'!BS11:BS50,'2.1- Investissements'!AO11:AO50,"Oui")</f>
        <v>0</v>
      </c>
      <c r="J8" s="1757"/>
      <c r="K8" s="930" t="s">
        <v>544</v>
      </c>
      <c r="L8" s="931">
        <f>IF(D5=0,0,'1- Frais personnel'!AI69)</f>
        <v>0</v>
      </c>
      <c r="M8" s="931">
        <f>IF(D5=0,0,'2.1- Investissements'!BS51)</f>
        <v>0</v>
      </c>
      <c r="N8" s="931">
        <f>IF(D5=0,0,'3- Frais généraux'!BO50)</f>
        <v>0</v>
      </c>
      <c r="O8" s="931">
        <f>IF(D5=0,0,'4- Déplacement &amp; hébergement'!BO50)</f>
        <v>0</v>
      </c>
      <c r="P8" s="931">
        <f>IF(D5=0,0,'5- Contribution en nature'!Z49)</f>
        <v>0</v>
      </c>
      <c r="Q8" s="931">
        <f>IF(D5=0,0,'6- Coût participation agri'!AE49)</f>
        <v>0</v>
      </c>
      <c r="R8" s="931">
        <f>IF(D5=0,0,'2.2- Amortissement'!AJ24)</f>
        <v>0</v>
      </c>
      <c r="S8" s="932">
        <f>IF(D5=0,0,'7- Taux forfaitaire'!O33)</f>
        <v>0</v>
      </c>
    </row>
    <row r="9" spans="2:19" ht="93.95" customHeight="1" thickBot="1">
      <c r="B9" s="1712" t="s">
        <v>467</v>
      </c>
      <c r="C9" s="1713"/>
      <c r="D9" s="920" t="str">
        <f>IF(D3=0,"",O33)</f>
        <v/>
      </c>
      <c r="E9" s="1492" t="str">
        <f>IF(D3=0,"",'Syn pf bénéficiaire'!D9-'Syn pf instructeur'!D9)</f>
        <v/>
      </c>
      <c r="F9" s="1500" t="s">
        <v>545</v>
      </c>
      <c r="G9" s="1498" t="str">
        <f>+IF(SUMIFS('5- Contribution en nature'!Z9:Z48,'5- Contribution en nature'!T9:T48,"Oui")&gt;'Syn pf instructeur'!G8,"Le plafond n'est pas respecté, les dépenses d'auto-construction en contribution en nature doivent être plafonnées","Le plafond d'auto-construction en contribution en nature est respecté")</f>
        <v>Le plafond d'auto-construction en contribution en nature est respecté</v>
      </c>
      <c r="J9" s="1758"/>
      <c r="K9" s="933" t="s">
        <v>546</v>
      </c>
      <c r="L9" s="934">
        <f>IF($G$5="règle respectée",L8,0)</f>
        <v>0</v>
      </c>
      <c r="M9" s="934">
        <f>IF($G$5="règle respectée",M8,0)</f>
        <v>0</v>
      </c>
      <c r="N9" s="934">
        <f t="shared" ref="N9:S9" si="0">IF($G$5="règle respectée",N8,0)</f>
        <v>0</v>
      </c>
      <c r="O9" s="934">
        <f t="shared" si="0"/>
        <v>0</v>
      </c>
      <c r="P9" s="934">
        <f>IF($G$5="règle respectée",P8,IF(G9="Le plafond d'auto-construction en contribution en nature est respecté",P8,G8+SUMIFS('5- Contribution en nature'!Z9:Z48,'5- Contribution en nature'!T9:T48,"Non")))</f>
        <v>0</v>
      </c>
      <c r="Q9" s="934">
        <f t="shared" si="0"/>
        <v>0</v>
      </c>
      <c r="R9" s="934">
        <f t="shared" si="0"/>
        <v>0</v>
      </c>
      <c r="S9" s="935">
        <f t="shared" si="0"/>
        <v>0</v>
      </c>
    </row>
    <row r="10" spans="2:19" ht="122.1" customHeight="1" thickBot="1">
      <c r="B10" s="1703" t="s">
        <v>472</v>
      </c>
      <c r="C10" s="1704"/>
      <c r="D10" s="921" t="str">
        <f>IF(D3=0,"",R33)</f>
        <v/>
      </c>
      <c r="E10" s="922" t="str">
        <f>IF(D3=0,"",'Syn pf bénéficiaire'!D10-'Syn pf instructeur'!D10)</f>
        <v/>
      </c>
      <c r="L10" s="1714" t="str">
        <f>IF(D3=0,"",SUM(L9:S9))</f>
        <v/>
      </c>
      <c r="M10" s="1715"/>
      <c r="N10" s="1715"/>
      <c r="O10" s="1715"/>
      <c r="P10" s="1715"/>
      <c r="Q10" s="1715"/>
      <c r="R10" s="1715"/>
      <c r="S10" s="1716"/>
    </row>
    <row r="11" spans="2:19" ht="66.95" customHeight="1" thickBot="1">
      <c r="B11" s="1705" t="s">
        <v>476</v>
      </c>
      <c r="C11" s="1706"/>
      <c r="D11" s="923" t="str">
        <f>IF(D3=0,"",V33)</f>
        <v/>
      </c>
      <c r="E11" s="924" t="str">
        <f>IF(D3=0,"",'Syn pf bénéficiaire'!D11-'Syn pf instructeur'!D11)</f>
        <v/>
      </c>
    </row>
    <row r="13" spans="2:19" ht="15.95" thickBot="1"/>
    <row r="14" spans="2:19" ht="29.1">
      <c r="B14" s="1707" t="s">
        <v>547</v>
      </c>
      <c r="C14" s="1708"/>
      <c r="D14" s="1708"/>
      <c r="E14" s="1708"/>
      <c r="F14" s="1708"/>
      <c r="G14" s="1709"/>
    </row>
    <row r="15" spans="2:19" ht="80.099999999999994">
      <c r="B15" s="721" t="s">
        <v>548</v>
      </c>
      <c r="C15" s="722" t="s">
        <v>549</v>
      </c>
      <c r="D15" s="722" t="s">
        <v>550</v>
      </c>
      <c r="E15" s="938" t="s">
        <v>551</v>
      </c>
      <c r="F15" s="723" t="s">
        <v>552</v>
      </c>
      <c r="G15" s="724" t="s">
        <v>553</v>
      </c>
    </row>
    <row r="16" spans="2:19" ht="176.1">
      <c r="B16" s="936" t="s">
        <v>554</v>
      </c>
      <c r="C16" s="937"/>
      <c r="D16" s="937"/>
      <c r="E16" s="1504" t="s">
        <v>554</v>
      </c>
      <c r="F16" s="938"/>
      <c r="G16" s="939"/>
    </row>
    <row r="17" spans="2:26">
      <c r="B17" s="1505">
        <f>IF('Syn pf bénéficiaire'!I13="","",'Syn pf bénéficiaire'!I13)</f>
        <v>0</v>
      </c>
      <c r="C17" s="940" t="str">
        <f>IF('Syn pf bénéficiaire'!J10="","",'Syn pf bénéficiaire'!J10)</f>
        <v>Département Guadeloupe</v>
      </c>
      <c r="D17" s="940" t="str">
        <f>IF('Syn pf bénéficiaire'!K10="","",'Syn pf bénéficiaire'!K10)</f>
        <v>Non</v>
      </c>
      <c r="E17" s="940" t="str">
        <f>IF('Syn pf bénéficiaire'!L11="","",'Syn pf bénéficiaire'!L11)</f>
        <v/>
      </c>
      <c r="F17" s="940" t="s">
        <v>555</v>
      </c>
      <c r="G17" s="941" t="str">
        <f>IF('Syn pf bénéficiaire'!N10="","",'Syn pf bénéficiaire'!N10)</f>
        <v/>
      </c>
    </row>
    <row r="18" spans="2:26">
      <c r="B18" s="1505" t="str">
        <f>IF('Syn pf bénéficiaire'!I14="","",'Syn pf bénéficiaire'!I14)</f>
        <v/>
      </c>
      <c r="C18" s="940" t="str">
        <f>IF('Syn pf bénéficiaire'!J11="","",'Syn pf bénéficiaire'!J11)</f>
        <v/>
      </c>
      <c r="D18" s="940" t="str">
        <f>IF('Syn pf bénéficiaire'!K11="","",'Syn pf bénéficiaire'!K11)</f>
        <v/>
      </c>
      <c r="E18" s="940" t="str">
        <f>IF('Syn pf bénéficiaire'!L12="","",'Syn pf bénéficiaire'!L12)</f>
        <v/>
      </c>
      <c r="F18" s="940" t="s">
        <v>555</v>
      </c>
      <c r="G18" s="941" t="str">
        <f>IF('Syn pf bénéficiaire'!N11="","",'Syn pf bénéficiaire'!N11)</f>
        <v/>
      </c>
    </row>
    <row r="19" spans="2:26">
      <c r="B19" s="1668"/>
      <c r="C19" s="1669"/>
      <c r="D19" s="1502"/>
      <c r="E19" s="1502"/>
      <c r="F19" s="1502"/>
      <c r="G19" s="1670"/>
    </row>
    <row r="20" spans="2:26" ht="15.95" thickBot="1">
      <c r="B20" s="1506" t="str">
        <f>IF('Syn pf bénéficiaire'!I15="","",'Syn pf bénéficiaire'!I15)</f>
        <v/>
      </c>
      <c r="C20" s="1503" t="str">
        <f>IF('Syn pf bénéficiaire'!J12="","",'Syn pf bénéficiaire'!J12)</f>
        <v/>
      </c>
      <c r="D20" s="942" t="str">
        <f>IF('Syn pf bénéficiaire'!K12="","",'Syn pf bénéficiaire'!K12)</f>
        <v/>
      </c>
      <c r="E20" s="1197"/>
      <c r="F20" s="942" t="str">
        <f>IF('Syn pf bénéficiaire'!M12="","",'Syn pf bénéficiaire'!M12)</f>
        <v/>
      </c>
      <c r="G20" s="943" t="str">
        <f>IF('Syn pf bénéficiaire'!N12="","",'Syn pf bénéficiaire'!N12)</f>
        <v/>
      </c>
    </row>
    <row r="21" spans="2:26">
      <c r="B21" s="725">
        <f>SUM(B17:B19)</f>
        <v>0</v>
      </c>
      <c r="C21" s="1198"/>
      <c r="D21" s="1198"/>
      <c r="E21" s="725">
        <f>SUM(E17:E20)</f>
        <v>0</v>
      </c>
      <c r="F21" s="1198"/>
      <c r="G21" s="1198"/>
    </row>
    <row r="22" spans="2:26" ht="24">
      <c r="C22" s="726"/>
      <c r="D22" s="727"/>
      <c r="F22" s="712"/>
      <c r="G22" s="713"/>
    </row>
    <row r="24" spans="2:26" ht="42.6" customHeight="1" thickBot="1">
      <c r="B24" s="1717" t="s">
        <v>556</v>
      </c>
      <c r="C24" s="1718"/>
      <c r="D24" s="1718"/>
      <c r="E24" s="1718"/>
      <c r="F24" s="1718"/>
      <c r="G24" s="1718"/>
      <c r="H24" s="1718"/>
      <c r="I24" s="1718"/>
      <c r="J24" s="1718"/>
      <c r="K24" s="1718"/>
      <c r="L24" s="1718"/>
      <c r="M24" s="1718"/>
      <c r="N24" s="1718"/>
      <c r="O24" s="1718"/>
      <c r="P24" s="1718"/>
      <c r="Q24" s="1718"/>
      <c r="R24" s="1718"/>
      <c r="S24" s="1718"/>
      <c r="T24" s="1718"/>
      <c r="U24" s="1718"/>
      <c r="V24" s="1718"/>
      <c r="W24" s="1718"/>
      <c r="X24" s="1718"/>
    </row>
    <row r="25" spans="2:26" ht="120.6" customHeight="1">
      <c r="B25" s="1735" t="s">
        <v>484</v>
      </c>
      <c r="C25" s="1733" t="s">
        <v>77</v>
      </c>
      <c r="D25" s="1733" t="s">
        <v>544</v>
      </c>
      <c r="E25" s="1733" t="s">
        <v>546</v>
      </c>
      <c r="F25" s="1733" t="s">
        <v>557</v>
      </c>
      <c r="G25" s="350" t="s">
        <v>558</v>
      </c>
      <c r="H25" s="350" t="s">
        <v>559</v>
      </c>
      <c r="I25" s="1733" t="s">
        <v>560</v>
      </c>
      <c r="J25" s="1733" t="s">
        <v>561</v>
      </c>
      <c r="K25" s="274" t="s">
        <v>562</v>
      </c>
      <c r="L25" s="274" t="s">
        <v>563</v>
      </c>
      <c r="M25" s="350" t="s">
        <v>564</v>
      </c>
      <c r="N25" s="350" t="s">
        <v>493</v>
      </c>
      <c r="O25" s="350" t="s">
        <v>494</v>
      </c>
      <c r="P25" s="350" t="s">
        <v>495</v>
      </c>
      <c r="Q25" s="350" t="s">
        <v>496</v>
      </c>
      <c r="R25" s="350" t="s">
        <v>526</v>
      </c>
      <c r="S25" s="350" t="s">
        <v>498</v>
      </c>
      <c r="T25" s="350" t="s">
        <v>499</v>
      </c>
      <c r="U25" s="350" t="s">
        <v>500</v>
      </c>
      <c r="V25" s="350" t="s">
        <v>502</v>
      </c>
      <c r="W25" s="350" t="s">
        <v>565</v>
      </c>
      <c r="X25" s="905" t="s">
        <v>116</v>
      </c>
      <c r="Y25" s="703"/>
      <c r="Z25" s="714"/>
    </row>
    <row r="26" spans="2:26" ht="344.1" customHeight="1" thickBot="1">
      <c r="B26" s="1736"/>
      <c r="C26" s="1734"/>
      <c r="D26" s="1734"/>
      <c r="E26" s="1734"/>
      <c r="F26" s="1734"/>
      <c r="G26" s="351" t="s">
        <v>566</v>
      </c>
      <c r="H26" s="587" t="s">
        <v>567</v>
      </c>
      <c r="I26" s="1734"/>
      <c r="J26" s="1734"/>
      <c r="K26" s="717"/>
      <c r="L26" s="717"/>
      <c r="M26" s="587" t="s">
        <v>468</v>
      </c>
      <c r="N26" s="587" t="s">
        <v>568</v>
      </c>
      <c r="O26" s="587" t="s">
        <v>510</v>
      </c>
      <c r="P26" s="587" t="s">
        <v>569</v>
      </c>
      <c r="Q26" s="587" t="s">
        <v>569</v>
      </c>
      <c r="R26" s="351"/>
      <c r="S26" s="351" t="s">
        <v>570</v>
      </c>
      <c r="T26" s="351" t="s">
        <v>513</v>
      </c>
      <c r="U26" s="351"/>
      <c r="V26" s="351" t="s">
        <v>514</v>
      </c>
      <c r="W26" s="351" t="s">
        <v>571</v>
      </c>
      <c r="X26" s="906" t="s">
        <v>572</v>
      </c>
      <c r="Y26" s="703"/>
      <c r="Z26" s="714"/>
    </row>
    <row r="27" spans="2:26" ht="32.1">
      <c r="B27" s="1721" t="s">
        <v>573</v>
      </c>
      <c r="C27" s="297" t="s">
        <v>85</v>
      </c>
      <c r="D27" s="897">
        <f>SUMIFS('2.1- Investissements'!$BS$11:$BS$50,'2.1- Investissements'!$AK$11:$AK$50,C27,'2.1- Investissements'!$AM$11:$AM$50,"Oui")+SUMIFS('2.2- Amortissement'!$AJ$9:$AJ$23,'2.2- Amortissement'!$U$9:$U$23,C27,'2.2- Amortissement'!$W$9:$W$23,"Oui")</f>
        <v>0</v>
      </c>
      <c r="E27" s="944">
        <f>IF($G$5="Règle respectée",D27,0)</f>
        <v>0</v>
      </c>
      <c r="F27" s="1159">
        <f>IF(E27=0,0,IFERROR(VALUE(E27)/VALUE($E$33),0))</f>
        <v>0</v>
      </c>
      <c r="G27" s="899">
        <f t="shared" ref="G27:G32" si="1">IF(D27=0,0,(F49+F59+F69+F79+F89+F99+F109+F119)/D27)</f>
        <v>0</v>
      </c>
      <c r="H27" s="1018">
        <f t="shared" ref="H27:H32" si="2">G27*E27</f>
        <v>0</v>
      </c>
      <c r="I27" s="898" t="e">
        <f>H27/$H$33</f>
        <v>#DIV/0!</v>
      </c>
      <c r="J27" s="1766" t="s">
        <v>516</v>
      </c>
      <c r="K27" s="952">
        <f t="shared" ref="K27:K33" si="3">IF(OR(H27=0,ROUND($P$9+$B$21+$E$21,2)&gt;=ROUND($D$33,2)),0,IF($E$21+$P$9&gt;$G$6,H27-($P$9+$E$21-$G$6)*I27,H27))</f>
        <v>0</v>
      </c>
      <c r="L27" s="953">
        <f t="shared" ref="L27:L32" si="4">IF(K27=0,0,K27/E27)</f>
        <v>0</v>
      </c>
      <c r="M27" s="1727">
        <f>B21</f>
        <v>0</v>
      </c>
      <c r="N27" s="1730" t="str">
        <f>_xlfn.IFS($B$21=0,"Non concerné",$B$21&lt;(0.15*$K$33),"Non",$B$21=(0.15*$K$33),"Oui",$B$21&gt;(0.15*$K$33),"Oui")</f>
        <v>Non concerné</v>
      </c>
      <c r="O27" s="961" t="e">
        <f t="shared" ref="O27:O32" si="5">IF(I27=0,0,IF($N$27="Oui",K27-($B$21*I27),K27*0.85))</f>
        <v>#DIV/0!</v>
      </c>
      <c r="P27" s="1724" t="str">
        <f>IFERROR(O33/K33,"")</f>
        <v/>
      </c>
      <c r="Q27" s="1724" t="e">
        <f>IF(OR(K33=0,O33=0),0,R33/(O33*100/85))</f>
        <v>#DIV/0!</v>
      </c>
      <c r="R27" s="962">
        <f>IF(K27=0,0,IF($N$27="Oui",0.15*O27/0.85,K27-O27))</f>
        <v>0</v>
      </c>
      <c r="S27" s="975" t="e">
        <f>IF(I27=0,0,IF($N$27="Oui",R27,$B$21*I27))</f>
        <v>#DIV/0!</v>
      </c>
      <c r="T27" s="968">
        <f>IF(R27=0,0,R27-S27)</f>
        <v>0</v>
      </c>
      <c r="U27" s="967">
        <f t="shared" ref="U27:U33" si="6">IF($B$21=0,0,IFERROR(VALUE(I27)*VALUE($B$21)-VALUE(S27),0))</f>
        <v>0</v>
      </c>
      <c r="V27" s="968" t="e">
        <f>IF(O27="","",D27-O27-R27-U27-$E$21*F27)</f>
        <v>#DIV/0!</v>
      </c>
      <c r="W27" s="969" t="e">
        <f t="shared" ref="W27:W33" si="7">IF(OR(V27="",D27=0),0,V27/D27)</f>
        <v>#DIV/0!</v>
      </c>
      <c r="X27" s="1719"/>
      <c r="Y27" s="715"/>
      <c r="Z27" s="705"/>
    </row>
    <row r="28" spans="2:26" ht="32.1" customHeight="1">
      <c r="B28" s="1722"/>
      <c r="C28" s="215" t="s">
        <v>88</v>
      </c>
      <c r="D28" s="895">
        <f>SUMIFS('2.1- Investissements'!$BS$11:$BS$50,'2.1- Investissements'!$AK$11:$AK$50,C28,'2.1- Investissements'!$AM$11:$AM$50,"Oui")+SUMIFS('2.2- Amortissement'!$AJ$9:$AJ$23,'2.2- Amortissement'!$U$9:$U$23,C28,'2.2- Amortissement'!$W$9:$W$23,"Oui")</f>
        <v>0</v>
      </c>
      <c r="E28" s="895">
        <f t="shared" ref="E28" si="8">IF($G$5="Règle respectée",D28,0)</f>
        <v>0</v>
      </c>
      <c r="F28" s="1161">
        <f t="shared" ref="F28:F32" si="9">IF(E28=0,0,IFERROR(VALUE(E28)/VALUE($E$33),0))</f>
        <v>0</v>
      </c>
      <c r="G28" s="896">
        <f t="shared" si="1"/>
        <v>0</v>
      </c>
      <c r="H28" s="1019">
        <f t="shared" si="2"/>
        <v>0</v>
      </c>
      <c r="I28" s="981" t="e">
        <f t="shared" ref="I28:I33" si="10">H28/$H$33</f>
        <v>#DIV/0!</v>
      </c>
      <c r="J28" s="1767"/>
      <c r="K28" s="1148">
        <f t="shared" si="3"/>
        <v>0</v>
      </c>
      <c r="L28" s="954">
        <f t="shared" si="4"/>
        <v>0</v>
      </c>
      <c r="M28" s="1728"/>
      <c r="N28" s="1731"/>
      <c r="O28" s="963" t="e">
        <f t="shared" si="5"/>
        <v>#DIV/0!</v>
      </c>
      <c r="P28" s="1725"/>
      <c r="Q28" s="1725"/>
      <c r="R28" s="964">
        <f t="shared" ref="R28:R32" si="11">IF(K28=0,0,IF($N$27="Oui",0.15*O28/0.85,K28-O28))</f>
        <v>0</v>
      </c>
      <c r="S28" s="716" t="e">
        <f t="shared" ref="S28:S33" si="12">IF(L28="- %","0,00€",IF($N$27="Oui",R28,$B$21*I28))</f>
        <v>#DIV/0!</v>
      </c>
      <c r="T28" s="894">
        <f t="shared" ref="T28:T32" si="13">IF(R28=0,0,R28-S28)</f>
        <v>0</v>
      </c>
      <c r="U28" s="894">
        <f t="shared" si="6"/>
        <v>0</v>
      </c>
      <c r="V28" s="894" t="e">
        <f>IF(O28="","",D28-O28-R28-U28-$E$21*F28)</f>
        <v>#DIV/0!</v>
      </c>
      <c r="W28" s="970" t="e">
        <f t="shared" si="7"/>
        <v>#DIV/0!</v>
      </c>
      <c r="X28" s="1719"/>
      <c r="Y28" s="715"/>
      <c r="Z28" s="705"/>
    </row>
    <row r="29" spans="2:26" ht="29.1" customHeight="1" thickBot="1">
      <c r="B29" s="1723"/>
      <c r="C29" s="683" t="s">
        <v>91</v>
      </c>
      <c r="D29" s="900">
        <f>SUMIFS('2.1- Investissements'!$BS$11:$BS$50,'2.1- Investissements'!$AK$11:$AK$50,C29,'2.1- Investissements'!$AM$11:$AM$50,"Oui")+SUMIFS('2.2- Amortissement'!$AJ$9:$AJ$23,'2.2- Amortissement'!$U$9:$U$23,C29,'2.2- Amortissement'!$W$9:$W$23,"Oui")</f>
        <v>0</v>
      </c>
      <c r="E29" s="1501">
        <f>IF($G$5="Règle respectée",D29,0)</f>
        <v>0</v>
      </c>
      <c r="F29" s="1162">
        <f t="shared" si="9"/>
        <v>0</v>
      </c>
      <c r="G29" s="1022">
        <f t="shared" si="1"/>
        <v>0</v>
      </c>
      <c r="H29" s="1023">
        <f t="shared" si="2"/>
        <v>0</v>
      </c>
      <c r="I29" s="902" t="e">
        <f t="shared" si="10"/>
        <v>#DIV/0!</v>
      </c>
      <c r="J29" s="1768"/>
      <c r="K29" s="1150">
        <f t="shared" si="3"/>
        <v>0</v>
      </c>
      <c r="L29" s="955">
        <f t="shared" si="4"/>
        <v>0</v>
      </c>
      <c r="M29" s="1728"/>
      <c r="N29" s="1731"/>
      <c r="O29" s="963" t="e">
        <f t="shared" si="5"/>
        <v>#DIV/0!</v>
      </c>
      <c r="P29" s="1725"/>
      <c r="Q29" s="1725"/>
      <c r="R29" s="964">
        <f t="shared" si="11"/>
        <v>0</v>
      </c>
      <c r="S29" s="716" t="e">
        <f t="shared" si="12"/>
        <v>#DIV/0!</v>
      </c>
      <c r="T29" s="894">
        <f t="shared" si="13"/>
        <v>0</v>
      </c>
      <c r="U29" s="894">
        <f t="shared" si="6"/>
        <v>0</v>
      </c>
      <c r="V29" s="1116" t="e">
        <f>IF(O29="","",D29-O29-R29-U29-$E$21*F29)</f>
        <v>#DIV/0!</v>
      </c>
      <c r="W29" s="970" t="e">
        <f t="shared" si="7"/>
        <v>#DIV/0!</v>
      </c>
      <c r="X29" s="1719"/>
      <c r="Y29" s="715"/>
      <c r="Z29" s="705"/>
    </row>
    <row r="30" spans="2:26" ht="29.1" customHeight="1">
      <c r="B30" s="1721" t="s">
        <v>574</v>
      </c>
      <c r="C30" s="297" t="s">
        <v>85</v>
      </c>
      <c r="D30" s="944">
        <f>SUMIFS('1- Frais personnel'!$AI$9:$AI$68,'1- Frais personnel'!$T$9:$T$68,C30)+SUMIFS('2.1- Investissements'!$BS$11:$BS$50,'2.1- Investissements'!$AK$11:$AK$50,C30,'2.1- Investissements'!$AM$11:$AM$50,"Non")+SUMIFS('2.2- Amortissement'!$AJ$9:$AJ$23,'2.2- Amortissement'!$U$9:$U$23,C30,'2.2- Amortissement'!$W$9:$W$23,"Non")+SUMIFS('3- Frais généraux'!$BO$10:$BO$49,'3- Frais généraux'!$AI$10:$AI$49,C30)+SUMIFS('4- Déplacement &amp; hébergement'!$BO$10:$BO$49,'4- Déplacement &amp; hébergement'!$AI$10:$AI$49,C30)+SUMIFS('5- Contribution en nature'!$Z$9:$Z$48,'5- Contribution en nature'!$P$9:$P$48,C30)+SUMIFS('6- Coût participation agri'!$AE$9:$AE$48,'6- Coût participation agri'!$R$9:$R$48,C30)+SUMIFS('7- Taux forfaitaire'!$O$9:$O$32,'7- Taux forfaitaire'!$K$9:$K$32,C30)</f>
        <v>0</v>
      </c>
      <c r="E30" s="1509">
        <f>IF($G$5="Règle respectée",SUMIFS('1- Frais personnel'!$AI$9:$AI$68,'1- Frais personnel'!$T$9:$T$68,C30)+SUMIFS('2.1- Investissements'!$BS$11:$BS$50,'2.1- Investissements'!$AK$11:$AK$50,C30,'2.1- Investissements'!$AM$11:$AM$50,"Non")+SUMIFS('2.2- Amortissement'!$AJ$9:$AJ$23,'2.2- Amortissement'!$U$9:$U$23,C30,'2.2- Amortissement'!$W$9:$W$23,"Non")+SUMIFS('3- Frais généraux'!$BO$10:$BO$49,'3- Frais généraux'!$AI$10:$AI$49,C30)+SUMIFS('4- Déplacement &amp; hébergement'!$BO$10:$BO$49,'4- Déplacement &amp; hébergement'!$AI$10:$AI$49,C30)+IF('Syn pf instructeur'!$G$9="Le plafond d'auto-construction en contribution en nature est respecté",SUMIFS('5- Contribution en nature'!$Z$9:$Z$48,'5- Contribution en nature'!$T$9:$T$48,"Oui",'5- Contribution en nature'!$P$9:$P$48,'Syn pf instructeur'!C30),'Syn pf instructeur'!$G$8*SUMIFS('5- Contribution en nature'!$Z$9:$Z$48,'5- Contribution en nature'!$T$9:$T$48,"Oui",'5- Contribution en nature'!$P$9:$P$48,'Syn pf instructeur'!C30)/SUMIFS('5- Contribution en nature'!$Z$9:$Z$48,'5- Contribution en nature'!$T$9:$T$48,"Oui"))+SUMIFS('5- Contribution en nature'!$Z$9:$Z$48,'5- Contribution en nature'!$T$9:$T$48,"Non",'5- Contribution en nature'!$P$9:$P$48,'Syn pf instructeur'!C30)+SUMIFS('6- Coût participation agri'!$AE$9:$AE$48,'6- Coût participation agri'!$R$9:$R$48,C30)+SUMIFS('7- Taux forfaitaire'!$O$9:$O$32,'7- Taux forfaitaire'!$K$9:$K$32,C30),0)</f>
        <v>0</v>
      </c>
      <c r="F30" s="1160">
        <f t="shared" si="9"/>
        <v>0</v>
      </c>
      <c r="G30" s="899">
        <f>IF(D30=0,0,(F52+F62+F72+F82+F92+F102+F112+F122)/D30)</f>
        <v>0</v>
      </c>
      <c r="H30" s="1018">
        <f t="shared" si="2"/>
        <v>0</v>
      </c>
      <c r="I30" s="1510" t="e">
        <f>H30/$H$33</f>
        <v>#DIV/0!</v>
      </c>
      <c r="J30" s="1511">
        <f>IF($G$5="règle respectée",IF('Syn pf instructeur'!$G$9="Le plafond d'auto-construction en contribution en nature est respecté",SUMIFS('5- Contribution en nature'!$Z$9:$Z$48,'5- Contribution en nature'!$T$9:$T$48,"Oui",'5- Contribution en nature'!$P$9:$P$48,'Syn pf instructeur'!C30),'Syn pf instructeur'!$G$8*SUMIFS('5- Contribution en nature'!$Z$9:$Z$48,'5- Contribution en nature'!$T$9:$T$48,"Oui",'5- Contribution en nature'!$P$9:$P$48,'Syn pf instructeur'!C30)/SUMIFS('5- Contribution en nature'!$Z$9:$Z$48,'5- Contribution en nature'!$T$9:$T$48,"Oui"))+SUMIFS('5- Contribution en nature'!$Z$9:$Z$48,'5- Contribution en nature'!$T$9:$T$48,"Non",'5- Contribution en nature'!$P$9:$P$48,'Syn pf instructeur'!C30),0)</f>
        <v>0</v>
      </c>
      <c r="K30" s="1149">
        <f t="shared" si="3"/>
        <v>0</v>
      </c>
      <c r="L30" s="953">
        <f t="shared" si="4"/>
        <v>0</v>
      </c>
      <c r="M30" s="1728"/>
      <c r="N30" s="1731"/>
      <c r="O30" s="963" t="e">
        <f t="shared" si="5"/>
        <v>#DIV/0!</v>
      </c>
      <c r="P30" s="1725"/>
      <c r="Q30" s="1725"/>
      <c r="R30" s="964">
        <f t="shared" si="11"/>
        <v>0</v>
      </c>
      <c r="S30" s="716" t="e">
        <f t="shared" si="12"/>
        <v>#DIV/0!</v>
      </c>
      <c r="T30" s="894">
        <f t="shared" si="13"/>
        <v>0</v>
      </c>
      <c r="U30" s="894">
        <f t="shared" si="6"/>
        <v>0</v>
      </c>
      <c r="V30" s="894" t="e">
        <f>IF(O30="","",D30-O30-R30-U30-J30-$E$21*F30)</f>
        <v>#DIV/0!</v>
      </c>
      <c r="W30" s="970" t="e">
        <f t="shared" si="7"/>
        <v>#DIV/0!</v>
      </c>
      <c r="X30" s="1719"/>
      <c r="Y30" s="715"/>
      <c r="Z30" s="705"/>
    </row>
    <row r="31" spans="2:26" ht="29.1" customHeight="1">
      <c r="B31" s="1722"/>
      <c r="C31" s="215" t="s">
        <v>88</v>
      </c>
      <c r="D31" s="1507">
        <f>SUMIFS('1- Frais personnel'!$AI$9:$AI$68,'1- Frais personnel'!$T$9:$T$68,C31)+SUMIFS('2.1- Investissements'!$BS$11:$BS$50,'2.1- Investissements'!$AK$11:$AK$50,C31,'2.1- Investissements'!$AM$11:$AM$50,"Non")+SUMIFS('2.2- Amortissement'!$AJ$9:$AJ$23,'2.2- Amortissement'!$U$9:$U$23,C31,'2.2- Amortissement'!$W$9:$W$23,"Non")+SUMIFS('3- Frais généraux'!$BO$10:$BO$49,'3- Frais généraux'!$AI$10:$AI$49,C31)+SUMIFS('4- Déplacement &amp; hébergement'!$BO$10:$BO$49,'4- Déplacement &amp; hébergement'!$AI$10:$AI$49,C31)+SUMIFS('5- Contribution en nature'!$Z$9:$Z$48,'5- Contribution en nature'!$P$9:$P$48,C31)+SUMIFS('6- Coût participation agri'!$AE$9:$AE$48,'6- Coût participation agri'!$R$9:$R$48,C31)+SUMIFS('7- Taux forfaitaire'!$O$9:$O$32,'7- Taux forfaitaire'!$K$9:$K$32,C31)</f>
        <v>0</v>
      </c>
      <c r="E31" s="1509">
        <f>IF($G$5="Règle respectée",SUMIFS('1- Frais personnel'!$AI$9:$AI$68,'1- Frais personnel'!$T$9:$T$68,C31)+SUMIFS('2.1- Investissements'!$BS$11:$BS$50,'2.1- Investissements'!$AK$11:$AK$50,C31,'2.1- Investissements'!$AM$11:$AM$50,"Non")+SUMIFS('2.2- Amortissement'!$AJ$9:$AJ$23,'2.2- Amortissement'!$U$9:$U$23,C31,'2.2- Amortissement'!$W$9:$W$23,"Non")+SUMIFS('3- Frais généraux'!$BO$10:$BO$49,'3- Frais généraux'!$AI$10:$AI$49,C31)+SUMIFS('4- Déplacement &amp; hébergement'!$BO$10:$BO$49,'4- Déplacement &amp; hébergement'!$AI$10:$AI$49,C31)+IF('Syn pf instructeur'!$G$9="Le plafond d'auto-construction en contribution en nature est respecté",SUMIFS('5- Contribution en nature'!$Z$9:$Z$48,'5- Contribution en nature'!$T$9:$T$48,"Oui",'5- Contribution en nature'!$P$9:$P$48,'Syn pf instructeur'!C31),'Syn pf instructeur'!$G$8*SUMIFS('5- Contribution en nature'!$Z$9:$Z$48,'5- Contribution en nature'!$T$9:$T$48,"Oui",'5- Contribution en nature'!$P$9:$P$48,'Syn pf instructeur'!C31)/SUMIFS('5- Contribution en nature'!$Z$9:$Z$48,'5- Contribution en nature'!$T$9:$T$48,"Oui"))+SUMIFS('5- Contribution en nature'!$Z$9:$Z$48,'5- Contribution en nature'!$T$9:$T$48,"Non",'5- Contribution en nature'!$P$9:$P$48,'Syn pf instructeur'!C31)+SUMIFS('6- Coût participation agri'!$AE$9:$AE$48,'6- Coût participation agri'!$R$9:$R$48,C31)+SUMIFS('7- Taux forfaitaire'!$O$9:$O$32,'7- Taux forfaitaire'!$K$9:$K$32,C31),0)</f>
        <v>0</v>
      </c>
      <c r="F31" s="1508">
        <f t="shared" si="9"/>
        <v>0</v>
      </c>
      <c r="G31" s="896">
        <f t="shared" si="1"/>
        <v>0</v>
      </c>
      <c r="H31" s="1019">
        <f t="shared" si="2"/>
        <v>0</v>
      </c>
      <c r="I31" s="946" t="e">
        <f t="shared" si="10"/>
        <v>#DIV/0!</v>
      </c>
      <c r="J31" s="1514">
        <f>IF($G$5="règle respectée",IF('Syn pf instructeur'!$G$9="Le plafond d'auto-construction en contribution en nature est respecté",SUMIFS('5- Contribution en nature'!$Z$9:$Z$48,'5- Contribution en nature'!$T$9:$T$48,"Oui",'5- Contribution en nature'!$P$9:$P$48,'Syn pf instructeur'!C31),'Syn pf instructeur'!$G$8*SUMIFS('5- Contribution en nature'!$Z$9:$Z$48,'5- Contribution en nature'!$T$9:$T$48,"Oui",'5- Contribution en nature'!$P$9:$P$48,'Syn pf instructeur'!C31)/SUMIFS('5- Contribution en nature'!$Z$9:$Z$48,'5- Contribution en nature'!$T$9:$T$48,"Oui"))+SUMIFS('5- Contribution en nature'!$Z$9:$Z$48,'5- Contribution en nature'!$T$9:$T$48,"Non",'5- Contribution en nature'!$P$9:$P$48,'Syn pf instructeur'!C31),0)</f>
        <v>0</v>
      </c>
      <c r="K31" s="1513">
        <f t="shared" si="3"/>
        <v>0</v>
      </c>
      <c r="L31" s="954">
        <f t="shared" si="4"/>
        <v>0</v>
      </c>
      <c r="M31" s="1728"/>
      <c r="N31" s="1731"/>
      <c r="O31" s="963" t="e">
        <f t="shared" si="5"/>
        <v>#DIV/0!</v>
      </c>
      <c r="P31" s="1725"/>
      <c r="Q31" s="1725"/>
      <c r="R31" s="964">
        <f t="shared" si="11"/>
        <v>0</v>
      </c>
      <c r="S31" s="716" t="e">
        <f t="shared" si="12"/>
        <v>#DIV/0!</v>
      </c>
      <c r="T31" s="894">
        <f t="shared" si="13"/>
        <v>0</v>
      </c>
      <c r="U31" s="894">
        <f t="shared" si="6"/>
        <v>0</v>
      </c>
      <c r="V31" s="894" t="e">
        <f>IF(O31="","",D31-O31-R31-U31-J31-$E$21*F31)</f>
        <v>#DIV/0!</v>
      </c>
      <c r="W31" s="970" t="e">
        <f t="shared" si="7"/>
        <v>#DIV/0!</v>
      </c>
      <c r="X31" s="1719"/>
      <c r="Y31" s="715"/>
      <c r="Z31" s="705"/>
    </row>
    <row r="32" spans="2:26" ht="29.1" customHeight="1" thickBot="1">
      <c r="B32" s="1723"/>
      <c r="C32" s="683" t="s">
        <v>91</v>
      </c>
      <c r="D32" s="901">
        <f>SUMIFS('1- Frais personnel'!$AI$9:$AI$68,'1- Frais personnel'!$T$9:$T$68,C32)+SUMIFS('2.1- Investissements'!$BS$11:$BS$50,'2.1- Investissements'!$AK$11:$AK$50,C32,'2.1- Investissements'!$AM$11:$AM$50,"Non")+SUMIFS('2.2- Amortissement'!$AJ$9:$AJ$23,'2.2- Amortissement'!$U$9:$U$23,C32,'2.2- Amortissement'!$W$9:$W$23,"Non")+SUMIFS('3- Frais généraux'!$BO$10:$BO$49,'3- Frais généraux'!$AI$10:$AI$49,C32)+SUMIFS('4- Déplacement &amp; hébergement'!$BO$10:$BO$49,'4- Déplacement &amp; hébergement'!$AI$10:$AI$49,C32)+SUMIFS('5- Contribution en nature'!$Z$9:$Z$48,'5- Contribution en nature'!$P$9:$P$48,C32)+SUMIFS('6- Coût participation agri'!$AE$9:$AE$48,'6- Coût participation agri'!$R$9:$R$48,C32)+SUMIFS('7- Taux forfaitaire'!$O$9:$O$32,'7- Taux forfaitaire'!$K$9:$K$32,C32)</f>
        <v>0</v>
      </c>
      <c r="E32" s="1509">
        <f>IF($G$5="Règle respectée",SUMIFS('1- Frais personnel'!$AI$9:$AI$68,'1- Frais personnel'!$T$9:$T$68,C32)+SUMIFS('2.1- Investissements'!$BS$11:$BS$50,'2.1- Investissements'!$AK$11:$AK$50,C32,'2.1- Investissements'!$AM$11:$AM$50,"Non")+SUMIFS('2.2- Amortissement'!$AJ$9:$AJ$23,'2.2- Amortissement'!$U$9:$U$23,C32,'2.2- Amortissement'!$W$9:$W$23,"Non")+SUMIFS('3- Frais généraux'!$BO$10:$BO$49,'3- Frais généraux'!$AI$10:$AI$49,C32)+SUMIFS('4- Déplacement &amp; hébergement'!$BO$10:$BO$49,'4- Déplacement &amp; hébergement'!$AI$10:$AI$49,C32)+IF('Syn pf instructeur'!$G$9="Le plafond d'auto-construction en contribution en nature est respecté",SUMIFS('5- Contribution en nature'!$Z$9:$Z$48,'5- Contribution en nature'!$T$9:$T$48,"Oui",'5- Contribution en nature'!$P$9:$P$48,'Syn pf instructeur'!C32),'Syn pf instructeur'!$G$8*SUMIFS('5- Contribution en nature'!$Z$9:$Z$48,'5- Contribution en nature'!$T$9:$T$48,"Oui",'5- Contribution en nature'!$P$9:$P$48,'Syn pf instructeur'!C32)/SUMIFS('5- Contribution en nature'!$Z$9:$Z$48,'5- Contribution en nature'!$T$9:$T$48,"Oui"))+SUMIFS('5- Contribution en nature'!$Z$9:$Z$48,'5- Contribution en nature'!$T$9:$T$48,"Non",'5- Contribution en nature'!$P$9:$P$48,'Syn pf instructeur'!C32)+SUMIFS('6- Coût participation agri'!$AE$9:$AE$48,'6- Coût participation agri'!$R$9:$R$48,C32)+SUMIFS('7- Taux forfaitaire'!$O$9:$O$32,'7- Taux forfaitaire'!$K$9:$K$32,C32),0)</f>
        <v>0</v>
      </c>
      <c r="F32" s="1162">
        <f t="shared" si="9"/>
        <v>0</v>
      </c>
      <c r="G32" s="1022">
        <f t="shared" si="1"/>
        <v>0</v>
      </c>
      <c r="H32" s="1020">
        <f t="shared" si="2"/>
        <v>0</v>
      </c>
      <c r="I32" s="945" t="e">
        <f t="shared" si="10"/>
        <v>#DIV/0!</v>
      </c>
      <c r="J32" s="1683">
        <f>IF($G$5="règle respectée",IF('Syn pf instructeur'!$G$9="Le plafond d'auto-construction en contribution en nature est respecté",SUMIFS('5- Contribution en nature'!$Z$9:$Z$48,'5- Contribution en nature'!$T$9:$T$48,"Oui",'5- Contribution en nature'!$P$9:$P$48,'Syn pf instructeur'!C32),'Syn pf instructeur'!$G$8*SUMIFS('5- Contribution en nature'!$Z$9:$Z$48,'5- Contribution en nature'!$T$9:$T$48,"Oui",'5- Contribution en nature'!$P$9:$P$48,'Syn pf instructeur'!C32)/SUMIFS('5- Contribution en nature'!$Z$9:$Z$48,'5- Contribution en nature'!$T$9:$T$48,"Oui"))+SUMIFS('5- Contribution en nature'!$Z$9:$Z$48,'5- Contribution en nature'!$T$9:$T$48,"Non",'5- Contribution en nature'!$P$9:$P$48,'Syn pf instructeur'!C32),0)</f>
        <v>0</v>
      </c>
      <c r="K32" s="1151">
        <f t="shared" si="3"/>
        <v>0</v>
      </c>
      <c r="L32" s="955">
        <f t="shared" si="4"/>
        <v>0</v>
      </c>
      <c r="M32" s="1729"/>
      <c r="N32" s="1732"/>
      <c r="O32" s="965" t="e">
        <f t="shared" si="5"/>
        <v>#DIV/0!</v>
      </c>
      <c r="P32" s="1726"/>
      <c r="Q32" s="1726"/>
      <c r="R32" s="966">
        <f t="shared" si="11"/>
        <v>0</v>
      </c>
      <c r="S32" s="976" t="e">
        <f t="shared" si="12"/>
        <v>#DIV/0!</v>
      </c>
      <c r="T32" s="971">
        <f t="shared" si="13"/>
        <v>0</v>
      </c>
      <c r="U32" s="971">
        <f t="shared" si="6"/>
        <v>0</v>
      </c>
      <c r="V32" s="971" t="e">
        <f>IF(O32="","",D32-O32-R32-U32-J32-$E$21*F32)</f>
        <v>#DIV/0!</v>
      </c>
      <c r="W32" s="972" t="e">
        <f t="shared" si="7"/>
        <v>#DIV/0!</v>
      </c>
      <c r="X32" s="1719"/>
      <c r="Y32" s="715"/>
      <c r="Z32" s="708"/>
    </row>
    <row r="33" spans="1:36" s="571" customFormat="1" ht="27" customHeight="1" thickBot="1">
      <c r="B33" s="907"/>
      <c r="C33" s="947" t="s">
        <v>518</v>
      </c>
      <c r="D33" s="948">
        <f>IFERROR(SUM(D27:D32),0)</f>
        <v>0</v>
      </c>
      <c r="E33" s="949">
        <f>IFERROR(SUM(E27:E32),0)</f>
        <v>0</v>
      </c>
      <c r="F33" s="908">
        <f>IFERROR(IF($E$33=0,0,E33/$E$33),0)</f>
        <v>0</v>
      </c>
      <c r="G33"/>
      <c r="H33" s="950">
        <f>IFERROR(SUM(H27:H32),0)</f>
        <v>0</v>
      </c>
      <c r="I33" s="908" t="e">
        <f t="shared" si="10"/>
        <v>#DIV/0!</v>
      </c>
      <c r="J33" s="960">
        <f>+SUM(J27:J32)</f>
        <v>0</v>
      </c>
      <c r="K33" s="951">
        <f t="shared" si="3"/>
        <v>0</v>
      </c>
      <c r="L33" s="1021">
        <f>IF(K33=0,0,K33/E33)</f>
        <v>0</v>
      </c>
      <c r="M33"/>
      <c r="N33"/>
      <c r="O33" s="956" t="e">
        <f>IF(I33=0,0,ROUNDDOWN(IF($N$27="Oui",K33-($B$21*I33),K33*0.85),2))</f>
        <v>#DIV/0!</v>
      </c>
      <c r="P33"/>
      <c r="Q33"/>
      <c r="R33" s="957">
        <f>IF(K33=0,0,IF($N$27="Oui",ROUNDUP(0.15*O33/0.85,2),K33-O33))</f>
        <v>0</v>
      </c>
      <c r="S33" s="957" t="e">
        <f t="shared" si="12"/>
        <v>#DIV/0!</v>
      </c>
      <c r="T33" s="957">
        <f>IF(R33=0,0,R33-S33)</f>
        <v>0</v>
      </c>
      <c r="U33" s="957">
        <f t="shared" si="6"/>
        <v>0</v>
      </c>
      <c r="V33" s="973" t="e">
        <f>SUM(V27:V32)</f>
        <v>#DIV/0!</v>
      </c>
      <c r="W33" s="974" t="e">
        <f t="shared" si="7"/>
        <v>#DIV/0!</v>
      </c>
      <c r="X33" s="1720"/>
      <c r="Y33" s="710"/>
    </row>
    <row r="34" spans="1:36" ht="14.45" customHeight="1"/>
    <row r="35" spans="1:36" ht="6.6" customHeight="1"/>
    <row r="36" spans="1:36" ht="20.100000000000001" customHeight="1"/>
    <row r="38" spans="1:36" ht="21" customHeight="1">
      <c r="E38" s="245"/>
      <c r="F38" s="245"/>
      <c r="G38" s="245"/>
    </row>
    <row r="39" spans="1:36" ht="14.45" customHeight="1"/>
    <row r="40" spans="1:36" ht="14.45" customHeight="1"/>
    <row r="41" spans="1:36" ht="14.45" customHeight="1"/>
    <row r="42" spans="1:36" ht="14.45" customHeight="1"/>
    <row r="43" spans="1:36" ht="14.45" customHeight="1"/>
    <row r="44" spans="1:36" ht="14.45" customHeight="1"/>
    <row r="45" spans="1:36" ht="14.45" customHeight="1"/>
    <row r="46" spans="1:36" ht="69.95" customHeight="1" thickBot="1">
      <c r="B46" s="1769" t="s">
        <v>519</v>
      </c>
      <c r="C46" s="1770"/>
      <c r="D46" s="1770"/>
      <c r="E46" s="1770"/>
      <c r="F46" s="1770"/>
      <c r="G46" s="1770"/>
      <c r="H46" s="1770"/>
      <c r="I46" s="1770"/>
      <c r="J46" s="1770"/>
      <c r="K46" s="1770"/>
      <c r="L46" s="1770"/>
      <c r="M46" s="1770"/>
      <c r="N46" s="1770"/>
      <c r="O46" s="1770"/>
      <c r="P46" s="1770"/>
    </row>
    <row r="47" spans="1:36" ht="15.95" customHeight="1" thickBot="1">
      <c r="B47" s="1695" t="s">
        <v>10</v>
      </c>
      <c r="C47" s="1696"/>
      <c r="D47" s="1696"/>
      <c r="E47" s="1696"/>
      <c r="F47" s="1696"/>
      <c r="G47" s="1696"/>
      <c r="H47" s="1696"/>
      <c r="I47" s="1696"/>
      <c r="J47" s="1696"/>
      <c r="K47" s="1696"/>
      <c r="L47" s="1696"/>
      <c r="M47" s="1696"/>
      <c r="N47" s="1697"/>
    </row>
    <row r="48" spans="1:36" ht="134.44999999999999" customHeight="1" thickBot="1">
      <c r="A48" s="1015" t="s">
        <v>520</v>
      </c>
      <c r="B48" s="1013" t="s">
        <v>77</v>
      </c>
      <c r="C48" s="1107" t="s">
        <v>373</v>
      </c>
      <c r="D48" s="1108" t="s">
        <v>521</v>
      </c>
      <c r="E48" s="1108" t="s">
        <v>522</v>
      </c>
      <c r="F48" s="1108" t="s">
        <v>523</v>
      </c>
      <c r="G48" s="1109" t="s">
        <v>524</v>
      </c>
      <c r="H48" s="1109" t="s">
        <v>525</v>
      </c>
      <c r="I48" s="1109" t="s">
        <v>493</v>
      </c>
      <c r="J48" s="1109" t="s">
        <v>494</v>
      </c>
      <c r="K48" s="1109" t="s">
        <v>526</v>
      </c>
      <c r="L48" s="1109" t="s">
        <v>498</v>
      </c>
      <c r="M48" s="1109" t="s">
        <v>499</v>
      </c>
      <c r="N48" s="1109" t="s">
        <v>500</v>
      </c>
      <c r="O48" s="1109" t="s">
        <v>442</v>
      </c>
      <c r="P48" s="1109" t="s">
        <v>527</v>
      </c>
      <c r="T48" s="1689" t="s">
        <v>575</v>
      </c>
      <c r="U48" s="1691" t="s">
        <v>438</v>
      </c>
      <c r="V48" s="1684"/>
      <c r="W48" s="1684" t="s">
        <v>439</v>
      </c>
      <c r="X48" s="1684"/>
      <c r="Y48" s="1684" t="s">
        <v>440</v>
      </c>
      <c r="Z48" s="1684"/>
      <c r="AA48" s="1684" t="s">
        <v>441</v>
      </c>
      <c r="AB48" s="1684"/>
      <c r="AC48" s="1684" t="s">
        <v>442</v>
      </c>
      <c r="AD48" s="1684"/>
      <c r="AE48" s="1684" t="s">
        <v>443</v>
      </c>
      <c r="AF48" s="1684"/>
      <c r="AG48" s="1684" t="s">
        <v>444</v>
      </c>
      <c r="AH48" s="1684"/>
      <c r="AI48" s="1684" t="s">
        <v>445</v>
      </c>
      <c r="AJ48" s="1686"/>
    </row>
    <row r="49" spans="1:36" ht="80.099999999999994" customHeight="1" thickBot="1">
      <c r="A49" s="1693" t="s">
        <v>528</v>
      </c>
      <c r="B49" s="1105" t="s">
        <v>85</v>
      </c>
      <c r="C49" s="1056">
        <f>SUMIFS('2.1- Investissements'!$BS$11:$BS$50,'2.1- Investissements'!$AK$11:$AK$50,B49,'2.1- Investissements'!$AM$11:$AM$50,"Oui",'2.1- Investissements'!$C$11:$C$50,B47)+SUMIFS('2.2- Amortissement'!$AJ$9:$AJ$23,'2.2- Amortissement'!$U$9:$U$23,B49,'2.2- Amortissement'!$W$9:$W$23,"Oui",'2.2- Amortissement'!$C$9:$C$23,B47)</f>
        <v>0</v>
      </c>
      <c r="D49" s="1057" t="e">
        <f>C49/$C$127</f>
        <v>#VALUE!</v>
      </c>
      <c r="E49" s="1058">
        <v>0.8</v>
      </c>
      <c r="F49" s="968">
        <f>IF(E49=0,0,C49*E49)</f>
        <v>0</v>
      </c>
      <c r="G49" s="968" t="e">
        <f t="shared" ref="G49:G55" si="14">IF(OR(F49=0,ROUND(($E$21+$B$21)*$D$55+$O$55,2)&gt;=ROUND($C$55,2)),0,IF($E$21*$D$55+$O$55&gt;($C$55-$F$55),F49-($E$21*$D$55+$O$55-($C$55-$F$55))*(F49/$F$55),F49))</f>
        <v>#VALUE!</v>
      </c>
      <c r="H49" s="1072">
        <f>IF(C49=0,0,G49/C49)</f>
        <v>0</v>
      </c>
      <c r="I49" s="1698" t="e">
        <f>_xlfn.IFS($B$21="","Non concerné",$B$21*($C$55/$C$127)&lt;(0.15*$G$55),"Non",$B$21*($C$55/$C$127)=(0.15*$G$55),"Oui",$B$21*($C$55/$C$127)&gt;(0.15*$G$55),"Oui")</f>
        <v>#VALUE!</v>
      </c>
      <c r="J49" s="1059" t="e">
        <f t="shared" ref="J49:J55" si="15">IF(G49=0,0,IF($I$49="Oui",G49-$B$21*((F49/$F$55)*$C$55/$C$127),G49*0.85))</f>
        <v>#VALUE!</v>
      </c>
      <c r="K49" s="1163" t="e">
        <f>IF(G49=0,0,IF($I$49="Oui",0.15*J49/0.85,G49-J49))</f>
        <v>#VALUE!</v>
      </c>
      <c r="L49" s="1059">
        <f t="shared" ref="L49:L55" si="16">IF(C49=0,0,IF($I$49="Oui",K49,$B$21*(F49/$F$55*$C$55/$C$127)))</f>
        <v>0</v>
      </c>
      <c r="M49" s="1163" t="e">
        <f>IF(K49=0,0,K49-L49)</f>
        <v>#VALUE!</v>
      </c>
      <c r="N49" s="1059">
        <f t="shared" ref="N49:N55" si="17">IF($F$55=0,0,IF($B$21=0,0,(F49/$F$55*$C$55/$C$127)*$B$21-L49))</f>
        <v>0</v>
      </c>
      <c r="O49" s="1763" t="s">
        <v>516</v>
      </c>
      <c r="P49" s="1060">
        <f t="shared" ref="P49:P55" si="18">IFERROR(C49-J49-K49-N49-O49-($E$21*C49/$C$55*$C$55/$C$127),0)</f>
        <v>0</v>
      </c>
      <c r="Q49" s="1044"/>
      <c r="T49" s="1690"/>
      <c r="U49" s="1692"/>
      <c r="V49" s="1685"/>
      <c r="W49" s="1685"/>
      <c r="X49" s="1685"/>
      <c r="Y49" s="1685"/>
      <c r="Z49" s="1685"/>
      <c r="AA49" s="1685"/>
      <c r="AB49" s="1685"/>
      <c r="AC49" s="1685"/>
      <c r="AD49" s="1685"/>
      <c r="AE49" s="1685"/>
      <c r="AF49" s="1685"/>
      <c r="AG49" s="1685"/>
      <c r="AH49" s="1685"/>
      <c r="AI49" s="1687" t="s">
        <v>447</v>
      </c>
      <c r="AJ49" s="1688"/>
    </row>
    <row r="50" spans="1:36" s="1" customFormat="1" ht="39.950000000000003">
      <c r="A50" s="1693"/>
      <c r="B50" s="1106" t="s">
        <v>88</v>
      </c>
      <c r="C50" s="1061">
        <f>SUMIFS('2.1- Investissements'!$BS$11:$BS$50,'2.1- Investissements'!$AK$11:$AK$50,B50,'2.1- Investissements'!$AM$11:$AM$50,"Oui",'2.1- Investissements'!$C$11:$C$50,B47)+SUMIFS('2.2- Amortissement'!$AJ$9:$AJ$23,'2.2- Amortissement'!$U$9:$U$23,B50,'2.2- Amortissement'!$W$9:$W$23,"Oui",'2.2- Amortissement'!$C$9:$C$23,B47)</f>
        <v>0</v>
      </c>
      <c r="D50" s="1071" t="e">
        <f t="shared" ref="D50:D54" si="19">C50/$C$127</f>
        <v>#VALUE!</v>
      </c>
      <c r="E50" s="893">
        <v>0.8</v>
      </c>
      <c r="F50" s="894">
        <f t="shared" ref="F50:F54" si="20">IF(E50=0,0,C50*E50)</f>
        <v>0</v>
      </c>
      <c r="G50" s="894" t="e">
        <f t="shared" si="14"/>
        <v>#VALUE!</v>
      </c>
      <c r="H50" s="981">
        <f t="shared" ref="H50:H55" si="21">IF(C50=0,0,G50/C50)</f>
        <v>0</v>
      </c>
      <c r="I50" s="1699"/>
      <c r="J50" s="887" t="e">
        <f t="shared" si="15"/>
        <v>#VALUE!</v>
      </c>
      <c r="K50" s="887" t="e">
        <f t="shared" ref="K50:K54" si="22">IF(G50=0,0,IF($I$49="Oui",0.15*J50/0.85,G50-J50))</f>
        <v>#VALUE!</v>
      </c>
      <c r="L50" s="887">
        <f t="shared" si="16"/>
        <v>0</v>
      </c>
      <c r="M50" s="887" t="e">
        <f t="shared" ref="M50:M55" si="23">IF(K50=0,0,K50-L50)</f>
        <v>#VALUE!</v>
      </c>
      <c r="N50" s="887">
        <f t="shared" si="17"/>
        <v>0</v>
      </c>
      <c r="O50" s="1764"/>
      <c r="P50" s="1073">
        <f t="shared" si="18"/>
        <v>0</v>
      </c>
      <c r="T50" s="1141"/>
      <c r="U50" s="1142" t="s">
        <v>373</v>
      </c>
      <c r="V50" s="1143" t="s">
        <v>576</v>
      </c>
      <c r="W50" s="1143" t="s">
        <v>373</v>
      </c>
      <c r="X50" s="1143" t="s">
        <v>576</v>
      </c>
      <c r="Y50" s="1143" t="s">
        <v>373</v>
      </c>
      <c r="Z50" s="1143" t="s">
        <v>576</v>
      </c>
      <c r="AA50" s="1143" t="s">
        <v>373</v>
      </c>
      <c r="AB50" s="1143" t="s">
        <v>576</v>
      </c>
      <c r="AC50" s="1143" t="s">
        <v>373</v>
      </c>
      <c r="AD50" s="1143" t="s">
        <v>576</v>
      </c>
      <c r="AE50" s="1143" t="s">
        <v>373</v>
      </c>
      <c r="AF50" s="1143" t="s">
        <v>576</v>
      </c>
      <c r="AG50" s="1143" t="s">
        <v>373</v>
      </c>
      <c r="AH50" s="1143" t="s">
        <v>576</v>
      </c>
      <c r="AI50" s="1143" t="s">
        <v>373</v>
      </c>
      <c r="AJ50" s="1144" t="s">
        <v>576</v>
      </c>
    </row>
    <row r="51" spans="1:36" ht="20.100000000000001" thickBot="1">
      <c r="A51" s="1693"/>
      <c r="B51" s="1106" t="s">
        <v>91</v>
      </c>
      <c r="C51" s="1061">
        <f>SUMIFS('2.1- Investissements'!$BS$11:$BS$50,'2.1- Investissements'!$AK$11:$AK$50,B51,'2.1- Investissements'!$AM$11:$AM$50,"Oui",'2.1- Investissements'!$C$11:$C$50,B47)+SUMIFS('2.2- Amortissement'!$AJ$9:$AJ$23,'2.2- Amortissement'!$U$9:$U$23,B51,'2.2- Amortissement'!$W$9:$W$23,"Oui",'2.2- Amortissement'!$C$9:$C$23,B47)</f>
        <v>0</v>
      </c>
      <c r="D51" s="1071" t="e">
        <f t="shared" si="19"/>
        <v>#VALUE!</v>
      </c>
      <c r="E51" s="893">
        <v>0.8</v>
      </c>
      <c r="F51" s="894">
        <f t="shared" si="20"/>
        <v>0</v>
      </c>
      <c r="G51" s="894" t="e">
        <f t="shared" si="14"/>
        <v>#VALUE!</v>
      </c>
      <c r="H51" s="981">
        <f t="shared" si="21"/>
        <v>0</v>
      </c>
      <c r="I51" s="1699"/>
      <c r="J51" s="887" t="e">
        <f t="shared" si="15"/>
        <v>#VALUE!</v>
      </c>
      <c r="K51" s="887" t="e">
        <f t="shared" si="22"/>
        <v>#VALUE!</v>
      </c>
      <c r="L51" s="887">
        <f t="shared" si="16"/>
        <v>0</v>
      </c>
      <c r="M51" s="887" t="e">
        <f t="shared" si="23"/>
        <v>#VALUE!</v>
      </c>
      <c r="N51" s="887">
        <f t="shared" si="17"/>
        <v>0</v>
      </c>
      <c r="O51" s="1765"/>
      <c r="P51" s="1073">
        <f t="shared" si="18"/>
        <v>0</v>
      </c>
      <c r="T51" s="1139" t="s">
        <v>415</v>
      </c>
      <c r="U51" s="1145">
        <f>'Syn pf bénéficiaire'!K4</f>
        <v>0</v>
      </c>
      <c r="V51" s="1146">
        <f>L8</f>
        <v>0</v>
      </c>
      <c r="W51" s="1146">
        <f>'Syn pf bénéficiaire'!L4</f>
        <v>0</v>
      </c>
      <c r="X51" s="1146">
        <f>M8</f>
        <v>0</v>
      </c>
      <c r="Y51" s="1146">
        <f>'Syn pf bénéficiaire'!M4</f>
        <v>0</v>
      </c>
      <c r="Z51" s="1146">
        <f>N8</f>
        <v>0</v>
      </c>
      <c r="AA51" s="1146">
        <f>'Syn pf bénéficiaire'!N4</f>
        <v>0</v>
      </c>
      <c r="AB51" s="1146">
        <f>O8</f>
        <v>0</v>
      </c>
      <c r="AC51" s="1146">
        <f>'Syn pf bénéficiaire'!O4</f>
        <v>0</v>
      </c>
      <c r="AD51" s="1146">
        <f>P8</f>
        <v>0</v>
      </c>
      <c r="AE51" s="1146">
        <f>'Syn pf bénéficiaire'!P4</f>
        <v>0</v>
      </c>
      <c r="AF51" s="1146">
        <f>Q8</f>
        <v>0</v>
      </c>
      <c r="AG51" s="1146">
        <f>'Syn pf bénéficiaire'!Q4</f>
        <v>0</v>
      </c>
      <c r="AH51" s="1146">
        <f>R8</f>
        <v>0</v>
      </c>
      <c r="AI51" s="1146">
        <f>'Syn pf bénéficiaire'!R4</f>
        <v>0</v>
      </c>
      <c r="AJ51" s="1147">
        <f>S8</f>
        <v>0</v>
      </c>
    </row>
    <row r="52" spans="1:36" ht="32.1">
      <c r="A52" s="1693" t="s">
        <v>529</v>
      </c>
      <c r="B52" s="1106" t="s">
        <v>85</v>
      </c>
      <c r="C52" s="1061">
        <f>SUMIFS('2.1- Investissements'!$BS$11:$BS$50,'2.1- Investissements'!$AK$11:$AK$50,B52,'2.1- Investissements'!$AM$11:$AM$50,"Non",'2.1- Investissements'!$C$11:$C$50,B47)+SUMIFS('2.2- Amortissement'!$AJ$9:$AJ$23,'2.2- Amortissement'!$U$9:$U$23,B52,'2.2- Amortissement'!$W$9:$W$23,"Non",'2.2- Amortissement'!$C$9:$C$23,B47)+SUMIFS('3- Frais généraux'!$BO$10:$BO$49,'3- Frais généraux'!$AI$10:$AI$49,B52,'3- Frais généraux'!$C$10:$C$49,B47)+SUMIFS('1- Frais personnel'!$AI$9:$AI$68,'1- Frais personnel'!$T$9:$T$68,B52,'1- Frais personnel'!$C$9:$C$68,B47)+SUMIFS('4- Déplacement &amp; hébergement'!$BO$10:$BO$49,'4- Déplacement &amp; hébergement'!$AI$10:$AI$49,B52,'4- Déplacement &amp; hébergement'!$C$10:$C$49,B47)+SUMIFS('5- Contribution en nature'!$Z$9:$Z$48,'5- Contribution en nature'!$P$9:$P$48,B52,'5- Contribution en nature'!$C$9:$C$48,B47)+SUMIFS('6- Coût participation agri'!$AE$9:$AE$48,'6- Coût participation agri'!$R$9:$R$48, B52,'6- Coût participation agri'!$C$9:$C$48,B47)+SUMIFS('7- Taux forfaitaire'!$O$9:$O$32,'7- Taux forfaitaire'!$K$9:$K$32,B52,'7- Taux forfaitaire'!$C$9:$C$32,B47)</f>
        <v>0</v>
      </c>
      <c r="D52" s="1071" t="e">
        <f t="shared" si="19"/>
        <v>#VALUE!</v>
      </c>
      <c r="E52" s="893">
        <v>1</v>
      </c>
      <c r="F52" s="894">
        <f t="shared" si="20"/>
        <v>0</v>
      </c>
      <c r="G52" s="894" t="e">
        <f t="shared" si="14"/>
        <v>#VALUE!</v>
      </c>
      <c r="H52" s="981">
        <f>IF(C52=0,0,G52/C52)</f>
        <v>0</v>
      </c>
      <c r="I52" s="1699"/>
      <c r="J52" s="887" t="e">
        <f t="shared" si="15"/>
        <v>#VALUE!</v>
      </c>
      <c r="K52" s="887" t="e">
        <f t="shared" si="22"/>
        <v>#VALUE!</v>
      </c>
      <c r="L52" s="887">
        <f t="shared" si="16"/>
        <v>0</v>
      </c>
      <c r="M52" s="887" t="e">
        <f t="shared" si="23"/>
        <v>#VALUE!</v>
      </c>
      <c r="N52" s="887">
        <f t="shared" si="17"/>
        <v>0</v>
      </c>
      <c r="O52" s="887">
        <f>SUMIFS('5- Contribution en nature'!$Z$9:$Z$48,'5- Contribution en nature'!$P$9:$P$48,B52,'5- Contribution en nature'!$O$9:$O$48,"Chef de file")</f>
        <v>0</v>
      </c>
      <c r="P52" s="1073">
        <f t="shared" si="18"/>
        <v>0</v>
      </c>
      <c r="T52" s="1140" t="s">
        <v>10</v>
      </c>
      <c r="U52" s="1051">
        <f>'Syn pf bénéficiaire'!X34</f>
        <v>0</v>
      </c>
      <c r="V52" s="888">
        <f>IF($L$10=0,0,SUMIFS('1- Frais personnel'!$AI$9:$AI$68,'1- Frais personnel'!$S$9:$S$68,'Syn pf instructeur'!T52))</f>
        <v>0</v>
      </c>
      <c r="W52" s="888">
        <f>'Syn pf bénéficiaire'!Y34</f>
        <v>0</v>
      </c>
      <c r="X52" s="888">
        <f>IF($L$10=0,0,SUMIFS('2.1- Investissements'!$BS$11:$BS$50,'2.1- Investissements'!$AJ$11:$AJ$50,T52))</f>
        <v>0</v>
      </c>
      <c r="Y52" s="888">
        <f>'Syn pf bénéficiaire'!Z34</f>
        <v>0</v>
      </c>
      <c r="Z52" s="888">
        <f>IF($L$10=0,0,SUMIFS('3- Frais généraux'!$BO$10:$BO$49,'3- Frais généraux'!$AH$10:$AH$49,T52))</f>
        <v>0</v>
      </c>
      <c r="AA52" s="888">
        <f>'Syn pf bénéficiaire'!AA34</f>
        <v>0</v>
      </c>
      <c r="AB52" s="888">
        <f>IF($L$10=0,0,SUMIFS('4- Déplacement &amp; hébergement'!$BO$10:$BO$49,'4- Déplacement &amp; hébergement'!$AH$10:$AH$49,T52))</f>
        <v>0</v>
      </c>
      <c r="AC52" s="888">
        <f>'Syn pf bénéficiaire'!AB34</f>
        <v>0</v>
      </c>
      <c r="AD52" s="888">
        <f>IF($L$10=0,0,SUMIFS('5- Contribution en nature'!Z9:Z48,'5- Contribution en nature'!O9:O48,$T$52))</f>
        <v>0</v>
      </c>
      <c r="AE52" s="888">
        <f>'Syn pf bénéficiaire'!AC34</f>
        <v>0</v>
      </c>
      <c r="AF52" s="888">
        <f>IF($L$10=0,0,SUMIFS('6- Coût participation agri'!$AE$9:$AE$48,'6- Coût participation agri'!$Q$9:$Q$48,T52))</f>
        <v>0</v>
      </c>
      <c r="AG52" s="888">
        <f>'Syn pf bénéficiaire'!AD34</f>
        <v>0</v>
      </c>
      <c r="AH52" s="888">
        <f>IF($L$10=0,0,SUMIFS('2.2- Amortissement'!$AJ$9:$AJ$23,'2.2- Amortissement'!$T$9:$T$23,T52))</f>
        <v>0</v>
      </c>
      <c r="AI52" s="888">
        <f>'Syn pf bénéficiaire'!AE34</f>
        <v>0</v>
      </c>
      <c r="AJ52" s="992">
        <f>IF($L$10=0,0,SUMIFS('7- Taux forfaitaire'!$O$9:$O$32,'7- Taux forfaitaire'!$J$9:$J$32,T52))</f>
        <v>0</v>
      </c>
    </row>
    <row r="53" spans="1:36" ht="32.1">
      <c r="A53" s="1693"/>
      <c r="B53" s="1106" t="s">
        <v>88</v>
      </c>
      <c r="C53" s="1061">
        <f>SUMIFS('2.1- Investissements'!$BS$11:$BS$50,'2.1- Investissements'!$AK$11:$AK$50,B53,'2.1- Investissements'!$AM$11:$AM$50,"Non",'2.1- Investissements'!$C$11:$C$50,B47)+SUMIFS('2.2- Amortissement'!$AJ$9:$AJ$23,'2.2- Amortissement'!$U$9:$U$23,B53,'2.2- Amortissement'!$W$9:$W$23,"Non",'2.2- Amortissement'!$C$9:$C$23,B47)+SUMIFS('3- Frais généraux'!$BO$10:$BO$49,'3- Frais généraux'!$AI$10:$AI$49,B53,'3- Frais généraux'!$C$10:$C$49,B47)+SUMIFS('1- Frais personnel'!$AI$9:$AI$68,'1- Frais personnel'!$T$9:$T$68,B53,'1- Frais personnel'!$C$9:$C$68,B47)+SUMIFS('4- Déplacement &amp; hébergement'!$BO$10:$BO$49,'4- Déplacement &amp; hébergement'!$AI$10:$AI$49,B53,'4- Déplacement &amp; hébergement'!$C$10:$C$49,B47)+SUMIFS('5- Contribution en nature'!$Z$9:$Z$48,'5- Contribution en nature'!$P$9:$P$48,B53,'5- Contribution en nature'!$C$9:$C$48,B47)+SUMIFS('6- Coût participation agri'!$AE$9:$AE$48,'6- Coût participation agri'!$R$9:$R$48, B53,'6- Coût participation agri'!$C$9:$C$48,B47)+SUMIFS('7- Taux forfaitaire'!$O$9:$O$32,'7- Taux forfaitaire'!$K$9:$K$32,B53,'7- Taux forfaitaire'!$C$9:$C$32,B47)</f>
        <v>0</v>
      </c>
      <c r="D53" s="1071" t="e">
        <f t="shared" si="19"/>
        <v>#VALUE!</v>
      </c>
      <c r="E53" s="893">
        <v>1</v>
      </c>
      <c r="F53" s="894">
        <f t="shared" si="20"/>
        <v>0</v>
      </c>
      <c r="G53" s="894" t="e">
        <f t="shared" si="14"/>
        <v>#VALUE!</v>
      </c>
      <c r="H53" s="981">
        <f t="shared" si="21"/>
        <v>0</v>
      </c>
      <c r="I53" s="1699"/>
      <c r="J53" s="887" t="e">
        <f t="shared" si="15"/>
        <v>#VALUE!</v>
      </c>
      <c r="K53" s="887" t="e">
        <f t="shared" si="22"/>
        <v>#VALUE!</v>
      </c>
      <c r="L53" s="887">
        <f t="shared" si="16"/>
        <v>0</v>
      </c>
      <c r="M53" s="887" t="e">
        <f t="shared" si="23"/>
        <v>#VALUE!</v>
      </c>
      <c r="N53" s="887">
        <f t="shared" si="17"/>
        <v>0</v>
      </c>
      <c r="O53" s="887">
        <f>SUMIFS('5- Contribution en nature'!$Z$9:$Z$48,'5- Contribution en nature'!$P$9:$P$48,B53,'5- Contribution en nature'!$O$9:$O$48,"Chef de file")</f>
        <v>0</v>
      </c>
      <c r="P53" s="1073">
        <f t="shared" si="18"/>
        <v>0</v>
      </c>
      <c r="T53" s="1138" t="s">
        <v>11</v>
      </c>
      <c r="U53" s="1136">
        <f>'Syn pf bénéficiaire'!X35</f>
        <v>0</v>
      </c>
      <c r="V53" s="887">
        <f>IF($L$10=0,0,SUMIFS('1- Frais personnel'!$AI$9:$AI$68,'1- Frais personnel'!$S$9:$S$68,'Syn pf instructeur'!T53))</f>
        <v>0</v>
      </c>
      <c r="W53" s="887">
        <f>'Syn pf bénéficiaire'!Y35</f>
        <v>0</v>
      </c>
      <c r="X53" s="887">
        <f>IF($L$10=0,0,SUMIFS('2.1- Investissements'!$BS$11:$BS$50,'2.1- Investissements'!$AJ$11:$AJ$50,T53))</f>
        <v>0</v>
      </c>
      <c r="Y53" s="887">
        <f>'Syn pf bénéficiaire'!Z35</f>
        <v>0</v>
      </c>
      <c r="Z53" s="887">
        <f>IF($L$10=0,0,SUMIFS('3- Frais généraux'!$BO$10:$BO$49,'3- Frais généraux'!$AH$10:$AH$49,T53))</f>
        <v>0</v>
      </c>
      <c r="AA53" s="887">
        <f>'Syn pf bénéficiaire'!AA35</f>
        <v>0</v>
      </c>
      <c r="AB53" s="887">
        <f>IF($L$10=0,0,SUMIFS('4- Déplacement &amp; hébergement'!$BO$10:$BO$49,'4- Déplacement &amp; hébergement'!$AH$10:$AH$49,T53))</f>
        <v>0</v>
      </c>
      <c r="AC53" s="887">
        <f>'Syn pf bénéficiaire'!AB35</f>
        <v>0</v>
      </c>
      <c r="AD53" s="887">
        <f>IF($L$10=0,0,SUMIFS('5- Contribution en nature'!Z10:Z49,'5- Contribution en nature'!O10:O49,$T$52))</f>
        <v>0</v>
      </c>
      <c r="AE53" s="887">
        <f>'Syn pf bénéficiaire'!AC35</f>
        <v>0</v>
      </c>
      <c r="AF53" s="887">
        <f>IF($L$10=0,0,SUMIFS('6- Coût participation agri'!$AE$9:$AE$48,'6- Coût participation agri'!$Q$9:$Q$48,T53))</f>
        <v>0</v>
      </c>
      <c r="AG53" s="887">
        <f>'Syn pf bénéficiaire'!AD35</f>
        <v>0</v>
      </c>
      <c r="AH53" s="887">
        <f>IF($L$10=0,0,SUMIFS('2.2- Amortissement'!$AJ$9:$AJ$23,'2.2- Amortissement'!$T$9:$T$23,T53))</f>
        <v>0</v>
      </c>
      <c r="AI53" s="887">
        <f>'Syn pf bénéficiaire'!AE35</f>
        <v>0</v>
      </c>
      <c r="AJ53" s="1073">
        <f>IF($L$10=0,0,SUMIFS('7- Taux forfaitaire'!$O$9:$O$32,'7- Taux forfaitaire'!$J$9:$J$32,T53))</f>
        <v>0</v>
      </c>
    </row>
    <row r="54" spans="1:36" ht="20.100000000000001" thickBot="1">
      <c r="A54" s="1694"/>
      <c r="B54" s="1106" t="s">
        <v>91</v>
      </c>
      <c r="C54" s="1078">
        <f>SUMIFS('2.1- Investissements'!$BS$11:$BS$50,'2.1- Investissements'!$AK$11:$AK$50,B54,'2.1- Investissements'!$AM$11:$AM$50,"Non",'2.1- Investissements'!$C$11:$C$50,B47)+SUMIFS('2.2- Amortissement'!$AJ$9:$AJ$23,'2.2- Amortissement'!$U$9:$U$23,B54,'2.2- Amortissement'!$W$9:$W$23,"Non",'2.2- Amortissement'!$C$9:$C$23,B47)+SUMIFS('3- Frais généraux'!$BO$10:$BO$49,'3- Frais généraux'!$AI$10:$AI$49,B54,'3- Frais généraux'!$C$10:$C$49,B47)+SUMIFS('1- Frais personnel'!$AI$9:$AI$68,'1- Frais personnel'!$T$9:$T$68,B54,'1- Frais personnel'!$C$9:$C$68,B47)+SUMIFS('4- Déplacement &amp; hébergement'!$BO$10:$BO$49,'4- Déplacement &amp; hébergement'!$AI$10:$AI$49,B54,'4- Déplacement &amp; hébergement'!$C$10:$C$49,B47)+SUMIFS('5- Contribution en nature'!$Z$9:$Z$48,'5- Contribution en nature'!$P$9:$P$48,B54,'5- Contribution en nature'!$C$9:$C$48,B47)+SUMIFS('6- Coût participation agri'!$AE$9:$AE$48,'6- Coût participation agri'!$R$9:$R$48, B54,'6- Coût participation agri'!$C$9:$C$48,B47)+SUMIFS('7- Taux forfaitaire'!$O$9:$O$32,'7- Taux forfaitaire'!$K$9:$K$32,B54,'7- Taux forfaitaire'!$C$9:$C$32,B47)</f>
        <v>0</v>
      </c>
      <c r="D54" s="1079" t="e">
        <f t="shared" si="19"/>
        <v>#VALUE!</v>
      </c>
      <c r="E54" s="1080">
        <v>1</v>
      </c>
      <c r="F54" s="977">
        <f t="shared" si="20"/>
        <v>0</v>
      </c>
      <c r="G54" s="971" t="e">
        <f t="shared" si="14"/>
        <v>#VALUE!</v>
      </c>
      <c r="H54" s="1081">
        <f t="shared" si="21"/>
        <v>0</v>
      </c>
      <c r="I54" s="1700"/>
      <c r="J54" s="1045" t="e">
        <f t="shared" si="15"/>
        <v>#VALUE!</v>
      </c>
      <c r="K54" s="888" t="e">
        <f t="shared" si="22"/>
        <v>#VALUE!</v>
      </c>
      <c r="L54" s="1045">
        <f t="shared" si="16"/>
        <v>0</v>
      </c>
      <c r="M54" s="888" t="e">
        <f t="shared" si="23"/>
        <v>#VALUE!</v>
      </c>
      <c r="N54" s="1045">
        <f t="shared" si="17"/>
        <v>0</v>
      </c>
      <c r="O54" s="1045">
        <f>SUMIFS('5- Contribution en nature'!$Z$9:$Z$48,'5- Contribution en nature'!$P$9:$P$48,B54,'5- Contribution en nature'!$O$9:$O$48,"Chef de file")</f>
        <v>0</v>
      </c>
      <c r="P54" s="1082">
        <f t="shared" si="18"/>
        <v>0</v>
      </c>
      <c r="T54" s="1138" t="s">
        <v>12</v>
      </c>
      <c r="U54" s="1136">
        <f>'Syn pf bénéficiaire'!X36</f>
        <v>0</v>
      </c>
      <c r="V54" s="887">
        <f>IF($L$10=0,0,SUMIFS('1- Frais personnel'!$AI$9:$AI$68,'1- Frais personnel'!$S$9:$S$68,'Syn pf instructeur'!T54))</f>
        <v>0</v>
      </c>
      <c r="W54" s="887">
        <f>'Syn pf bénéficiaire'!Y36</f>
        <v>0</v>
      </c>
      <c r="X54" s="887">
        <f>IF($L$10=0,0,SUMIFS('2.1- Investissements'!$BS$11:$BS$50,'2.1- Investissements'!$AJ$11:$AJ$50,T54))</f>
        <v>0</v>
      </c>
      <c r="Y54" s="887">
        <f>'Syn pf bénéficiaire'!Z36</f>
        <v>0</v>
      </c>
      <c r="Z54" s="887">
        <f>IF($L$10=0,0,SUMIFS('3- Frais généraux'!$BO$10:$BO$49,'3- Frais généraux'!$AH$10:$AH$49,T54))</f>
        <v>0</v>
      </c>
      <c r="AA54" s="887">
        <f>'Syn pf bénéficiaire'!AA36</f>
        <v>0</v>
      </c>
      <c r="AB54" s="887">
        <f>IF($L$10=0,0,SUMIFS('4- Déplacement &amp; hébergement'!$BO$10:$BO$49,'4- Déplacement &amp; hébergement'!$AH$10:$AH$49,T54))</f>
        <v>0</v>
      </c>
      <c r="AC54" s="887">
        <f>'Syn pf bénéficiaire'!AB36</f>
        <v>0</v>
      </c>
      <c r="AD54" s="887">
        <f>IF($L$10=0,0,SUMIFS('5- Contribution en nature'!Z11:Z50,'5- Contribution en nature'!O11:O50,$T$52))</f>
        <v>0</v>
      </c>
      <c r="AE54" s="887">
        <f>'Syn pf bénéficiaire'!AC36</f>
        <v>0</v>
      </c>
      <c r="AF54" s="887">
        <f>IF($L$10=0,0,SUMIFS('6- Coût participation agri'!$AE$9:$AE$48,'6- Coût participation agri'!$Q$9:$Q$48,T54))</f>
        <v>0</v>
      </c>
      <c r="AG54" s="887">
        <f>'Syn pf bénéficiaire'!AD36</f>
        <v>0</v>
      </c>
      <c r="AH54" s="887">
        <f>IF($L$10=0,0,SUMIFS('2.2- Amortissement'!$AJ$9:$AJ$23,'2.2- Amortissement'!$T$9:$T$23,T54))</f>
        <v>0</v>
      </c>
      <c r="AI54" s="887">
        <f>'Syn pf bénéficiaire'!AE36</f>
        <v>0</v>
      </c>
      <c r="AJ54" s="1073">
        <f>IF($L$10=0,0,SUMIFS('7- Taux forfaitaire'!$O$9:$O$32,'7- Taux forfaitaire'!$J$9:$J$32,T54))</f>
        <v>0</v>
      </c>
    </row>
    <row r="55" spans="1:36" s="353" customFormat="1" ht="65.099999999999994" thickBot="1">
      <c r="B55" s="1090" t="s">
        <v>530</v>
      </c>
      <c r="C55" s="1091">
        <f>IF(D10=0,"",SUM(C49:C54))</f>
        <v>0</v>
      </c>
      <c r="D55" s="983" t="e">
        <f>C55/$C$127</f>
        <v>#VALUE!</v>
      </c>
      <c r="E55" s="984"/>
      <c r="F55" s="684">
        <f>SUM(F49:F54)</f>
        <v>0</v>
      </c>
      <c r="G55" s="684" t="e">
        <f t="shared" si="14"/>
        <v>#VALUE!</v>
      </c>
      <c r="H55" s="985">
        <f t="shared" si="21"/>
        <v>0</v>
      </c>
      <c r="I55" s="1089"/>
      <c r="J55" s="986" t="e">
        <f t="shared" si="15"/>
        <v>#VALUE!</v>
      </c>
      <c r="K55" s="1046" t="e">
        <f>IF(G55=0,0,IF($I$49="Oui",ROUNDUP(0.15*J55/0.85,2),G55-J55))</f>
        <v>#VALUE!</v>
      </c>
      <c r="L55" s="986">
        <f t="shared" si="16"/>
        <v>0</v>
      </c>
      <c r="M55" s="1046" t="e">
        <f t="shared" si="23"/>
        <v>#VALUE!</v>
      </c>
      <c r="N55" s="986">
        <f t="shared" si="17"/>
        <v>0</v>
      </c>
      <c r="O55" s="986">
        <f>SUM(O49:O54)</f>
        <v>0</v>
      </c>
      <c r="P55" s="987">
        <f t="shared" si="18"/>
        <v>0</v>
      </c>
      <c r="T55" s="1138" t="s">
        <v>13</v>
      </c>
      <c r="U55" s="1136">
        <f>'Syn pf bénéficiaire'!X37</f>
        <v>0</v>
      </c>
      <c r="V55" s="887">
        <f>IF($L$10=0,0,SUMIFS('1- Frais personnel'!$AI$9:$AI$68,'1- Frais personnel'!$S$9:$S$68,'Syn pf instructeur'!T55))</f>
        <v>0</v>
      </c>
      <c r="W55" s="887">
        <f>'Syn pf bénéficiaire'!Y37</f>
        <v>0</v>
      </c>
      <c r="X55" s="887">
        <f>IF($L$10=0,0,SUMIFS('2.1- Investissements'!$BS$11:$BS$50,'2.1- Investissements'!$AJ$11:$AJ$50,T55))</f>
        <v>0</v>
      </c>
      <c r="Y55" s="887">
        <f>'Syn pf bénéficiaire'!Z37</f>
        <v>0</v>
      </c>
      <c r="Z55" s="887">
        <f>IF($L$10=0,0,SUMIFS('3- Frais généraux'!$BO$10:$BO$49,'3- Frais généraux'!$AH$10:$AH$49,T55))</f>
        <v>0</v>
      </c>
      <c r="AA55" s="887">
        <f>'Syn pf bénéficiaire'!AA37</f>
        <v>0</v>
      </c>
      <c r="AB55" s="887">
        <f>IF($L$10=0,0,SUMIFS('4- Déplacement &amp; hébergement'!$BO$10:$BO$49,'4- Déplacement &amp; hébergement'!$AH$10:$AH$49,T55))</f>
        <v>0</v>
      </c>
      <c r="AC55" s="887">
        <f>'Syn pf bénéficiaire'!AB37</f>
        <v>0</v>
      </c>
      <c r="AD55" s="887">
        <f>IF($L$10=0,0,SUMIFS('5- Contribution en nature'!Z12:Z51,'5- Contribution en nature'!O12:O51,$T$52))</f>
        <v>0</v>
      </c>
      <c r="AE55" s="887">
        <f>'Syn pf bénéficiaire'!AC37</f>
        <v>0</v>
      </c>
      <c r="AF55" s="887">
        <f>IF($L$10=0,0,SUMIFS('6- Coût participation agri'!$AE$9:$AE$48,'6- Coût participation agri'!$Q$9:$Q$48,T55))</f>
        <v>0</v>
      </c>
      <c r="AG55" s="887">
        <f>'Syn pf bénéficiaire'!AD37</f>
        <v>0</v>
      </c>
      <c r="AH55" s="887">
        <f>IF($L$10=0,0,SUMIFS('2.2- Amortissement'!$AJ$9:$AJ$23,'2.2- Amortissement'!$T$9:$T$23,T55))</f>
        <v>0</v>
      </c>
      <c r="AI55" s="887">
        <f>'Syn pf bénéficiaire'!AE37</f>
        <v>0</v>
      </c>
      <c r="AJ55" s="1073">
        <f>IF($L$10=0,0,SUMIFS('7- Taux forfaitaire'!$O$9:$O$32,'7- Taux forfaitaire'!$J$9:$J$32,T55))</f>
        <v>0</v>
      </c>
    </row>
    <row r="56" spans="1:36" ht="20.100000000000001" thickBot="1">
      <c r="T56" s="1138" t="s">
        <v>14</v>
      </c>
      <c r="U56" s="1136">
        <f>'Syn pf bénéficiaire'!X38</f>
        <v>0</v>
      </c>
      <c r="V56" s="887">
        <f>IF($L$10=0,0,SUMIFS('1- Frais personnel'!$AI$9:$AI$68,'1- Frais personnel'!$S$9:$S$68,'Syn pf instructeur'!T56))</f>
        <v>0</v>
      </c>
      <c r="W56" s="887">
        <f>'Syn pf bénéficiaire'!Y38</f>
        <v>0</v>
      </c>
      <c r="X56" s="887">
        <f>IF($L$10=0,0,SUMIFS('2.1- Investissements'!$BS$11:$BS$50,'2.1- Investissements'!$AJ$11:$AJ$50,T56))</f>
        <v>0</v>
      </c>
      <c r="Y56" s="887">
        <f>'Syn pf bénéficiaire'!Z38</f>
        <v>0</v>
      </c>
      <c r="Z56" s="887">
        <f>IF($L$10=0,0,SUMIFS('3- Frais généraux'!$BO$10:$BO$49,'3- Frais généraux'!$AH$10:$AH$49,T56))</f>
        <v>0</v>
      </c>
      <c r="AA56" s="887">
        <f>'Syn pf bénéficiaire'!AA38</f>
        <v>0</v>
      </c>
      <c r="AB56" s="887">
        <f>IF($L$10=0,0,SUMIFS('4- Déplacement &amp; hébergement'!$BO$10:$BO$49,'4- Déplacement &amp; hébergement'!$AH$10:$AH$49,T56))</f>
        <v>0</v>
      </c>
      <c r="AC56" s="887">
        <f>'Syn pf bénéficiaire'!AB38</f>
        <v>0</v>
      </c>
      <c r="AD56" s="887">
        <f>IF($L$10=0,0,SUMIFS('5- Contribution en nature'!Z13:Z52,'5- Contribution en nature'!O13:O52,$T$52))</f>
        <v>0</v>
      </c>
      <c r="AE56" s="887">
        <f>'Syn pf bénéficiaire'!AC38</f>
        <v>0</v>
      </c>
      <c r="AF56" s="887">
        <f>IF($L$10=0,0,SUMIFS('6- Coût participation agri'!$AE$9:$AE$48,'6- Coût participation agri'!$Q$9:$Q$48,T56))</f>
        <v>0</v>
      </c>
      <c r="AG56" s="887">
        <f>'Syn pf bénéficiaire'!AD38</f>
        <v>0</v>
      </c>
      <c r="AH56" s="887">
        <f>IF($L$10=0,0,SUMIFS('2.2- Amortissement'!$AJ$9:$AJ$23,'2.2- Amortissement'!$T$9:$T$23,T56))</f>
        <v>0</v>
      </c>
      <c r="AI56" s="887">
        <f>'Syn pf bénéficiaire'!AE38</f>
        <v>0</v>
      </c>
      <c r="AJ56" s="1073">
        <f>IF($L$10=0,0,SUMIFS('7- Taux forfaitaire'!$O$9:$O$32,'7- Taux forfaitaire'!$J$9:$J$32,T56))</f>
        <v>0</v>
      </c>
    </row>
    <row r="57" spans="1:36" ht="15.95" customHeight="1" thickBot="1">
      <c r="B57" s="1695" t="s">
        <v>11</v>
      </c>
      <c r="C57" s="1696"/>
      <c r="D57" s="1696"/>
      <c r="E57" s="1696"/>
      <c r="F57" s="1696"/>
      <c r="G57" s="1696"/>
      <c r="H57" s="1696"/>
      <c r="I57" s="1696"/>
      <c r="J57" s="1696"/>
      <c r="K57" s="1696"/>
      <c r="L57" s="1696"/>
      <c r="M57" s="1696"/>
      <c r="N57" s="1697"/>
      <c r="T57" s="1138" t="s">
        <v>15</v>
      </c>
      <c r="U57" s="1136">
        <f>'Syn pf bénéficiaire'!X39</f>
        <v>0</v>
      </c>
      <c r="V57" s="887">
        <f>IF($L$10=0,0,SUMIFS('1- Frais personnel'!$AI$9:$AI$68,'1- Frais personnel'!$S$9:$S$68,'Syn pf instructeur'!T57))</f>
        <v>0</v>
      </c>
      <c r="W57" s="887">
        <f>'Syn pf bénéficiaire'!Y39</f>
        <v>0</v>
      </c>
      <c r="X57" s="887">
        <f>IF($L$10=0,0,SUMIFS('2.1- Investissements'!$BS$11:$BS$50,'2.1- Investissements'!$AJ$11:$AJ$50,T57))</f>
        <v>0</v>
      </c>
      <c r="Y57" s="887">
        <f>'Syn pf bénéficiaire'!Z39</f>
        <v>0</v>
      </c>
      <c r="Z57" s="887">
        <f>IF($L$10=0,0,SUMIFS('3- Frais généraux'!$BO$10:$BO$49,'3- Frais généraux'!$AH$10:$AH$49,T57))</f>
        <v>0</v>
      </c>
      <c r="AA57" s="887">
        <f>'Syn pf bénéficiaire'!AA39</f>
        <v>0</v>
      </c>
      <c r="AB57" s="887">
        <f>IF($L$10=0,0,SUMIFS('4- Déplacement &amp; hébergement'!$BO$10:$BO$49,'4- Déplacement &amp; hébergement'!$AH$10:$AH$49,T57))</f>
        <v>0</v>
      </c>
      <c r="AC57" s="887">
        <f>'Syn pf bénéficiaire'!AB39</f>
        <v>0</v>
      </c>
      <c r="AD57" s="887">
        <f>IF($L$10=0,0,SUMIFS('5- Contribution en nature'!Z14:Z53,'5- Contribution en nature'!O14:O53,$T$52))</f>
        <v>0</v>
      </c>
      <c r="AE57" s="887">
        <f>'Syn pf bénéficiaire'!AC39</f>
        <v>0</v>
      </c>
      <c r="AF57" s="887">
        <f>IF($L$10=0,0,SUMIFS('6- Coût participation agri'!$AE$9:$AE$48,'6- Coût participation agri'!$Q$9:$Q$48,T57))</f>
        <v>0</v>
      </c>
      <c r="AG57" s="887">
        <f>'Syn pf bénéficiaire'!AD39</f>
        <v>0</v>
      </c>
      <c r="AH57" s="887">
        <f>IF($L$10=0,0,SUMIFS('2.2- Amortissement'!$AJ$9:$AJ$23,'2.2- Amortissement'!$T$9:$T$23,T57))</f>
        <v>0</v>
      </c>
      <c r="AI57" s="887">
        <f>'Syn pf bénéficiaire'!AE39</f>
        <v>0</v>
      </c>
      <c r="AJ57" s="1073">
        <f>IF($L$10=0,0,SUMIFS('7- Taux forfaitaire'!$O$9:$O$32,'7- Taux forfaitaire'!$J$9:$J$32,T57))</f>
        <v>0</v>
      </c>
    </row>
    <row r="58" spans="1:36" ht="134.44999999999999" customHeight="1" thickBot="1">
      <c r="A58" s="1015" t="s">
        <v>520</v>
      </c>
      <c r="B58" s="1013" t="s">
        <v>77</v>
      </c>
      <c r="C58" s="1107" t="s">
        <v>373</v>
      </c>
      <c r="D58" s="1108" t="s">
        <v>521</v>
      </c>
      <c r="E58" s="1108" t="s">
        <v>522</v>
      </c>
      <c r="F58" s="1108" t="s">
        <v>523</v>
      </c>
      <c r="G58" s="1109" t="s">
        <v>524</v>
      </c>
      <c r="H58" s="1109" t="s">
        <v>525</v>
      </c>
      <c r="I58" s="1109" t="s">
        <v>493</v>
      </c>
      <c r="J58" s="1109" t="s">
        <v>494</v>
      </c>
      <c r="K58" s="1109" t="s">
        <v>526</v>
      </c>
      <c r="L58" s="1109" t="s">
        <v>498</v>
      </c>
      <c r="M58" s="1109" t="s">
        <v>499</v>
      </c>
      <c r="N58" s="1109" t="s">
        <v>500</v>
      </c>
      <c r="O58" s="1109" t="s">
        <v>442</v>
      </c>
      <c r="P58" s="1109" t="s">
        <v>527</v>
      </c>
      <c r="T58" s="1138" t="s">
        <v>16</v>
      </c>
      <c r="U58" s="1136">
        <f>'Syn pf bénéficiaire'!X40</f>
        <v>0</v>
      </c>
      <c r="V58" s="887">
        <f>IF($L$10=0,0,SUMIFS('1- Frais personnel'!$AI$9:$AI$68,'1- Frais personnel'!$S$9:$S$68,'Syn pf instructeur'!T58))</f>
        <v>0</v>
      </c>
      <c r="W58" s="887">
        <f>'Syn pf bénéficiaire'!Y40</f>
        <v>0</v>
      </c>
      <c r="X58" s="887">
        <f>IF($L$10=0,0,SUMIFS('2.1- Investissements'!$BS$11:$BS$50,'2.1- Investissements'!$AJ$11:$AJ$50,T58))</f>
        <v>0</v>
      </c>
      <c r="Y58" s="887">
        <f>'Syn pf bénéficiaire'!Z40</f>
        <v>0</v>
      </c>
      <c r="Z58" s="887">
        <f>IF($L$10=0,0,SUMIFS('3- Frais généraux'!$BO$10:$BO$49,'3- Frais généraux'!$AH$10:$AH$49,T58))</f>
        <v>0</v>
      </c>
      <c r="AA58" s="887">
        <f>'Syn pf bénéficiaire'!AA40</f>
        <v>0</v>
      </c>
      <c r="AB58" s="887">
        <f>IF($L$10=0,0,SUMIFS('4- Déplacement &amp; hébergement'!$BO$10:$BO$49,'4- Déplacement &amp; hébergement'!$AH$10:$AH$49,T58))</f>
        <v>0</v>
      </c>
      <c r="AC58" s="887">
        <f>'Syn pf bénéficiaire'!AB40</f>
        <v>0</v>
      </c>
      <c r="AD58" s="887">
        <f>IF($L$10=0,0,SUMIFS('5- Contribution en nature'!Z15:Z54,'5- Contribution en nature'!O15:O54,$T$52))</f>
        <v>0</v>
      </c>
      <c r="AE58" s="887">
        <f>'Syn pf bénéficiaire'!AC40</f>
        <v>0</v>
      </c>
      <c r="AF58" s="887">
        <f>IF($L$10=0,0,SUMIFS('6- Coût participation agri'!$AE$9:$AE$48,'6- Coût participation agri'!$Q$9:$Q$48,T58))</f>
        <v>0</v>
      </c>
      <c r="AG58" s="887">
        <f>'Syn pf bénéficiaire'!AD40</f>
        <v>0</v>
      </c>
      <c r="AH58" s="887">
        <f>IF($L$10=0,0,SUMIFS('2.2- Amortissement'!$AJ$9:$AJ$23,'2.2- Amortissement'!$T$9:$T$23,T58))</f>
        <v>0</v>
      </c>
      <c r="AI58" s="887">
        <f>'Syn pf bénéficiaire'!AE40</f>
        <v>0</v>
      </c>
      <c r="AJ58" s="1073">
        <f>IF($L$10=0,0,SUMIFS('7- Taux forfaitaire'!$O$9:$O$32,'7- Taux forfaitaire'!$J$9:$J$32,T58))</f>
        <v>0</v>
      </c>
    </row>
    <row r="59" spans="1:36" ht="33" thickBot="1">
      <c r="A59" s="1693" t="s">
        <v>528</v>
      </c>
      <c r="B59" s="1105" t="s">
        <v>85</v>
      </c>
      <c r="C59" s="1056">
        <f>SUMIFS('2.1- Investissements'!$BS$11:$BS$50,'2.1- Investissements'!$AK$11:$AK$50,B59,'2.1- Investissements'!$AM$11:$AM$50,"Oui",'2.1- Investissements'!$C$11:$C$50,B57)+SUMIFS('2.2- Amortissement'!$AJ$9:$AJ$23,'2.2- Amortissement'!$U$9:$U$23,B59,'2.2- Amortissement'!$W$9:$W$23,"Oui",'2.2- Amortissement'!$C$9:$C$23,B57)</f>
        <v>0</v>
      </c>
      <c r="D59" s="1057" t="e">
        <f>C59/$C$127</f>
        <v>#VALUE!</v>
      </c>
      <c r="E59" s="1058">
        <v>0.8</v>
      </c>
      <c r="F59" s="968">
        <f>IF(E59=0,0,C59*E59)</f>
        <v>0</v>
      </c>
      <c r="G59" s="968" t="e">
        <f t="shared" ref="G59:G65" si="24">IF(OR(F59=0,ROUND(($E$21+$B$21)*$D$65+$O$65,2)&gt;=ROUND($C$65,2)),0,IF($E$21*$D$65+$O$65&gt;($C$65-$F$65),F59-($E$21*$D$65+$O$65-($C$65-$F$65))*(F59/$F$65),F59))</f>
        <v>#VALUE!</v>
      </c>
      <c r="H59" s="1072">
        <f>IF(C59=0,0,G59/C59)</f>
        <v>0</v>
      </c>
      <c r="I59" s="1698" t="e">
        <f>_xlfn.IFS($B$21="","Non concerné",$B$21*($C$65/$C$127)&lt;(0.15*$G$65),"Non",$B$21*($C$65/$C$127)=(0.15*$G$65),"Oui",$B$21*($C$65/$C$127)&gt;(0.15*$G$65),"Oui")</f>
        <v>#VALUE!</v>
      </c>
      <c r="J59" s="1059" t="e">
        <f t="shared" ref="J59:J65" si="25">IF(G59=0,0,IF($I$59="Oui",G59-$B$21*((F59/$F$65)*$C$65/$C$127),G59*0.85))</f>
        <v>#VALUE!</v>
      </c>
      <c r="K59" s="1163" t="e">
        <f>IF(G59=0,0,IF($I$59="Oui",0.15*J59/0.85,G59-J59))</f>
        <v>#VALUE!</v>
      </c>
      <c r="L59" s="1059">
        <f t="shared" ref="L59:L65" si="26">IF(C59=0,0,IF($I$59="Oui",K59,$B$21*(F59/$F$65*$C$65/$C$127)))</f>
        <v>0</v>
      </c>
      <c r="M59" s="1163" t="e">
        <f>IF(K59=0,0,K59-L59)</f>
        <v>#VALUE!</v>
      </c>
      <c r="N59" s="1059">
        <f t="shared" ref="N59:N64" si="27">IF($F$65=0,0,IF($B$21=0,0,(F59/$F$65*$C$65/$C$127)*$B$21-L59))</f>
        <v>0</v>
      </c>
      <c r="O59" s="1763" t="s">
        <v>516</v>
      </c>
      <c r="P59" s="1060">
        <f t="shared" ref="P59:P65" si="28">IFERROR(C59-J59-K59-N59-O59-($E$21*C59/$C$65*$C$65/$C$127),0)</f>
        <v>0</v>
      </c>
      <c r="T59" s="1139" t="s">
        <v>17</v>
      </c>
      <c r="U59" s="1137">
        <f>'Syn pf bénéficiaire'!X41</f>
        <v>0</v>
      </c>
      <c r="V59" s="1064">
        <f>IF($L$10=0,0,SUMIFS('1- Frais personnel'!$AI$9:$AI$68,'1- Frais personnel'!$S$9:$S$68,'Syn pf instructeur'!T59))</f>
        <v>0</v>
      </c>
      <c r="W59" s="1064">
        <f>'Syn pf bénéficiaire'!Y41</f>
        <v>0</v>
      </c>
      <c r="X59" s="1064">
        <f>IF($L$10=0,0,SUMIFS('2.1- Investissements'!$BS$11:$BS$50,'2.1- Investissements'!$AJ$11:$AJ$50,T59))</f>
        <v>0</v>
      </c>
      <c r="Y59" s="1064">
        <f>'Syn pf bénéficiaire'!Z41</f>
        <v>0</v>
      </c>
      <c r="Z59" s="1064">
        <f>IF($L$10=0,0,SUMIFS('3- Frais généraux'!$BO$10:$BO$49,'3- Frais généraux'!$AH$10:$AH$49,T59))</f>
        <v>0</v>
      </c>
      <c r="AA59" s="1064">
        <f>'Syn pf bénéficiaire'!AA41</f>
        <v>0</v>
      </c>
      <c r="AB59" s="1064">
        <f>IF($L$10=0,0,SUMIFS('4- Déplacement &amp; hébergement'!$BO$10:$BO$49,'4- Déplacement &amp; hébergement'!$AH$10:$AH$49,T59))</f>
        <v>0</v>
      </c>
      <c r="AC59" s="1064">
        <f>'Syn pf bénéficiaire'!AB41</f>
        <v>0</v>
      </c>
      <c r="AD59" s="1064">
        <f>IF($L$10=0,0,SUMIFS('5- Contribution en nature'!Z16:Z55,'5- Contribution en nature'!O16:O55,$T$52))</f>
        <v>0</v>
      </c>
      <c r="AE59" s="1064">
        <f>'Syn pf bénéficiaire'!AC41</f>
        <v>0</v>
      </c>
      <c r="AF59" s="1064">
        <f>IF($L$10=0,0,SUMIFS('6- Coût participation agri'!$AE$9:$AE$48,'6- Coût participation agri'!$Q$9:$Q$48,T59))</f>
        <v>0</v>
      </c>
      <c r="AG59" s="1064">
        <f>'Syn pf bénéficiaire'!AD41</f>
        <v>0</v>
      </c>
      <c r="AH59" s="1064">
        <f>IF($L$10=0,0,SUMIFS('2.2- Amortissement'!$AJ$9:$AJ$23,'2.2- Amortissement'!$T$9:$T$23,T59))</f>
        <v>0</v>
      </c>
      <c r="AI59" s="1064">
        <f>'Syn pf bénéficiaire'!AE41</f>
        <v>0</v>
      </c>
      <c r="AJ59" s="1076">
        <f>IF($L$10=0,0,SUMIFS('7- Taux forfaitaire'!$O$9:$O$32,'7- Taux forfaitaire'!$J$9:$J$32,T59))</f>
        <v>0</v>
      </c>
    </row>
    <row r="60" spans="1:36" ht="32.1">
      <c r="A60" s="1693"/>
      <c r="B60" s="1106" t="s">
        <v>88</v>
      </c>
      <c r="C60" s="1061">
        <f>SUMIFS('2.1- Investissements'!$BS$11:$BS$50,'2.1- Investissements'!$AK$11:$AK$50,B60,'2.1- Investissements'!$AM$11:$AM$50,"Oui",'2.1- Investissements'!$C$11:$C$50,B57)+SUMIFS('2.2- Amortissement'!$AJ$9:$AJ$23,'2.2- Amortissement'!$U$9:$U$23,B60,'2.2- Amortissement'!$W$9:$W$23,"Oui",'2.2- Amortissement'!$C$9:$C$23,B57)</f>
        <v>0</v>
      </c>
      <c r="D60" s="1071" t="e">
        <f t="shared" ref="D60:D64" si="29">C60/$C$127</f>
        <v>#VALUE!</v>
      </c>
      <c r="E60" s="893">
        <v>0.8</v>
      </c>
      <c r="F60" s="894">
        <f t="shared" ref="F60:F64" si="30">IF(E60=0,0,C60*E60)</f>
        <v>0</v>
      </c>
      <c r="G60" s="894" t="e">
        <f t="shared" si="24"/>
        <v>#VALUE!</v>
      </c>
      <c r="H60" s="981">
        <f t="shared" ref="H60:H65" si="31">IF(C60=0,0,G60/C60)</f>
        <v>0</v>
      </c>
      <c r="I60" s="1699"/>
      <c r="J60" s="887" t="e">
        <f t="shared" si="25"/>
        <v>#VALUE!</v>
      </c>
      <c r="K60" s="887" t="e">
        <f t="shared" ref="K60:K64" si="32">IF(G60=0,0,IF($I$59="Oui",0.15*J60/0.85,G60-J60))</f>
        <v>#VALUE!</v>
      </c>
      <c r="L60" s="887">
        <f t="shared" si="26"/>
        <v>0</v>
      </c>
      <c r="M60" s="887" t="e">
        <f t="shared" ref="M60:M64" si="33">IF(K60=0,0,K60-L60)</f>
        <v>#VALUE!</v>
      </c>
      <c r="N60" s="887">
        <f t="shared" si="27"/>
        <v>0</v>
      </c>
      <c r="O60" s="1764"/>
      <c r="P60" s="1073">
        <f t="shared" si="28"/>
        <v>0</v>
      </c>
      <c r="U60" s="1044"/>
      <c r="V60" s="1044"/>
      <c r="W60" s="1044"/>
      <c r="X60" s="1044"/>
      <c r="Y60" s="1044"/>
      <c r="Z60" s="1044"/>
      <c r="AA60" s="1044"/>
      <c r="AB60" s="1044"/>
      <c r="AC60" s="1044"/>
      <c r="AD60" s="1044"/>
      <c r="AE60" s="1044"/>
      <c r="AF60" s="1044"/>
      <c r="AG60" s="1044"/>
      <c r="AH60" s="1044"/>
      <c r="AI60" s="1044"/>
      <c r="AJ60" s="1044"/>
    </row>
    <row r="61" spans="1:36" ht="15.95" customHeight="1">
      <c r="A61" s="1693"/>
      <c r="B61" s="1106" t="s">
        <v>91</v>
      </c>
      <c r="C61" s="1061">
        <f>SUMIFS('2.1- Investissements'!$BS$11:$BS$50,'2.1- Investissements'!$AK$11:$AK$50,B61,'2.1- Investissements'!$AM$11:$AM$50,"Oui",'2.1- Investissements'!$C$11:$C$50,B57)+SUMIFS('2.2- Amortissement'!$AJ$9:$AJ$23,'2.2- Amortissement'!$U$9:$U$23,B61,'2.2- Amortissement'!$W$9:$W$23,"Oui",'2.2- Amortissement'!$C$9:$C$23,B57)</f>
        <v>0</v>
      </c>
      <c r="D61" s="1071" t="e">
        <f t="shared" si="29"/>
        <v>#VALUE!</v>
      </c>
      <c r="E61" s="893">
        <v>0.8</v>
      </c>
      <c r="F61" s="894">
        <f t="shared" si="30"/>
        <v>0</v>
      </c>
      <c r="G61" s="894" t="e">
        <f t="shared" si="24"/>
        <v>#VALUE!</v>
      </c>
      <c r="H61" s="981">
        <f t="shared" si="31"/>
        <v>0</v>
      </c>
      <c r="I61" s="1699"/>
      <c r="J61" s="887" t="e">
        <f t="shared" si="25"/>
        <v>#VALUE!</v>
      </c>
      <c r="K61" s="887" t="e">
        <f t="shared" si="32"/>
        <v>#VALUE!</v>
      </c>
      <c r="L61" s="887">
        <f t="shared" si="26"/>
        <v>0</v>
      </c>
      <c r="M61" s="887" t="e">
        <f t="shared" si="33"/>
        <v>#VALUE!</v>
      </c>
      <c r="N61" s="887">
        <f t="shared" si="27"/>
        <v>0</v>
      </c>
      <c r="O61" s="1765"/>
      <c r="P61" s="1073">
        <f t="shared" si="28"/>
        <v>0</v>
      </c>
      <c r="U61" s="1044"/>
      <c r="V61" s="1044"/>
      <c r="W61" s="1044"/>
      <c r="X61" s="1044"/>
      <c r="Y61" s="1044"/>
      <c r="Z61" s="1044"/>
      <c r="AA61" s="1044"/>
      <c r="AB61" s="1044"/>
      <c r="AC61" s="1044"/>
      <c r="AD61" s="1044"/>
      <c r="AE61" s="1044"/>
      <c r="AF61" s="1044"/>
      <c r="AG61" s="1044"/>
      <c r="AH61" s="1044"/>
      <c r="AI61" s="1044"/>
      <c r="AJ61" s="1044"/>
    </row>
    <row r="62" spans="1:36" ht="32.1">
      <c r="A62" s="1693" t="s">
        <v>529</v>
      </c>
      <c r="B62" s="1106" t="s">
        <v>85</v>
      </c>
      <c r="C62" s="1061">
        <f>SUMIFS('2.1- Investissements'!$BS$11:$BS$50,'2.1- Investissements'!$AK$11:$AK$50,B62,'2.1- Investissements'!$AM$11:$AM$50,"Non",'2.1- Investissements'!$C$11:$C$50,B57)+SUMIFS('2.2- Amortissement'!$AJ$9:$AJ$23,'2.2- Amortissement'!$U$9:$U$23,B62,'2.2- Amortissement'!$W$9:$W$23,"Non",'2.2- Amortissement'!$C$9:$C$23,B57)+SUMIFS('3- Frais généraux'!$BO$10:$BO$49,'3- Frais généraux'!$AI$10:$AI$49,B62,'3- Frais généraux'!$C$10:$C$49,B57)+SUMIFS('1- Frais personnel'!$AI$9:$AI$68,'1- Frais personnel'!$T$9:$T$68,B62,'1- Frais personnel'!$C$9:$C$68,B57)+SUMIFS('4- Déplacement &amp; hébergement'!$BO$10:$BO$49,'4- Déplacement &amp; hébergement'!$AI$10:$AI$49,B62,'4- Déplacement &amp; hébergement'!$C$10:$C$49,B57)+SUMIFS('5- Contribution en nature'!$Z$9:$Z$48,'5- Contribution en nature'!$P$9:$P$48,B62,'5- Contribution en nature'!$C$9:$C$48,B57)+SUMIFS('6- Coût participation agri'!$AE$9:$AE$48,'6- Coût participation agri'!$R$9:$R$48, B62,'6- Coût participation agri'!$C$9:$C$48,B57)+SUMIFS('7- Taux forfaitaire'!$O$9:$O$32,'7- Taux forfaitaire'!$K$9:$K$32,B62,'7- Taux forfaitaire'!$C$9:$C$32,B57)</f>
        <v>0</v>
      </c>
      <c r="D62" s="1071" t="e">
        <f t="shared" si="29"/>
        <v>#VALUE!</v>
      </c>
      <c r="E62" s="893">
        <v>1</v>
      </c>
      <c r="F62" s="894">
        <f t="shared" si="30"/>
        <v>0</v>
      </c>
      <c r="G62" s="894" t="e">
        <f t="shared" si="24"/>
        <v>#VALUE!</v>
      </c>
      <c r="H62" s="981">
        <f t="shared" si="31"/>
        <v>0</v>
      </c>
      <c r="I62" s="1699"/>
      <c r="J62" s="887" t="e">
        <f t="shared" si="25"/>
        <v>#VALUE!</v>
      </c>
      <c r="K62" s="887" t="e">
        <f t="shared" si="32"/>
        <v>#VALUE!</v>
      </c>
      <c r="L62" s="887">
        <f t="shared" si="26"/>
        <v>0</v>
      </c>
      <c r="M62" s="887" t="e">
        <f t="shared" si="33"/>
        <v>#VALUE!</v>
      </c>
      <c r="N62" s="887">
        <f t="shared" si="27"/>
        <v>0</v>
      </c>
      <c r="O62" s="887">
        <f>SUMIFS('5- Contribution en nature'!$Z$9:$Z$48,'5- Contribution en nature'!$P$9:$P$48,B62,'5- Contribution en nature'!$O$9:$O$48,"Partenaire 1")</f>
        <v>0</v>
      </c>
      <c r="P62" s="1073">
        <f t="shared" si="28"/>
        <v>0</v>
      </c>
      <c r="U62" s="1044"/>
      <c r="V62" s="1044"/>
      <c r="W62" s="1044"/>
      <c r="X62" s="1044"/>
      <c r="Y62" s="1044"/>
      <c r="Z62" s="1044"/>
      <c r="AA62" s="1044"/>
      <c r="AB62" s="1044"/>
      <c r="AC62" s="1044"/>
      <c r="AD62" s="1044"/>
      <c r="AE62" s="1044"/>
      <c r="AF62" s="1044"/>
      <c r="AG62" s="1044"/>
      <c r="AH62" s="1044"/>
      <c r="AI62" s="1044"/>
      <c r="AJ62" s="1044"/>
    </row>
    <row r="63" spans="1:36" ht="32.1">
      <c r="A63" s="1693"/>
      <c r="B63" s="1106" t="s">
        <v>88</v>
      </c>
      <c r="C63" s="1061">
        <f>SUMIFS('2.1- Investissements'!$BS$11:$BS$50,'2.1- Investissements'!$AK$11:$AK$50,B63,'2.1- Investissements'!$AM$11:$AM$50,"Non",'2.1- Investissements'!$C$11:$C$50,B57)+SUMIFS('2.2- Amortissement'!$AJ$9:$AJ$23,'2.2- Amortissement'!$U$9:$U$23,B63,'2.2- Amortissement'!$W$9:$W$23,"Non",'2.2- Amortissement'!$C$9:$C$23,B57)+SUMIFS('3- Frais généraux'!$BO$10:$BO$49,'3- Frais généraux'!$AI$10:$AI$49,B63,'3- Frais généraux'!$C$10:$C$49,B57)+SUMIFS('1- Frais personnel'!$AI$9:$AI$68,'1- Frais personnel'!$T$9:$T$68,B63,'1- Frais personnel'!$C$9:$C$68,B57)+SUMIFS('4- Déplacement &amp; hébergement'!$BO$10:$BO$49,'4- Déplacement &amp; hébergement'!$AI$10:$AI$49,B63,'4- Déplacement &amp; hébergement'!$C$10:$C$49,B57)+SUMIFS('5- Contribution en nature'!$Z$9:$Z$48,'5- Contribution en nature'!$P$9:$P$48,B63,'5- Contribution en nature'!$C$9:$C$48,B57)+SUMIFS('6- Coût participation agri'!$AE$9:$AE$48,'6- Coût participation agri'!$R$9:$R$48, B63,'6- Coût participation agri'!$C$9:$C$48,B57)+SUMIFS('7- Taux forfaitaire'!$O$9:$O$32,'7- Taux forfaitaire'!$K$9:$K$32,B63,'7- Taux forfaitaire'!$C$9:$C$32,B57)</f>
        <v>0</v>
      </c>
      <c r="D63" s="1071" t="e">
        <f t="shared" si="29"/>
        <v>#VALUE!</v>
      </c>
      <c r="E63" s="893">
        <v>1</v>
      </c>
      <c r="F63" s="894">
        <f t="shared" si="30"/>
        <v>0</v>
      </c>
      <c r="G63" s="894" t="e">
        <f t="shared" si="24"/>
        <v>#VALUE!</v>
      </c>
      <c r="H63" s="981">
        <f t="shared" si="31"/>
        <v>0</v>
      </c>
      <c r="I63" s="1699"/>
      <c r="J63" s="887" t="e">
        <f t="shared" si="25"/>
        <v>#VALUE!</v>
      </c>
      <c r="K63" s="887" t="e">
        <f t="shared" si="32"/>
        <v>#VALUE!</v>
      </c>
      <c r="L63" s="887">
        <f t="shared" si="26"/>
        <v>0</v>
      </c>
      <c r="M63" s="887" t="e">
        <f t="shared" si="33"/>
        <v>#VALUE!</v>
      </c>
      <c r="N63" s="887">
        <f t="shared" si="27"/>
        <v>0</v>
      </c>
      <c r="O63" s="887">
        <f>SUMIFS('5- Contribution en nature'!$Z$9:$Z$48,'5- Contribution en nature'!$P$9:$P$48,B63,'5- Contribution en nature'!$O$9:$O$48,"Partenaire 1")</f>
        <v>0</v>
      </c>
      <c r="P63" s="1073">
        <f t="shared" si="28"/>
        <v>0</v>
      </c>
    </row>
    <row r="64" spans="1:36" ht="17.100000000000001" customHeight="1" thickBot="1">
      <c r="A64" s="1694"/>
      <c r="B64" s="1106" t="s">
        <v>91</v>
      </c>
      <c r="C64" s="1078">
        <f>SUMIFS('2.1- Investissements'!$BS$11:$BS$50,'2.1- Investissements'!$AK$11:$AK$50,B64,'2.1- Investissements'!$AM$11:$AM$50,"Non",'2.1- Investissements'!$C$11:$C$50,B57)+SUMIFS('2.2- Amortissement'!$AJ$9:$AJ$23,'2.2- Amortissement'!$U$9:$U$23,B64,'2.2- Amortissement'!$W$9:$W$23,"Non",'2.2- Amortissement'!$C$9:$C$23,B57)+SUMIFS('3- Frais généraux'!$BO$10:$BO$49,'3- Frais généraux'!$AI$10:$AI$49,B64,'3- Frais généraux'!$C$10:$C$49,B57)+SUMIFS('1- Frais personnel'!$AI$9:$AI$68,'1- Frais personnel'!$T$9:$T$68,B64,'1- Frais personnel'!$C$9:$C$68,B57)+SUMIFS('4- Déplacement &amp; hébergement'!$BO$10:$BO$49,'4- Déplacement &amp; hébergement'!$AI$10:$AI$49,B64,'4- Déplacement &amp; hébergement'!$C$10:$C$49,B57)+SUMIFS('5- Contribution en nature'!$Z$9:$Z$48,'5- Contribution en nature'!$P$9:$P$48,B64,'5- Contribution en nature'!$C$9:$C$48,B57)+SUMIFS('6- Coût participation agri'!$AE$9:$AE$48,'6- Coût participation agri'!$R$9:$R$48, B64,'6- Coût participation agri'!$C$9:$C$48,B57)+SUMIFS('7- Taux forfaitaire'!$O$9:$O$32,'7- Taux forfaitaire'!$K$9:$K$32,B64,'7- Taux forfaitaire'!$C$9:$C$32,B57)</f>
        <v>0</v>
      </c>
      <c r="D64" s="1079" t="e">
        <f t="shared" si="29"/>
        <v>#VALUE!</v>
      </c>
      <c r="E64" s="1080">
        <v>1</v>
      </c>
      <c r="F64" s="977">
        <f t="shared" si="30"/>
        <v>0</v>
      </c>
      <c r="G64" s="971" t="e">
        <f t="shared" si="24"/>
        <v>#VALUE!</v>
      </c>
      <c r="H64" s="1081">
        <f t="shared" si="31"/>
        <v>0</v>
      </c>
      <c r="I64" s="1700"/>
      <c r="J64" s="1045" t="e">
        <f t="shared" si="25"/>
        <v>#VALUE!</v>
      </c>
      <c r="K64" s="888" t="e">
        <f t="shared" si="32"/>
        <v>#VALUE!</v>
      </c>
      <c r="L64" s="1045">
        <f t="shared" si="26"/>
        <v>0</v>
      </c>
      <c r="M64" s="888" t="e">
        <f t="shared" si="33"/>
        <v>#VALUE!</v>
      </c>
      <c r="N64" s="1045">
        <f t="shared" si="27"/>
        <v>0</v>
      </c>
      <c r="O64" s="1045">
        <f>SUMIFS('5- Contribution en nature'!$Z$9:$Z$48,'5- Contribution en nature'!$P$9:$P$48,B64,'5- Contribution en nature'!$O$9:$O$48,"Partenaire 1")</f>
        <v>0</v>
      </c>
      <c r="P64" s="1082">
        <f t="shared" si="28"/>
        <v>0</v>
      </c>
    </row>
    <row r="65" spans="1:17" s="1086" customFormat="1" ht="65.099999999999994" thickBot="1">
      <c r="B65" s="1090" t="s">
        <v>530</v>
      </c>
      <c r="C65" s="1091">
        <f>IF(D10=0,"",SUM(C59:C64))</f>
        <v>0</v>
      </c>
      <c r="D65" s="983" t="e">
        <f>C65/$C$127</f>
        <v>#VALUE!</v>
      </c>
      <c r="E65" s="984"/>
      <c r="F65" s="684">
        <f>SUM(F59:F64)</f>
        <v>0</v>
      </c>
      <c r="G65" s="684" t="e">
        <f t="shared" si="24"/>
        <v>#VALUE!</v>
      </c>
      <c r="H65" s="985">
        <f t="shared" si="31"/>
        <v>0</v>
      </c>
      <c r="I65" s="1089"/>
      <c r="J65" s="986" t="e">
        <f t="shared" si="25"/>
        <v>#VALUE!</v>
      </c>
      <c r="K65" s="1046" t="e">
        <f>IF(G65=0,0,IF($I$59="Oui",ROUNDUP(0.15*J65/0.85,2),G65-J65))</f>
        <v>#VALUE!</v>
      </c>
      <c r="L65" s="986">
        <f t="shared" si="26"/>
        <v>0</v>
      </c>
      <c r="M65" s="1046" t="e">
        <f>IF(K65=0,0,K65-L65)</f>
        <v>#VALUE!</v>
      </c>
      <c r="N65" s="986">
        <f>IF($F$65=0,0,IF($B$21=0,0,F65/$F$65*$C$65/$C$127)*$B$21-L65)</f>
        <v>0</v>
      </c>
      <c r="O65" s="986">
        <f>SUM(O59:O64)</f>
        <v>0</v>
      </c>
      <c r="P65" s="987">
        <f t="shared" si="28"/>
        <v>0</v>
      </c>
    </row>
    <row r="66" spans="1:17" ht="15.95" thickBot="1"/>
    <row r="67" spans="1:17" ht="15.95" customHeight="1" thickBot="1">
      <c r="B67" s="1695" t="s">
        <v>12</v>
      </c>
      <c r="C67" s="1696"/>
      <c r="D67" s="1696"/>
      <c r="E67" s="1696"/>
      <c r="F67" s="1696"/>
      <c r="G67" s="1696"/>
      <c r="H67" s="1696"/>
      <c r="I67" s="1696"/>
      <c r="J67" s="1696"/>
      <c r="K67" s="1696"/>
      <c r="L67" s="1696"/>
      <c r="M67" s="1696"/>
      <c r="N67" s="1697"/>
    </row>
    <row r="68" spans="1:17" ht="144.94999999999999" customHeight="1" thickBot="1">
      <c r="A68" s="1015" t="s">
        <v>520</v>
      </c>
      <c r="B68" s="1013" t="s">
        <v>77</v>
      </c>
      <c r="C68" s="1107" t="s">
        <v>373</v>
      </c>
      <c r="D68" s="1108" t="s">
        <v>521</v>
      </c>
      <c r="E68" s="1108" t="s">
        <v>522</v>
      </c>
      <c r="F68" s="1108" t="s">
        <v>523</v>
      </c>
      <c r="G68" s="1109" t="s">
        <v>524</v>
      </c>
      <c r="H68" s="1109" t="s">
        <v>525</v>
      </c>
      <c r="I68" s="1109" t="s">
        <v>493</v>
      </c>
      <c r="J68" s="1109" t="s">
        <v>494</v>
      </c>
      <c r="K68" s="1109" t="s">
        <v>526</v>
      </c>
      <c r="L68" s="1109" t="s">
        <v>498</v>
      </c>
      <c r="M68" s="1109" t="s">
        <v>499</v>
      </c>
      <c r="N68" s="1109" t="s">
        <v>500</v>
      </c>
      <c r="O68" s="1109" t="s">
        <v>442</v>
      </c>
      <c r="P68" s="1109" t="s">
        <v>527</v>
      </c>
    </row>
    <row r="69" spans="1:17" ht="32.1">
      <c r="A69" s="1693" t="s">
        <v>528</v>
      </c>
      <c r="B69" s="1105" t="s">
        <v>85</v>
      </c>
      <c r="C69" s="1056">
        <f>SUMIFS('2.1- Investissements'!$BS$11:$BS$50,'2.1- Investissements'!$AK$11:$AK$50,B69,'2.1- Investissements'!$AM$11:$AM$50,"Oui",'2.1- Investissements'!$C$11:$C$50,B67)+SUMIFS('2.2- Amortissement'!$AJ$9:$AJ$23,'2.2- Amortissement'!$U$9:$U$23,B69,'2.2- Amortissement'!$W$9:$W$23,"Oui",'2.2- Amortissement'!$C$9:$C$23,B67)</f>
        <v>0</v>
      </c>
      <c r="D69" s="1057" t="e">
        <f>C69/$C$127</f>
        <v>#VALUE!</v>
      </c>
      <c r="E69" s="1058">
        <v>0.8</v>
      </c>
      <c r="F69" s="968">
        <f>IF(E69=0,0,C69*E69)</f>
        <v>0</v>
      </c>
      <c r="G69" s="968" t="e">
        <f t="shared" ref="G69:G75" si="34">IF(OR(F69=0,ROUND(($E$21+$B$21)*$D$75+$O$75,2)&gt;=ROUND($C$75,2)),0,IF($E$21*$D$75+$O$75&gt;($C$75-$F$75),F69-($E$21*$D$75+$O$75-($C$75-$F$75))*(F69/$F$75),F69))</f>
        <v>#VALUE!</v>
      </c>
      <c r="H69" s="1072">
        <f>IF(C69=0,0,G69/C69)</f>
        <v>0</v>
      </c>
      <c r="I69" s="1698" t="e">
        <f>_xlfn.IFS($B$21="","Non concerné",$B$21*($C$75/$C$127)&lt;(0.15*$G$75),"Non",$B$21*($C$75/$C$127)=(0.15*$G$75),"Oui",$B$21*($C$75/$C$127)&gt;(0.15*$G$75),"Oui")</f>
        <v>#VALUE!</v>
      </c>
      <c r="J69" s="1111" t="e">
        <f t="shared" ref="J69:J75" si="35">IF(G69=0,0,IF($I$69="Oui",G69-$B$21*((F69/$F$75)*$C$75/$C$127),G69*0.85))</f>
        <v>#VALUE!</v>
      </c>
      <c r="K69" s="1163" t="e">
        <f>IF(G69=0,0,IF($I$69="Oui",0.15*J69/0.85,G69-J69))</f>
        <v>#VALUE!</v>
      </c>
      <c r="L69" s="1111">
        <f t="shared" ref="L69:L75" si="36">IF(C69=0,0,IF($I$69="Oui",K69,$B$21*(F69/$F$75*$C$75/$C$127)))</f>
        <v>0</v>
      </c>
      <c r="M69" s="1163" t="e">
        <f>IF(K69=0,0,K69-L69)</f>
        <v>#VALUE!</v>
      </c>
      <c r="N69" s="1059">
        <f t="shared" ref="N69:N74" si="37">IF($F$75=0,0,IF($B$21=0,0,(F69/$F$75*$C$75/$C$127)*$B$21-L69))</f>
        <v>0</v>
      </c>
      <c r="O69" s="1763" t="s">
        <v>516</v>
      </c>
      <c r="P69" s="1060">
        <f t="shared" ref="P69:P75" si="38">IFERROR(C69-J69-K69-N69-O69-($E$21*C69/$C$75*$C$75/$C$127),0)</f>
        <v>0</v>
      </c>
    </row>
    <row r="70" spans="1:17" ht="32.1">
      <c r="A70" s="1693"/>
      <c r="B70" s="1106" t="s">
        <v>88</v>
      </c>
      <c r="C70" s="1061">
        <f>SUMIFS('2.1- Investissements'!$BS$11:$BS$50,'2.1- Investissements'!$AK$11:$AK$50,B70,'2.1- Investissements'!$AM$11:$AM$50,"Oui",'2.1- Investissements'!$C$11:$C$50,B67)+SUMIFS('2.2- Amortissement'!$AJ$9:$AJ$23,'2.2- Amortissement'!$U$9:$U$23,B70,'2.2- Amortissement'!$W$9:$W$23,"Oui",'2.2- Amortissement'!$C$9:$C$23,B67)</f>
        <v>0</v>
      </c>
      <c r="D70" s="1071" t="e">
        <f t="shared" ref="D70:D74" si="39">C70/$C$127</f>
        <v>#VALUE!</v>
      </c>
      <c r="E70" s="893">
        <v>0.8</v>
      </c>
      <c r="F70" s="894">
        <f t="shared" ref="F70:F74" si="40">IF(E70=0,0,C70*E70)</f>
        <v>0</v>
      </c>
      <c r="G70" s="894" t="e">
        <f t="shared" si="34"/>
        <v>#VALUE!</v>
      </c>
      <c r="H70" s="981">
        <f t="shared" ref="H70:H75" si="41">IF(C70=0,0,G70/C70)</f>
        <v>0</v>
      </c>
      <c r="I70" s="1699"/>
      <c r="J70" s="1110" t="e">
        <f t="shared" si="35"/>
        <v>#VALUE!</v>
      </c>
      <c r="K70" s="887" t="e">
        <f t="shared" ref="K70:K74" si="42">IF(G70=0,0,IF($I$69="Oui",0.15*J70/0.85,G70-J70))</f>
        <v>#VALUE!</v>
      </c>
      <c r="L70" s="1110">
        <f t="shared" si="36"/>
        <v>0</v>
      </c>
      <c r="M70" s="887" t="e">
        <f t="shared" ref="M70:M75" si="43">IF(K70=0,0,K70-L70)</f>
        <v>#VALUE!</v>
      </c>
      <c r="N70" s="887">
        <f t="shared" si="37"/>
        <v>0</v>
      </c>
      <c r="O70" s="1764"/>
      <c r="P70" s="1073">
        <f t="shared" si="38"/>
        <v>0</v>
      </c>
    </row>
    <row r="71" spans="1:17" ht="15.95" customHeight="1">
      <c r="A71" s="1693"/>
      <c r="B71" s="1106" t="s">
        <v>91</v>
      </c>
      <c r="C71" s="1061">
        <f>SUMIFS('2.1- Investissements'!$BS$11:$BS$50,'2.1- Investissements'!$AK$11:$AK$50,B71,'2.1- Investissements'!$AM$11:$AM$50,"Oui",'2.1- Investissements'!$C$11:$C$50,B67)+SUMIFS('2.2- Amortissement'!$AJ$9:$AJ$23,'2.2- Amortissement'!$U$9:$U$23,B71,'2.2- Amortissement'!$W$9:$W$23,"Oui",'2.2- Amortissement'!$C$9:$C$23,B67)</f>
        <v>0</v>
      </c>
      <c r="D71" s="1071" t="e">
        <f t="shared" si="39"/>
        <v>#VALUE!</v>
      </c>
      <c r="E71" s="893">
        <v>0.8</v>
      </c>
      <c r="F71" s="894">
        <f t="shared" si="40"/>
        <v>0</v>
      </c>
      <c r="G71" s="894" t="e">
        <f t="shared" si="34"/>
        <v>#VALUE!</v>
      </c>
      <c r="H71" s="981">
        <f t="shared" si="41"/>
        <v>0</v>
      </c>
      <c r="I71" s="1699"/>
      <c r="J71" s="1110" t="e">
        <f t="shared" si="35"/>
        <v>#VALUE!</v>
      </c>
      <c r="K71" s="887" t="e">
        <f t="shared" si="42"/>
        <v>#VALUE!</v>
      </c>
      <c r="L71" s="1110">
        <f t="shared" si="36"/>
        <v>0</v>
      </c>
      <c r="M71" s="887" t="e">
        <f t="shared" si="43"/>
        <v>#VALUE!</v>
      </c>
      <c r="N71" s="887">
        <f t="shared" si="37"/>
        <v>0</v>
      </c>
      <c r="O71" s="1765"/>
      <c r="P71" s="1073">
        <f t="shared" si="38"/>
        <v>0</v>
      </c>
    </row>
    <row r="72" spans="1:17" ht="32.1">
      <c r="A72" s="1693" t="s">
        <v>529</v>
      </c>
      <c r="B72" s="1106" t="s">
        <v>85</v>
      </c>
      <c r="C72" s="1061">
        <f>SUMIFS('2.1- Investissements'!$BS$11:$BS$50,'2.1- Investissements'!$AK$11:$AK$50,B72,'2.1- Investissements'!$AM$11:$AM$50,"Non",'2.1- Investissements'!$C$11:$C$50,B67)+SUMIFS('2.2- Amortissement'!$AJ$9:$AJ$23,'2.2- Amortissement'!$U$9:$U$23,B72,'2.2- Amortissement'!$W$9:$W$23,"Non",'2.2- Amortissement'!$C$9:$C$23,B67)+SUMIFS('3- Frais généraux'!$BO$10:$BO$49,'3- Frais généraux'!$AI$10:$AI$49,B72,'3- Frais généraux'!$C$10:$C$49,B67)+SUMIFS('1- Frais personnel'!$AI$9:$AI$68,'1- Frais personnel'!$T$9:$T$68,B72,'1- Frais personnel'!$C$9:$C$68,B67)+SUMIFS('4- Déplacement &amp; hébergement'!$BO$10:$BO$49,'4- Déplacement &amp; hébergement'!$AI$10:$AI$49,B72,'4- Déplacement &amp; hébergement'!$C$10:$C$49,B67)+SUMIFS('5- Contribution en nature'!$Z$9:$Z$48,'5- Contribution en nature'!$P$9:$P$48,B72,'5- Contribution en nature'!$C$9:$C$48,B67)+SUMIFS('6- Coût participation agri'!$AE$9:$AE$48,'6- Coût participation agri'!$R$9:$R$48, B72,'6- Coût participation agri'!$C$9:$C$48,B67)+SUMIFS('7- Taux forfaitaire'!$O$9:$O$32,'7- Taux forfaitaire'!$K$9:$K$32,B72,'7- Taux forfaitaire'!$C$9:$C$32,B67)</f>
        <v>0</v>
      </c>
      <c r="D72" s="1071" t="e">
        <f t="shared" si="39"/>
        <v>#VALUE!</v>
      </c>
      <c r="E72" s="893">
        <v>1</v>
      </c>
      <c r="F72" s="894">
        <f t="shared" si="40"/>
        <v>0</v>
      </c>
      <c r="G72" s="894" t="e">
        <f t="shared" si="34"/>
        <v>#VALUE!</v>
      </c>
      <c r="H72" s="981">
        <f t="shared" si="41"/>
        <v>0</v>
      </c>
      <c r="I72" s="1699"/>
      <c r="J72" s="1110" t="e">
        <f t="shared" si="35"/>
        <v>#VALUE!</v>
      </c>
      <c r="K72" s="887" t="e">
        <f t="shared" si="42"/>
        <v>#VALUE!</v>
      </c>
      <c r="L72" s="1110">
        <f t="shared" si="36"/>
        <v>0</v>
      </c>
      <c r="M72" s="887" t="e">
        <f t="shared" si="43"/>
        <v>#VALUE!</v>
      </c>
      <c r="N72" s="887">
        <f t="shared" si="37"/>
        <v>0</v>
      </c>
      <c r="O72" s="887">
        <f>SUMIFS('5- Contribution en nature'!$Z$9:$Z$48,'5- Contribution en nature'!$P$9:$P$48,B72,'5- Contribution en nature'!$O$9:$O$48,"Partenaire 2")</f>
        <v>0</v>
      </c>
      <c r="P72" s="1073">
        <f t="shared" si="38"/>
        <v>0</v>
      </c>
    </row>
    <row r="73" spans="1:17" ht="32.1">
      <c r="A73" s="1693"/>
      <c r="B73" s="1106" t="s">
        <v>88</v>
      </c>
      <c r="C73" s="1061">
        <f>SUMIFS('2.1- Investissements'!$BS$11:$BS$50,'2.1- Investissements'!$AK$11:$AK$50,B73,'2.1- Investissements'!$AM$11:$AM$50,"Non",'2.1- Investissements'!$C$11:$C$50,B67)+SUMIFS('2.2- Amortissement'!$AJ$9:$AJ$23,'2.2- Amortissement'!$U$9:$U$23,B73,'2.2- Amortissement'!$W$9:$W$23,"Non",'2.2- Amortissement'!$C$9:$C$23,B67)+SUMIFS('3- Frais généraux'!$BO$10:$BO$49,'3- Frais généraux'!$AI$10:$AI$49,B73,'3- Frais généraux'!$C$10:$C$49,B67)+SUMIFS('1- Frais personnel'!$AI$9:$AI$68,'1- Frais personnel'!$T$9:$T$68,B73,'1- Frais personnel'!$C$9:$C$68,B67)+SUMIFS('4- Déplacement &amp; hébergement'!$BO$10:$BO$49,'4- Déplacement &amp; hébergement'!$AI$10:$AI$49,B73,'4- Déplacement &amp; hébergement'!$C$10:$C$49,B67)+SUMIFS('5- Contribution en nature'!$Z$9:$Z$48,'5- Contribution en nature'!$P$9:$P$48,B73,'5- Contribution en nature'!$C$9:$C$48,B67)+SUMIFS('6- Coût participation agri'!$AE$9:$AE$48,'6- Coût participation agri'!$R$9:$R$48, B73,'6- Coût participation agri'!$C$9:$C$48,B67)+SUMIFS('7- Taux forfaitaire'!$O$9:$O$32,'7- Taux forfaitaire'!$K$9:$K$32,B73,'7- Taux forfaitaire'!$C$9:$C$32,B67)</f>
        <v>0</v>
      </c>
      <c r="D73" s="1071" t="e">
        <f t="shared" si="39"/>
        <v>#VALUE!</v>
      </c>
      <c r="E73" s="893">
        <v>1</v>
      </c>
      <c r="F73" s="894">
        <f t="shared" si="40"/>
        <v>0</v>
      </c>
      <c r="G73" s="894" t="e">
        <f t="shared" si="34"/>
        <v>#VALUE!</v>
      </c>
      <c r="H73" s="981">
        <f t="shared" si="41"/>
        <v>0</v>
      </c>
      <c r="I73" s="1699"/>
      <c r="J73" s="1110" t="e">
        <f t="shared" si="35"/>
        <v>#VALUE!</v>
      </c>
      <c r="K73" s="887" t="e">
        <f t="shared" si="42"/>
        <v>#VALUE!</v>
      </c>
      <c r="L73" s="1110">
        <f t="shared" si="36"/>
        <v>0</v>
      </c>
      <c r="M73" s="887" t="e">
        <f t="shared" si="43"/>
        <v>#VALUE!</v>
      </c>
      <c r="N73" s="887">
        <f t="shared" si="37"/>
        <v>0</v>
      </c>
      <c r="O73" s="887">
        <f>SUMIFS('5- Contribution en nature'!$Z$9:$Z$48,'5- Contribution en nature'!$P$9:$P$48,B73,'5- Contribution en nature'!$O$9:$O$48,"Partenaire 2")</f>
        <v>0</v>
      </c>
      <c r="P73" s="1073">
        <f t="shared" si="38"/>
        <v>0</v>
      </c>
      <c r="Q73" s="1044"/>
    </row>
    <row r="74" spans="1:17" ht="17.100000000000001" customHeight="1" thickBot="1">
      <c r="A74" s="1694"/>
      <c r="B74" s="1106" t="s">
        <v>91</v>
      </c>
      <c r="C74" s="1078">
        <f>SUMIFS('2.1- Investissements'!$BS$11:$BS$50,'2.1- Investissements'!$AK$11:$AK$50,B74,'2.1- Investissements'!$AM$11:$AM$50,"Non",'2.1- Investissements'!$C$11:$C$50,B67)+SUMIFS('2.2- Amortissement'!$AJ$9:$AJ$23,'2.2- Amortissement'!$U$9:$U$23,B74,'2.2- Amortissement'!$W$9:$W$23,"Non",'2.2- Amortissement'!$C$9:$C$23,B67)+SUMIFS('3- Frais généraux'!$BO$10:$BO$49,'3- Frais généraux'!$AI$10:$AI$49,B74,'3- Frais généraux'!$C$10:$C$49,B67)+SUMIFS('1- Frais personnel'!$AI$9:$AI$68,'1- Frais personnel'!$T$9:$T$68,B74,'1- Frais personnel'!$C$9:$C$68,B67)+SUMIFS('4- Déplacement &amp; hébergement'!$BO$10:$BO$49,'4- Déplacement &amp; hébergement'!$AI$10:$AI$49,B74,'4- Déplacement &amp; hébergement'!$C$10:$C$49,B67)+SUMIFS('5- Contribution en nature'!$Z$9:$Z$48,'5- Contribution en nature'!$P$9:$P$48,B74,'5- Contribution en nature'!$C$9:$C$48,B67)+SUMIFS('6- Coût participation agri'!$AE$9:$AE$48,'6- Coût participation agri'!$R$9:$R$48, B74,'6- Coût participation agri'!$C$9:$C$48,B67)+SUMIFS('7- Taux forfaitaire'!$O$9:$O$32,'7- Taux forfaitaire'!$K$9:$K$32,B74,'7- Taux forfaitaire'!$C$9:$C$32,B67)</f>
        <v>0</v>
      </c>
      <c r="D74" s="1079" t="e">
        <f t="shared" si="39"/>
        <v>#VALUE!</v>
      </c>
      <c r="E74" s="1080">
        <v>1</v>
      </c>
      <c r="F74" s="977">
        <f t="shared" si="40"/>
        <v>0</v>
      </c>
      <c r="G74" s="971" t="e">
        <f t="shared" si="34"/>
        <v>#VALUE!</v>
      </c>
      <c r="H74" s="1081">
        <f t="shared" si="41"/>
        <v>0</v>
      </c>
      <c r="I74" s="1700"/>
      <c r="J74" s="1112" t="e">
        <f t="shared" si="35"/>
        <v>#VALUE!</v>
      </c>
      <c r="K74" s="888" t="e">
        <f t="shared" si="42"/>
        <v>#VALUE!</v>
      </c>
      <c r="L74" s="1112">
        <f t="shared" si="36"/>
        <v>0</v>
      </c>
      <c r="M74" s="888" t="e">
        <f t="shared" si="43"/>
        <v>#VALUE!</v>
      </c>
      <c r="N74" s="1045">
        <f t="shared" si="37"/>
        <v>0</v>
      </c>
      <c r="O74" s="1045">
        <f>SUMIFS('5- Contribution en nature'!$Z$9:$Z$48,'5- Contribution en nature'!$P$9:$P$48,B74,'5- Contribution en nature'!$O$9:$O$48,"Partenaire 2")</f>
        <v>0</v>
      </c>
      <c r="P74" s="1082">
        <f t="shared" si="38"/>
        <v>0</v>
      </c>
    </row>
    <row r="75" spans="1:17" s="1086" customFormat="1" ht="65.099999999999994" thickBot="1">
      <c r="B75" s="1090" t="s">
        <v>530</v>
      </c>
      <c r="C75" s="1091">
        <f>IF(D10=0,"",SUM(C69:C74))</f>
        <v>0</v>
      </c>
      <c r="D75" s="983" t="e">
        <f>C75/$C$127</f>
        <v>#VALUE!</v>
      </c>
      <c r="E75" s="984"/>
      <c r="F75" s="684">
        <f>SUM(F69:F74)</f>
        <v>0</v>
      </c>
      <c r="G75" s="684" t="e">
        <f t="shared" si="34"/>
        <v>#VALUE!</v>
      </c>
      <c r="H75" s="985">
        <f t="shared" si="41"/>
        <v>0</v>
      </c>
      <c r="I75" s="1089"/>
      <c r="J75" s="1113" t="e">
        <f t="shared" si="35"/>
        <v>#VALUE!</v>
      </c>
      <c r="K75" s="1046" t="e">
        <f>IF(G75=0,0,IF($I$69="Oui",ROUNDUP(0.15*J75/0.85,2),G75-J75))</f>
        <v>#VALUE!</v>
      </c>
      <c r="L75" s="1113">
        <f t="shared" si="36"/>
        <v>0</v>
      </c>
      <c r="M75" s="1046" t="e">
        <f t="shared" si="43"/>
        <v>#VALUE!</v>
      </c>
      <c r="N75" s="986">
        <f>IF($F$75=0,0,IF($B$21=0,0,F75/$F$75*$C$75/$C$127)*$B$21-L75)</f>
        <v>0</v>
      </c>
      <c r="O75" s="986">
        <f>SUM(O69:O74)</f>
        <v>0</v>
      </c>
      <c r="P75" s="987">
        <f t="shared" si="38"/>
        <v>0</v>
      </c>
    </row>
    <row r="76" spans="1:17" ht="15.95" thickBot="1"/>
    <row r="77" spans="1:17" ht="15.95" customHeight="1" thickBot="1">
      <c r="B77" s="1695" t="s">
        <v>13</v>
      </c>
      <c r="C77" s="1696"/>
      <c r="D77" s="1696"/>
      <c r="E77" s="1696"/>
      <c r="F77" s="1696"/>
      <c r="G77" s="1696"/>
      <c r="H77" s="1696"/>
      <c r="I77" s="1696"/>
      <c r="J77" s="1696"/>
      <c r="K77" s="1696"/>
      <c r="L77" s="1696"/>
      <c r="M77" s="1696"/>
      <c r="N77" s="1697"/>
    </row>
    <row r="78" spans="1:17" ht="144.94999999999999" customHeight="1" thickBot="1">
      <c r="A78" s="1015" t="s">
        <v>520</v>
      </c>
      <c r="B78" s="1013" t="s">
        <v>77</v>
      </c>
      <c r="C78" s="1014" t="s">
        <v>373</v>
      </c>
      <c r="D78" s="1005" t="s">
        <v>521</v>
      </c>
      <c r="E78" s="1005" t="s">
        <v>522</v>
      </c>
      <c r="F78" s="1005" t="s">
        <v>523</v>
      </c>
      <c r="G78" s="1006" t="s">
        <v>524</v>
      </c>
      <c r="H78" s="1006" t="s">
        <v>525</v>
      </c>
      <c r="I78" s="1006" t="s">
        <v>493</v>
      </c>
      <c r="J78" s="1006" t="s">
        <v>494</v>
      </c>
      <c r="K78" s="1006" t="s">
        <v>526</v>
      </c>
      <c r="L78" s="1006" t="s">
        <v>498</v>
      </c>
      <c r="M78" s="1006" t="s">
        <v>499</v>
      </c>
      <c r="N78" s="1006" t="s">
        <v>500</v>
      </c>
      <c r="O78" s="1006" t="s">
        <v>442</v>
      </c>
      <c r="P78" s="1006" t="s">
        <v>527</v>
      </c>
    </row>
    <row r="79" spans="1:17" ht="32.1">
      <c r="A79" s="1693" t="s">
        <v>528</v>
      </c>
      <c r="B79" s="1016" t="s">
        <v>85</v>
      </c>
      <c r="C79" s="988">
        <f>SUMIFS('2.1- Investissements'!$BS$11:$BS$50,'2.1- Investissements'!$AK$11:$AK$50,B79,'2.1- Investissements'!$AM$11:$AM$50,"Oui",'2.1- Investissements'!$C$11:$C$50,B77)+SUMIFS('2.2- Amortissement'!$AJ$9:$AJ$23,'2.2- Amortissement'!$U$9:$U$23,B79,'2.2- Amortissement'!$W$9:$W$23,"Oui",'2.2- Amortissement'!$C$9:$C$23,B77)</f>
        <v>0</v>
      </c>
      <c r="D79" s="989" t="e">
        <f>C79/$C$127</f>
        <v>#VALUE!</v>
      </c>
      <c r="E79" s="990">
        <v>0.8</v>
      </c>
      <c r="F79" s="977">
        <f>IF(E79=0,0,C79*E79)</f>
        <v>0</v>
      </c>
      <c r="G79" s="968" t="e">
        <f t="shared" ref="G79:G85" si="44">IF(OR(F79=0,ROUND(($E$21+$B$21)*$D$85+$O$85,2)&gt;=ROUND($C$85,2)),0,IF($E$21*$D$85+$O$85&gt;($C$85-$F$85),F79-($E$21*$D$85+$O$85-($C$85-$F$85))*(F79/$F$85),F79))</f>
        <v>#VALUE!</v>
      </c>
      <c r="H79" s="991">
        <f>IF(C79=0,0,G79/C79)</f>
        <v>0</v>
      </c>
      <c r="I79" s="1701" t="e">
        <f>_xlfn.IFS($B$21="","Non concerné",$B$21*($C$85/$C$127)&lt;(0.15*$G$85),"Non",$B$21*($C$85/$C$127)=(0.15*$G$85),"Oui",$B$21*($C$85/$C$127)&gt;(0.15*$G$85),"Oui")</f>
        <v>#VALUE!</v>
      </c>
      <c r="J79" s="1104" t="e">
        <f t="shared" ref="J79:J85" si="45">IF(G79=0,0,IF($I$79="Oui",G79-$B$21*((F79/$F$85)*$C$85/$C$127),G79*0.85))</f>
        <v>#VALUE!</v>
      </c>
      <c r="K79" s="888" t="e">
        <f>IF(G79=0,0,IF($I$79="Oui",0.15*J79/0.85,G79-J79))</f>
        <v>#VALUE!</v>
      </c>
      <c r="L79" s="888">
        <f t="shared" ref="L79:L85" si="46">IF(C79=0,0,IF($I$79="Oui",K79,$B$21*(F79/$F$85*$C$85/$C$127)))</f>
        <v>0</v>
      </c>
      <c r="M79" s="1163" t="e">
        <f>IF(K79=0,0,K79-L79)</f>
        <v>#VALUE!</v>
      </c>
      <c r="N79" s="888">
        <f t="shared" ref="N79:N84" si="47">IF($F$85=0,0,IF($B$21=0,0,(F79/$F$85*$C$85/$C$127)*$B$21-L79))</f>
        <v>0</v>
      </c>
      <c r="O79" s="1763" t="s">
        <v>516</v>
      </c>
      <c r="P79" s="992">
        <f t="shared" ref="P79:P85" si="48">IFERROR(C79-J79-K79-N79-O79-($E$21*C79/$C$85*$C$85/$C$127),0)</f>
        <v>0</v>
      </c>
    </row>
    <row r="80" spans="1:17" ht="32.1">
      <c r="A80" s="1693"/>
      <c r="B80" s="1017" t="s">
        <v>88</v>
      </c>
      <c r="C80" s="988">
        <f>SUMIFS('2.1- Investissements'!$BS$11:$BS$50,'2.1- Investissements'!$AK$11:$AK$50,B80,'2.1- Investissements'!$AM$11:$AM$50,"Oui",'2.1- Investissements'!$C$11:$C$50,B77)+SUMIFS('2.2- Amortissement'!$AJ$9:$AJ$23,'2.2- Amortissement'!$U$9:$U$23,B80,'2.2- Amortissement'!$W$9:$W$23,"Oui",'2.2- Amortissement'!$C$9:$C$23,B77)</f>
        <v>0</v>
      </c>
      <c r="D80" s="989" t="e">
        <f t="shared" ref="D80:D85" si="49">C80/$C$127</f>
        <v>#VALUE!</v>
      </c>
      <c r="E80" s="893">
        <v>0.8</v>
      </c>
      <c r="F80" s="977">
        <f t="shared" ref="F80:F84" si="50">IF(E80=0,0,C80*E80)</f>
        <v>0</v>
      </c>
      <c r="G80" s="894" t="e">
        <f t="shared" si="44"/>
        <v>#VALUE!</v>
      </c>
      <c r="H80" s="981">
        <f t="shared" ref="H80:H85" si="51">IF(C80=0,0,G80/C80)</f>
        <v>0</v>
      </c>
      <c r="I80" s="1702"/>
      <c r="J80" s="1104" t="e">
        <f t="shared" si="45"/>
        <v>#VALUE!</v>
      </c>
      <c r="K80" s="888" t="e">
        <f t="shared" ref="K80:K84" si="52">IF(G80=0,0,IF($I$79="Oui",0.15*J80/0.85,G80-J80))</f>
        <v>#VALUE!</v>
      </c>
      <c r="L80" s="888">
        <f t="shared" si="46"/>
        <v>0</v>
      </c>
      <c r="M80" s="887" t="e">
        <f t="shared" ref="M80:M85" si="53">IF(K80=0,0,K80-L80)</f>
        <v>#VALUE!</v>
      </c>
      <c r="N80" s="888">
        <f t="shared" si="47"/>
        <v>0</v>
      </c>
      <c r="O80" s="1764"/>
      <c r="P80" s="992">
        <f t="shared" si="48"/>
        <v>0</v>
      </c>
    </row>
    <row r="81" spans="1:16" ht="15.95" customHeight="1">
      <c r="A81" s="1693"/>
      <c r="B81" s="1017" t="s">
        <v>91</v>
      </c>
      <c r="C81" s="988">
        <f>SUMIFS('2.1- Investissements'!$BS$11:$BS$50,'2.1- Investissements'!$AK$11:$AK$50,B81,'2.1- Investissements'!$AM$11:$AM$50,"Oui",'2.1- Investissements'!$C$11:$C$50,B77)+SUMIFS('2.2- Amortissement'!$AJ$9:$AJ$23,'2.2- Amortissement'!$U$9:$U$23,B81,'2.2- Amortissement'!$W$9:$W$23,"Oui",'2.2- Amortissement'!$C$9:$C$23,B77)</f>
        <v>0</v>
      </c>
      <c r="D81" s="989" t="e">
        <f t="shared" si="49"/>
        <v>#VALUE!</v>
      </c>
      <c r="E81" s="893">
        <v>0.8</v>
      </c>
      <c r="F81" s="977">
        <f t="shared" si="50"/>
        <v>0</v>
      </c>
      <c r="G81" s="894" t="e">
        <f t="shared" si="44"/>
        <v>#VALUE!</v>
      </c>
      <c r="H81" s="981">
        <f t="shared" si="51"/>
        <v>0</v>
      </c>
      <c r="I81" s="1702"/>
      <c r="J81" s="1104" t="e">
        <f t="shared" si="45"/>
        <v>#VALUE!</v>
      </c>
      <c r="K81" s="888" t="e">
        <f t="shared" si="52"/>
        <v>#VALUE!</v>
      </c>
      <c r="L81" s="888">
        <f t="shared" si="46"/>
        <v>0</v>
      </c>
      <c r="M81" s="887" t="e">
        <f t="shared" si="53"/>
        <v>#VALUE!</v>
      </c>
      <c r="N81" s="888">
        <f t="shared" si="47"/>
        <v>0</v>
      </c>
      <c r="O81" s="1765"/>
      <c r="P81" s="992">
        <f t="shared" si="48"/>
        <v>0</v>
      </c>
    </row>
    <row r="82" spans="1:16" ht="32.1">
      <c r="A82" s="1693" t="s">
        <v>529</v>
      </c>
      <c r="B82" s="1017" t="s">
        <v>85</v>
      </c>
      <c r="C82" s="982">
        <f>SUMIFS('2.1- Investissements'!$BS$11:$BS$50,'2.1- Investissements'!$AK$11:$AK$50,B82,'2.1- Investissements'!$AM$11:$AM$50,"Non",'2.1- Investissements'!$C$11:$C$50,B77)+SUMIFS('2.2- Amortissement'!$AJ$9:$AJ$23,'2.2- Amortissement'!$U$9:$U$23,B82,'2.2- Amortissement'!$W$9:$W$23,"Non",'2.2- Amortissement'!$C$9:$C$23,B77)+SUMIFS('3- Frais généraux'!$BO$10:$BO$49,'3- Frais généraux'!$AI$10:$AI$49,B82,'3- Frais généraux'!$C$10:$C$49,B77)+SUMIFS('1- Frais personnel'!$AI$9:$AI$68,'1- Frais personnel'!$T$9:$T$68,B82,'1- Frais personnel'!$C$9:$C$68,B77)+SUMIFS('4- Déplacement &amp; hébergement'!$BO$10:$BO$49,'4- Déplacement &amp; hébergement'!$AI$10:$AI$49,B82,'4- Déplacement &amp; hébergement'!$C$10:$C$49,B77)+SUMIFS('5- Contribution en nature'!$Z$9:$Z$48,'5- Contribution en nature'!$P$9:$P$48,B82,'5- Contribution en nature'!$C$9:$C$48,B77)+SUMIFS('6- Coût participation agri'!$AE$9:$AE$48,'6- Coût participation agri'!$R$9:$R$48, B82,'6- Coût participation agri'!$C$9:$C$48,B77)+SUMIFS('7- Taux forfaitaire'!$O$9:$O$32,'7- Taux forfaitaire'!$K$9:$K$32,B82,'7- Taux forfaitaire'!$C$9:$C$32,B77)</f>
        <v>0</v>
      </c>
      <c r="D82" s="989" t="e">
        <f t="shared" si="49"/>
        <v>#VALUE!</v>
      </c>
      <c r="E82" s="893">
        <v>1</v>
      </c>
      <c r="F82" s="977">
        <f t="shared" si="50"/>
        <v>0</v>
      </c>
      <c r="G82" s="894" t="e">
        <f t="shared" si="44"/>
        <v>#VALUE!</v>
      </c>
      <c r="H82" s="981">
        <f t="shared" si="51"/>
        <v>0</v>
      </c>
      <c r="I82" s="1702"/>
      <c r="J82" s="1104" t="e">
        <f t="shared" si="45"/>
        <v>#VALUE!</v>
      </c>
      <c r="K82" s="888" t="e">
        <f t="shared" si="52"/>
        <v>#VALUE!</v>
      </c>
      <c r="L82" s="888">
        <f t="shared" si="46"/>
        <v>0</v>
      </c>
      <c r="M82" s="887" t="e">
        <f t="shared" si="53"/>
        <v>#VALUE!</v>
      </c>
      <c r="N82" s="888">
        <f t="shared" si="47"/>
        <v>0</v>
      </c>
      <c r="O82" s="992">
        <f>SUMIFS('5- Contribution en nature'!$Z$9:$Z$48,'5- Contribution en nature'!$P$9:$P$48,B82,'5- Contribution en nature'!$O$9:$O$48,"Partenaire 3")</f>
        <v>0</v>
      </c>
      <c r="P82" s="992">
        <f t="shared" si="48"/>
        <v>0</v>
      </c>
    </row>
    <row r="83" spans="1:16" ht="32.1">
      <c r="A83" s="1693"/>
      <c r="B83" s="1017" t="s">
        <v>88</v>
      </c>
      <c r="C83" s="982">
        <f>SUMIFS('2.1- Investissements'!$BS$11:$BS$50,'2.1- Investissements'!$AK$11:$AK$50,B83,'2.1- Investissements'!$AM$11:$AM$50,"Non",'2.1- Investissements'!$C$11:$C$50,B77)+SUMIFS('2.2- Amortissement'!$AJ$9:$AJ$23,'2.2- Amortissement'!$U$9:$U$23,B83,'2.2- Amortissement'!$W$9:$W$23,"Non",'2.2- Amortissement'!$C$9:$C$23,B77)+SUMIFS('3- Frais généraux'!$BO$10:$BO$49,'3- Frais généraux'!$AI$10:$AI$49,B83,'3- Frais généraux'!$C$10:$C$49,B77)+SUMIFS('1- Frais personnel'!$AI$9:$AI$68,'1- Frais personnel'!$T$9:$T$68,B83,'1- Frais personnel'!$C$9:$C$68,B77)+SUMIFS('4- Déplacement &amp; hébergement'!$BO$10:$BO$49,'4- Déplacement &amp; hébergement'!$AI$10:$AI$49,B83,'4- Déplacement &amp; hébergement'!$C$10:$C$49,B77)+SUMIFS('5- Contribution en nature'!$Z$9:$Z$48,'5- Contribution en nature'!$P$9:$P$48,B83,'5- Contribution en nature'!$C$9:$C$48,B77)+SUMIFS('6- Coût participation agri'!$AE$9:$AE$48,'6- Coût participation agri'!$R$9:$R$48, B83,'6- Coût participation agri'!$C$9:$C$48,B77)+SUMIFS('7- Taux forfaitaire'!$O$9:$O$32,'7- Taux forfaitaire'!$K$9:$K$32,B83,'7- Taux forfaitaire'!$C$9:$C$32,B77)</f>
        <v>0</v>
      </c>
      <c r="D83" s="989" t="e">
        <f t="shared" si="49"/>
        <v>#VALUE!</v>
      </c>
      <c r="E83" s="893">
        <v>1</v>
      </c>
      <c r="F83" s="977">
        <f t="shared" si="50"/>
        <v>0</v>
      </c>
      <c r="G83" s="894" t="e">
        <f t="shared" si="44"/>
        <v>#VALUE!</v>
      </c>
      <c r="H83" s="981">
        <f t="shared" si="51"/>
        <v>0</v>
      </c>
      <c r="I83" s="1702"/>
      <c r="J83" s="1104" t="e">
        <f t="shared" si="45"/>
        <v>#VALUE!</v>
      </c>
      <c r="K83" s="888" t="e">
        <f t="shared" si="52"/>
        <v>#VALUE!</v>
      </c>
      <c r="L83" s="888">
        <f t="shared" si="46"/>
        <v>0</v>
      </c>
      <c r="M83" s="887" t="e">
        <f t="shared" si="53"/>
        <v>#VALUE!</v>
      </c>
      <c r="N83" s="888">
        <f t="shared" si="47"/>
        <v>0</v>
      </c>
      <c r="O83" s="992">
        <f>SUMIFS('5- Contribution en nature'!$Z$9:$Z$48,'5- Contribution en nature'!$P$9:$P$48,B83,'5- Contribution en nature'!$O$9:$O$48,"Partenaire 3")</f>
        <v>0</v>
      </c>
      <c r="P83" s="992">
        <f t="shared" si="48"/>
        <v>0</v>
      </c>
    </row>
    <row r="84" spans="1:16" ht="17.100000000000001" customHeight="1" thickBot="1">
      <c r="A84" s="1694"/>
      <c r="B84" s="1017" t="s">
        <v>91</v>
      </c>
      <c r="C84" s="1114">
        <f>SUMIFS('2.1- Investissements'!$BS$11:$BS$50,'2.1- Investissements'!$AK$11:$AK$50,B84,'2.1- Investissements'!$AM$11:$AM$50,"Non",'2.1- Investissements'!$C$11:$C$50,B77)+SUMIFS('2.2- Amortissement'!$AJ$9:$AJ$23,'2.2- Amortissement'!$U$9:$U$23,B84,'2.2- Amortissement'!$W$9:$W$23,"Non",'2.2- Amortissement'!$C$9:$C$23,B77)+SUMIFS('3- Frais généraux'!$BO$10:$BO$49,'3- Frais généraux'!$AI$10:$AI$49,B84,'3- Frais généraux'!$C$10:$C$49,B77)+SUMIFS('1- Frais personnel'!$AI$9:$AI$68,'1- Frais personnel'!$T$9:$T$68,B84,'1- Frais personnel'!$C$9:$C$68,B77)+SUMIFS('4- Déplacement &amp; hébergement'!$BO$10:$BO$49,'4- Déplacement &amp; hébergement'!$AI$10:$AI$49,B84,'4- Déplacement &amp; hébergement'!$C$10:$C$49,B77)+SUMIFS('5- Contribution en nature'!$Z$9:$Z$48,'5- Contribution en nature'!$P$9:$P$48,B84,'5- Contribution en nature'!$C$9:$C$48,B77)+SUMIFS('6- Coût participation agri'!$AE$9:$AE$48,'6- Coût participation agri'!$R$9:$R$48, B84,'6- Coût participation agri'!$C$9:$C$48,B77)+SUMIFS('7- Taux forfaitaire'!$O$9:$O$32,'7- Taux forfaitaire'!$K$9:$K$32,B84,'7- Taux forfaitaire'!$C$9:$C$32,B77)</f>
        <v>0</v>
      </c>
      <c r="D84" s="1115" t="e">
        <f t="shared" si="49"/>
        <v>#VALUE!</v>
      </c>
      <c r="E84" s="1080">
        <v>1</v>
      </c>
      <c r="F84" s="977">
        <f t="shared" si="50"/>
        <v>0</v>
      </c>
      <c r="G84" s="971" t="e">
        <f t="shared" si="44"/>
        <v>#VALUE!</v>
      </c>
      <c r="H84" s="1081">
        <f t="shared" si="51"/>
        <v>0</v>
      </c>
      <c r="I84" s="1702"/>
      <c r="J84" s="1117" t="e">
        <f t="shared" si="45"/>
        <v>#VALUE!</v>
      </c>
      <c r="K84" s="888" t="e">
        <f t="shared" si="52"/>
        <v>#VALUE!</v>
      </c>
      <c r="L84" s="1102">
        <f t="shared" si="46"/>
        <v>0</v>
      </c>
      <c r="M84" s="888" t="e">
        <f t="shared" si="53"/>
        <v>#VALUE!</v>
      </c>
      <c r="N84" s="1102">
        <f t="shared" si="47"/>
        <v>0</v>
      </c>
      <c r="O84" s="1103">
        <f>SUMIFS('5- Contribution en nature'!$Z$9:$Z$48,'5- Contribution en nature'!$P$9:$P$48,B84,'5- Contribution en nature'!$O$9:$O$48,"Partenaire 3")</f>
        <v>0</v>
      </c>
      <c r="P84" s="1103">
        <f t="shared" si="48"/>
        <v>0</v>
      </c>
    </row>
    <row r="85" spans="1:16" s="1086" customFormat="1" ht="65.099999999999994" thickBot="1">
      <c r="B85" s="1090" t="s">
        <v>530</v>
      </c>
      <c r="C85" s="1091" t="str">
        <f>IF($D$3=0,"",SUM(C79:C84))</f>
        <v/>
      </c>
      <c r="D85" s="983" t="e">
        <f t="shared" si="49"/>
        <v>#VALUE!</v>
      </c>
      <c r="E85" s="984"/>
      <c r="F85" s="684">
        <f>SUM(F79:F84)</f>
        <v>0</v>
      </c>
      <c r="G85" s="684" t="e">
        <f t="shared" si="44"/>
        <v>#VALUE!</v>
      </c>
      <c r="H85" s="985" t="e">
        <f t="shared" si="51"/>
        <v>#VALUE!</v>
      </c>
      <c r="I85" s="1089"/>
      <c r="J85" s="1113" t="e">
        <f t="shared" si="45"/>
        <v>#VALUE!</v>
      </c>
      <c r="K85" s="986" t="e">
        <f>IF(G85=0,0,IF($I$79="Oui",ROUNDUP(0.15*J85/0.85,2),G85-J85))</f>
        <v>#VALUE!</v>
      </c>
      <c r="L85" s="986" t="e">
        <f t="shared" si="46"/>
        <v>#VALUE!</v>
      </c>
      <c r="M85" s="1046" t="e">
        <f t="shared" si="53"/>
        <v>#VALUE!</v>
      </c>
      <c r="N85" s="986">
        <f>IF($F$85=0,0,IF($B$21=0,0,ROUNDUP((F85/$F$85*$C$85/$C$127)*$B$21-L85,2)))</f>
        <v>0</v>
      </c>
      <c r="O85" s="986">
        <f>SUM(O79:O84)</f>
        <v>0</v>
      </c>
      <c r="P85" s="987">
        <f t="shared" si="48"/>
        <v>0</v>
      </c>
    </row>
    <row r="86" spans="1:16" ht="15.95" thickBot="1"/>
    <row r="87" spans="1:16" ht="15.95" customHeight="1" thickBot="1">
      <c r="B87" s="1695" t="s">
        <v>14</v>
      </c>
      <c r="C87" s="1696"/>
      <c r="D87" s="1696"/>
      <c r="E87" s="1696"/>
      <c r="F87" s="1696"/>
      <c r="G87" s="1696"/>
      <c r="H87" s="1696"/>
      <c r="I87" s="1696"/>
      <c r="J87" s="1696"/>
      <c r="K87" s="1696"/>
      <c r="L87" s="1696"/>
      <c r="M87" s="1696"/>
      <c r="N87" s="1697"/>
    </row>
    <row r="88" spans="1:16" ht="144.94999999999999" customHeight="1" thickBot="1">
      <c r="A88" s="1015" t="s">
        <v>520</v>
      </c>
      <c r="B88" s="1013" t="s">
        <v>77</v>
      </c>
      <c r="C88" s="1107" t="s">
        <v>373</v>
      </c>
      <c r="D88" s="1108" t="s">
        <v>521</v>
      </c>
      <c r="E88" s="1108" t="s">
        <v>522</v>
      </c>
      <c r="F88" s="1108" t="s">
        <v>523</v>
      </c>
      <c r="G88" s="1109" t="s">
        <v>524</v>
      </c>
      <c r="H88" s="1109" t="s">
        <v>525</v>
      </c>
      <c r="I88" s="1109" t="s">
        <v>493</v>
      </c>
      <c r="J88" s="1109" t="s">
        <v>494</v>
      </c>
      <c r="K88" s="1109" t="s">
        <v>526</v>
      </c>
      <c r="L88" s="1109" t="s">
        <v>498</v>
      </c>
      <c r="M88" s="1109" t="s">
        <v>499</v>
      </c>
      <c r="N88" s="1109" t="s">
        <v>500</v>
      </c>
      <c r="O88" s="1109" t="s">
        <v>442</v>
      </c>
      <c r="P88" s="1109" t="s">
        <v>527</v>
      </c>
    </row>
    <row r="89" spans="1:16" ht="32.1">
      <c r="A89" s="1693" t="s">
        <v>528</v>
      </c>
      <c r="B89" s="1105" t="s">
        <v>85</v>
      </c>
      <c r="C89" s="1056">
        <f>SUMIFS('2.1- Investissements'!$BS$11:$BS$50,'2.1- Investissements'!$AK$11:$AK$50,B89,'2.1- Investissements'!$AM$11:$AM$50,"Oui",'2.1- Investissements'!$C$11:$C$50,B87)+SUMIFS('2.2- Amortissement'!$AJ$9:$AJ$23,'2.2- Amortissement'!$U$9:$U$23,B89,'2.2- Amortissement'!$W$9:$W$23,"Oui",'2.2- Amortissement'!$C$9:$C$23,B87)</f>
        <v>0</v>
      </c>
      <c r="D89" s="1057" t="e">
        <f>C89/$C$127</f>
        <v>#VALUE!</v>
      </c>
      <c r="E89" s="1058">
        <v>0.8</v>
      </c>
      <c r="F89" s="968">
        <f>IF(E89=0,0,C89*E89)</f>
        <v>0</v>
      </c>
      <c r="G89" s="968" t="e">
        <f t="shared" ref="G89:G95" si="54">IF(OR(F89=0,ROUND(($E$21+$B$21)*$D$95+$O$95,2)&gt;=ROUND($C$95,2)),0,IF($E$21*$D$95+$O$95&gt;($C$95-$F$95),F89-($E$21*$D$95+$O$95-($C$95-$F$95))*(F89/$F$95),F89))</f>
        <v>#VALUE!</v>
      </c>
      <c r="H89" s="1072">
        <f>IF(C89=0,0,G89/C89)</f>
        <v>0</v>
      </c>
      <c r="I89" s="1698" t="e">
        <f>_xlfn.IFS($B$21="","Non concerné",$B$21*($C$95/$C$127)&lt;(0.15*$G$95),"Non",$B$21*($C$95/$C$127)=(0.15*$G$95),"Oui",$B$21*($C$95/$C$127)&gt;(0.15*$G$95),"Oui")</f>
        <v>#VALUE!</v>
      </c>
      <c r="J89" s="1111" t="e">
        <f t="shared" ref="J89:J95" si="55">IF(G89=0,0,IF($I$89="Oui",G89-$B$21*((F89/$F$95)*$C$95/$C$127),G89*0.85))</f>
        <v>#VALUE!</v>
      </c>
      <c r="K89" s="888" t="e">
        <f>IF(G89=0,0,IF($I$89="Oui",0.15*J89/0.85,G89-J89))</f>
        <v>#VALUE!</v>
      </c>
      <c r="L89" s="1059">
        <f t="shared" ref="L89:L95" si="56">IF(C89=0,0,IF($I$89="Oui",K89,$B$21*(F89/$F$95*$C$95/$C$127)))</f>
        <v>0</v>
      </c>
      <c r="M89" s="1163" t="e">
        <f>IF(K89=0,0,K89-L89)</f>
        <v>#VALUE!</v>
      </c>
      <c r="N89" s="1059">
        <f t="shared" ref="N89:N94" si="57">IF($F$89=0,0,IF($B$21=0,0,(F89/$F$95*$C$95/$C$127)*$B$21-L89))</f>
        <v>0</v>
      </c>
      <c r="O89" s="1763" t="s">
        <v>516</v>
      </c>
      <c r="P89" s="1060">
        <f t="shared" ref="P89:P95" si="58">IFERROR(C89-J89-K89-N89-O89-($E$21*C89/$C$95*$C$95/$C$127),0)</f>
        <v>0</v>
      </c>
    </row>
    <row r="90" spans="1:16" ht="32.1">
      <c r="A90" s="1693"/>
      <c r="B90" s="1106" t="s">
        <v>88</v>
      </c>
      <c r="C90" s="1061">
        <f>SUMIFS('2.1- Investissements'!$BS$11:$BS$50,'2.1- Investissements'!$AK$11:$AK$50,B90,'2.1- Investissements'!$AM$11:$AM$50,"Oui",'2.1- Investissements'!$C$11:$C$50,B87)+SUMIFS('2.2- Amortissement'!$AJ$9:$AJ$23,'2.2- Amortissement'!$U$9:$U$23,B90,'2.2- Amortissement'!$W$9:$W$23,"Oui",'2.2- Amortissement'!$C$9:$C$23,B87)</f>
        <v>0</v>
      </c>
      <c r="D90" s="1071" t="e">
        <f t="shared" ref="D90:D95" si="59">C90/$C$127</f>
        <v>#VALUE!</v>
      </c>
      <c r="E90" s="893">
        <v>0.8</v>
      </c>
      <c r="F90" s="894">
        <f t="shared" ref="F90:F94" si="60">IF(E90=0,0,C90*E90)</f>
        <v>0</v>
      </c>
      <c r="G90" s="894" t="e">
        <f t="shared" si="54"/>
        <v>#VALUE!</v>
      </c>
      <c r="H90" s="981">
        <f t="shared" ref="H90:H95" si="61">IF(C90=0,0,G90/C90)</f>
        <v>0</v>
      </c>
      <c r="I90" s="1699"/>
      <c r="J90" s="1110" t="e">
        <f t="shared" si="55"/>
        <v>#VALUE!</v>
      </c>
      <c r="K90" s="888" t="e">
        <f t="shared" ref="K90:K94" si="62">IF(G90=0,0,IF($I$89="Oui",0.15*J90/0.85,G90-J90))</f>
        <v>#VALUE!</v>
      </c>
      <c r="L90" s="887">
        <f t="shared" si="56"/>
        <v>0</v>
      </c>
      <c r="M90" s="887" t="e">
        <f t="shared" ref="M90:M95" si="63">IF(K90=0,0,K90-L90)</f>
        <v>#VALUE!</v>
      </c>
      <c r="N90" s="887">
        <f t="shared" si="57"/>
        <v>0</v>
      </c>
      <c r="O90" s="1764"/>
      <c r="P90" s="1073">
        <f t="shared" si="58"/>
        <v>0</v>
      </c>
    </row>
    <row r="91" spans="1:16" ht="15.95" customHeight="1">
      <c r="A91" s="1693"/>
      <c r="B91" s="1106" t="s">
        <v>91</v>
      </c>
      <c r="C91" s="1061">
        <f>SUMIFS('2.1- Investissements'!$BS$11:$BS$50,'2.1- Investissements'!$AK$11:$AK$50,B91,'2.1- Investissements'!$AM$11:$AM$50,"Oui",'2.1- Investissements'!$C$11:$C$50,B87)+SUMIFS('2.2- Amortissement'!$AJ$9:$AJ$23,'2.2- Amortissement'!$U$9:$U$23,B91,'2.2- Amortissement'!$W$9:$W$23,"Oui",'2.2- Amortissement'!$C$9:$C$23,B87)</f>
        <v>0</v>
      </c>
      <c r="D91" s="1071" t="e">
        <f t="shared" si="59"/>
        <v>#VALUE!</v>
      </c>
      <c r="E91" s="893">
        <v>0.8</v>
      </c>
      <c r="F91" s="894">
        <f t="shared" si="60"/>
        <v>0</v>
      </c>
      <c r="G91" s="894" t="e">
        <f t="shared" si="54"/>
        <v>#VALUE!</v>
      </c>
      <c r="H91" s="981">
        <f t="shared" si="61"/>
        <v>0</v>
      </c>
      <c r="I91" s="1699"/>
      <c r="J91" s="1110" t="e">
        <f t="shared" si="55"/>
        <v>#VALUE!</v>
      </c>
      <c r="K91" s="888" t="e">
        <f t="shared" si="62"/>
        <v>#VALUE!</v>
      </c>
      <c r="L91" s="887">
        <f t="shared" si="56"/>
        <v>0</v>
      </c>
      <c r="M91" s="887" t="e">
        <f t="shared" si="63"/>
        <v>#VALUE!</v>
      </c>
      <c r="N91" s="887">
        <f t="shared" si="57"/>
        <v>0</v>
      </c>
      <c r="O91" s="1765"/>
      <c r="P91" s="1073">
        <f t="shared" si="58"/>
        <v>0</v>
      </c>
    </row>
    <row r="92" spans="1:16" ht="32.1">
      <c r="A92" s="1693" t="s">
        <v>529</v>
      </c>
      <c r="B92" s="1106" t="s">
        <v>85</v>
      </c>
      <c r="C92" s="1061">
        <f>SUMIFS('2.1- Investissements'!$BS$11:$BS$50,'2.1- Investissements'!$AK$11:$AK$50,B92,'2.1- Investissements'!$AM$11:$AM$50,"Non",'2.1- Investissements'!$C$11:$C$50,B87)+SUMIFS('2.2- Amortissement'!$AJ$9:$AJ$23,'2.2- Amortissement'!$U$9:$U$23,B92,'2.2- Amortissement'!$W$9:$W$23,"Non",'2.2- Amortissement'!$C$9:$C$23,B87)+SUMIFS('3- Frais généraux'!$BO$10:$BO$49,'3- Frais généraux'!$AI$10:$AI$49,B92,'3- Frais généraux'!$C$10:$C$49,B87)+SUMIFS('1- Frais personnel'!$AI$9:$AI$68,'1- Frais personnel'!$T$9:$T$68,B92,'1- Frais personnel'!$C$9:$C$68,B87)+SUMIFS('4- Déplacement &amp; hébergement'!$BO$10:$BO$49,'4- Déplacement &amp; hébergement'!$AI$10:$AI$49,B92,'4- Déplacement &amp; hébergement'!$C$10:$C$49,B87)+SUMIFS('5- Contribution en nature'!$Z$9:$Z$48,'5- Contribution en nature'!$P$9:$P$48,B92,'5- Contribution en nature'!$C$9:$C$48,B87)+SUMIFS('6- Coût participation agri'!$AE$9:$AE$48,'6- Coût participation agri'!$R$9:$R$48, B92,'6- Coût participation agri'!$C$9:$C$48,B87)+SUMIFS('7- Taux forfaitaire'!$O$9:$O$32,'7- Taux forfaitaire'!$K$9:$K$32,B92,'7- Taux forfaitaire'!$C$9:$C$32,B87)</f>
        <v>0</v>
      </c>
      <c r="D92" s="1071" t="e">
        <f t="shared" si="59"/>
        <v>#VALUE!</v>
      </c>
      <c r="E92" s="893">
        <v>1</v>
      </c>
      <c r="F92" s="894">
        <f t="shared" si="60"/>
        <v>0</v>
      </c>
      <c r="G92" s="894" t="e">
        <f t="shared" si="54"/>
        <v>#VALUE!</v>
      </c>
      <c r="H92" s="981">
        <f t="shared" si="61"/>
        <v>0</v>
      </c>
      <c r="I92" s="1699"/>
      <c r="J92" s="1110" t="e">
        <f t="shared" si="55"/>
        <v>#VALUE!</v>
      </c>
      <c r="K92" s="888" t="e">
        <f t="shared" si="62"/>
        <v>#VALUE!</v>
      </c>
      <c r="L92" s="887">
        <f t="shared" si="56"/>
        <v>0</v>
      </c>
      <c r="M92" s="887" t="e">
        <f t="shared" si="63"/>
        <v>#VALUE!</v>
      </c>
      <c r="N92" s="887">
        <f t="shared" si="57"/>
        <v>0</v>
      </c>
      <c r="O92" s="887">
        <f>SUMIFS('5- Contribution en nature'!$Z$9:$Z$48,'5- Contribution en nature'!$P$9:$P$48,B92,'5- Contribution en nature'!$O$9:$O$48,"Partenaire 4")</f>
        <v>0</v>
      </c>
      <c r="P92" s="1073">
        <f t="shared" si="58"/>
        <v>0</v>
      </c>
    </row>
    <row r="93" spans="1:16" ht="32.1">
      <c r="A93" s="1693"/>
      <c r="B93" s="1106" t="s">
        <v>88</v>
      </c>
      <c r="C93" s="1061">
        <f>SUMIFS('2.1- Investissements'!$BS$11:$BS$50,'2.1- Investissements'!$AK$11:$AK$50,B93,'2.1- Investissements'!$AM$11:$AM$50,"Non",'2.1- Investissements'!$C$11:$C$50,B87)+SUMIFS('2.2- Amortissement'!$AJ$9:$AJ$23,'2.2- Amortissement'!$U$9:$U$23,B93,'2.2- Amortissement'!$W$9:$W$23,"Non",'2.2- Amortissement'!$C$9:$C$23,B87)+SUMIFS('3- Frais généraux'!$BO$10:$BO$49,'3- Frais généraux'!$AI$10:$AI$49,B93,'3- Frais généraux'!$C$10:$C$49,B87)+SUMIFS('1- Frais personnel'!$AI$9:$AI$68,'1- Frais personnel'!$T$9:$T$68,B93,'1- Frais personnel'!$C$9:$C$68,B87)+SUMIFS('4- Déplacement &amp; hébergement'!$BO$10:$BO$49,'4- Déplacement &amp; hébergement'!$AI$10:$AI$49,B93,'4- Déplacement &amp; hébergement'!$C$10:$C$49,B87)+SUMIFS('5- Contribution en nature'!$Z$9:$Z$48,'5- Contribution en nature'!$P$9:$P$48,B93,'5- Contribution en nature'!$C$9:$C$48,B87)+SUMIFS('6- Coût participation agri'!$AE$9:$AE$48,'6- Coût participation agri'!$R$9:$R$48, B93,'6- Coût participation agri'!$C$9:$C$48,B87)+SUMIFS('7- Taux forfaitaire'!$O$9:$O$32,'7- Taux forfaitaire'!$K$9:$K$32,B93,'7- Taux forfaitaire'!$C$9:$C$32,B87)</f>
        <v>0</v>
      </c>
      <c r="D93" s="1071" t="e">
        <f t="shared" si="59"/>
        <v>#VALUE!</v>
      </c>
      <c r="E93" s="893">
        <v>1</v>
      </c>
      <c r="F93" s="894">
        <f t="shared" si="60"/>
        <v>0</v>
      </c>
      <c r="G93" s="894" t="e">
        <f t="shared" si="54"/>
        <v>#VALUE!</v>
      </c>
      <c r="H93" s="981">
        <f t="shared" si="61"/>
        <v>0</v>
      </c>
      <c r="I93" s="1699"/>
      <c r="J93" s="1110" t="e">
        <f t="shared" si="55"/>
        <v>#VALUE!</v>
      </c>
      <c r="K93" s="888" t="e">
        <f t="shared" si="62"/>
        <v>#VALUE!</v>
      </c>
      <c r="L93" s="887">
        <f t="shared" si="56"/>
        <v>0</v>
      </c>
      <c r="M93" s="887" t="e">
        <f t="shared" si="63"/>
        <v>#VALUE!</v>
      </c>
      <c r="N93" s="887">
        <f t="shared" si="57"/>
        <v>0</v>
      </c>
      <c r="O93" s="887">
        <f>SUMIFS('5- Contribution en nature'!$Z$9:$Z$48,'5- Contribution en nature'!$P$9:$P$48,B93,'5- Contribution en nature'!$O$9:$O$48,"Partenaire 4")</f>
        <v>0</v>
      </c>
      <c r="P93" s="1073">
        <f t="shared" si="58"/>
        <v>0</v>
      </c>
    </row>
    <row r="94" spans="1:16" ht="17.100000000000001" customHeight="1" thickBot="1">
      <c r="A94" s="1694"/>
      <c r="B94" s="1106" t="s">
        <v>91</v>
      </c>
      <c r="C94" s="1078">
        <f>SUMIFS('2.1- Investissements'!$BS$11:$BS$50,'2.1- Investissements'!$AK$11:$AK$50,B94,'2.1- Investissements'!$AM$11:$AM$50,"Non",'2.1- Investissements'!$C$11:$C$50,B87)+SUMIFS('2.2- Amortissement'!$AJ$9:$AJ$23,'2.2- Amortissement'!$U$9:$U$23,B94,'2.2- Amortissement'!$W$9:$W$23,"Non",'2.2- Amortissement'!$C$9:$C$23,B87)+SUMIFS('3- Frais généraux'!$BO$10:$BO$49,'3- Frais généraux'!$AI$10:$AI$49,B94,'3- Frais généraux'!$C$10:$C$49,B87)+SUMIFS('1- Frais personnel'!$AI$9:$AI$68,'1- Frais personnel'!$T$9:$T$68,B94,'1- Frais personnel'!$C$9:$C$68,B87)+SUMIFS('4- Déplacement &amp; hébergement'!$BO$10:$BO$49,'4- Déplacement &amp; hébergement'!$AI$10:$AI$49,B94,'4- Déplacement &amp; hébergement'!$C$10:$C$49,B87)+SUMIFS('5- Contribution en nature'!$Z$9:$Z$48,'5- Contribution en nature'!$P$9:$P$48,B94,'5- Contribution en nature'!$C$9:$C$48,B87)+SUMIFS('6- Coût participation agri'!$AE$9:$AE$48,'6- Coût participation agri'!$R$9:$R$48, B94,'6- Coût participation agri'!$C$9:$C$48,B87)+SUMIFS('7- Taux forfaitaire'!$O$9:$O$32,'7- Taux forfaitaire'!$K$9:$K$32,B94,'7- Taux forfaitaire'!$C$9:$C$32,B87)</f>
        <v>0</v>
      </c>
      <c r="D94" s="1079" t="e">
        <f t="shared" si="59"/>
        <v>#VALUE!</v>
      </c>
      <c r="E94" s="1080">
        <v>1</v>
      </c>
      <c r="F94" s="977">
        <f t="shared" si="60"/>
        <v>0</v>
      </c>
      <c r="G94" s="971" t="e">
        <f t="shared" si="54"/>
        <v>#VALUE!</v>
      </c>
      <c r="H94" s="1081">
        <f t="shared" si="61"/>
        <v>0</v>
      </c>
      <c r="I94" s="1700"/>
      <c r="J94" s="1112" t="e">
        <f t="shared" si="55"/>
        <v>#VALUE!</v>
      </c>
      <c r="K94" s="888" t="e">
        <f t="shared" si="62"/>
        <v>#VALUE!</v>
      </c>
      <c r="L94" s="1045">
        <f t="shared" si="56"/>
        <v>0</v>
      </c>
      <c r="M94" s="888" t="e">
        <f t="shared" si="63"/>
        <v>#VALUE!</v>
      </c>
      <c r="N94" s="1045">
        <f t="shared" si="57"/>
        <v>0</v>
      </c>
      <c r="O94" s="1045">
        <f>SUMIFS('5- Contribution en nature'!$Z$9:$Z$48,'5- Contribution en nature'!$P$9:$P$48,B94,'5- Contribution en nature'!$O$9:$O$48,"Partenaire 4")</f>
        <v>0</v>
      </c>
      <c r="P94" s="1082">
        <f t="shared" si="58"/>
        <v>0</v>
      </c>
    </row>
    <row r="95" spans="1:16" s="1086" customFormat="1" ht="65.099999999999994" thickBot="1">
      <c r="B95" s="1090" t="s">
        <v>530</v>
      </c>
      <c r="C95" s="1091" t="str">
        <f>IF($D$3=0,"",SUM(C89:C94))</f>
        <v/>
      </c>
      <c r="D95" s="983" t="e">
        <f t="shared" si="59"/>
        <v>#VALUE!</v>
      </c>
      <c r="E95" s="984"/>
      <c r="F95" s="684">
        <f>SUM(F89:F94)</f>
        <v>0</v>
      </c>
      <c r="G95" s="684" t="e">
        <f t="shared" si="54"/>
        <v>#VALUE!</v>
      </c>
      <c r="H95" s="985" t="e">
        <f t="shared" si="61"/>
        <v>#VALUE!</v>
      </c>
      <c r="I95" s="1089"/>
      <c r="J95" s="1113" t="e">
        <f t="shared" si="55"/>
        <v>#VALUE!</v>
      </c>
      <c r="K95" s="986" t="e">
        <f>IF(G95=0,0,IF($I$89="Oui",ROUNDUP(0.15*J95/0.85,2),G95-J95))</f>
        <v>#VALUE!</v>
      </c>
      <c r="L95" s="986" t="e">
        <f t="shared" si="56"/>
        <v>#VALUE!</v>
      </c>
      <c r="M95" s="1046" t="e">
        <f t="shared" si="63"/>
        <v>#VALUE!</v>
      </c>
      <c r="N95" s="986">
        <f>IF($F$95=0,0,IF($B$21=0,0,ROUNDUP((F95/$F$95*$C$95/$C$127)*$B$21-L95,2)))</f>
        <v>0</v>
      </c>
      <c r="O95" s="986">
        <f>SUM(O89:O94)</f>
        <v>0</v>
      </c>
      <c r="P95" s="987">
        <f t="shared" si="58"/>
        <v>0</v>
      </c>
    </row>
    <row r="96" spans="1:16" ht="15.95" thickBot="1"/>
    <row r="97" spans="1:16" ht="15.95" customHeight="1" thickBot="1">
      <c r="B97" s="1695" t="s">
        <v>15</v>
      </c>
      <c r="C97" s="1696"/>
      <c r="D97" s="1696"/>
      <c r="E97" s="1696"/>
      <c r="F97" s="1696"/>
      <c r="G97" s="1696"/>
      <c r="H97" s="1696"/>
      <c r="I97" s="1696"/>
      <c r="J97" s="1696"/>
      <c r="K97" s="1696"/>
      <c r="L97" s="1696"/>
      <c r="M97" s="1696"/>
      <c r="N97" s="1697"/>
    </row>
    <row r="98" spans="1:16" ht="144.94999999999999" customHeight="1" thickBot="1">
      <c r="A98" s="1015" t="s">
        <v>520</v>
      </c>
      <c r="B98" s="1013" t="s">
        <v>77</v>
      </c>
      <c r="C98" s="1107" t="s">
        <v>373</v>
      </c>
      <c r="D98" s="1108" t="s">
        <v>521</v>
      </c>
      <c r="E98" s="1108" t="s">
        <v>522</v>
      </c>
      <c r="F98" s="1108" t="s">
        <v>523</v>
      </c>
      <c r="G98" s="1109" t="s">
        <v>524</v>
      </c>
      <c r="H98" s="1109" t="s">
        <v>525</v>
      </c>
      <c r="I98" s="1109" t="s">
        <v>493</v>
      </c>
      <c r="J98" s="1109" t="s">
        <v>494</v>
      </c>
      <c r="K98" s="1109" t="s">
        <v>526</v>
      </c>
      <c r="L98" s="1109" t="s">
        <v>498</v>
      </c>
      <c r="M98" s="1109" t="s">
        <v>499</v>
      </c>
      <c r="N98" s="1109" t="s">
        <v>500</v>
      </c>
      <c r="O98" s="1109" t="s">
        <v>442</v>
      </c>
      <c r="P98" s="1109" t="s">
        <v>527</v>
      </c>
    </row>
    <row r="99" spans="1:16" ht="32.1">
      <c r="A99" s="1693" t="s">
        <v>528</v>
      </c>
      <c r="B99" s="1105" t="s">
        <v>85</v>
      </c>
      <c r="C99" s="1056">
        <f>SUMIFS('2.1- Investissements'!$BS$11:$BS$50,'2.1- Investissements'!$AK$11:$AK$50,B99,'2.1- Investissements'!$AM$11:$AM$50,"Oui",'2.1- Investissements'!$C$11:$C$50,B97)+SUMIFS('2.2- Amortissement'!$AJ$9:$AJ$23,'2.2- Amortissement'!$U$9:$U$23,B99,'2.2- Amortissement'!$W$9:$W$23,"Oui",'2.2- Amortissement'!$C$9:$C$23,B97)</f>
        <v>0</v>
      </c>
      <c r="D99" s="1057" t="e">
        <f>C99/$C$127</f>
        <v>#VALUE!</v>
      </c>
      <c r="E99" s="1058">
        <v>0.8</v>
      </c>
      <c r="F99" s="968">
        <f>IF(E99=0,0,C99*E99)</f>
        <v>0</v>
      </c>
      <c r="G99" s="968" t="e">
        <f t="shared" ref="G99:G105" si="64">IF(OR(F99=0,ROUND(($E$21+$B$21)*$D$105+$O$105,2)&gt;=ROUND($C$105,2)),0,IF($E$21*$D$105+$O$105&gt;($C$105-$F$105),F99-($E$21*$D$105+$O$105-($C$105-$F$105))*(F99/$F$105),F99))</f>
        <v>#VALUE!</v>
      </c>
      <c r="H99" s="1072">
        <f>IF(C99=0,0,G99/C99)</f>
        <v>0</v>
      </c>
      <c r="I99" s="1698" t="e">
        <f>_xlfn.IFS($B$21="","Non concerné",$B$21*($C$105/$C$127)&lt;(0.15*$G$105),"Non",$B$21*($C$105/$C$127)=(0.15*$G$105),"Oui",$B$21*($C$105/$C$127)&gt;(0.15*$G$105),"Oui")</f>
        <v>#VALUE!</v>
      </c>
      <c r="J99" s="1111" t="e">
        <f t="shared" ref="J99:J105" si="65">IF(G99=0,0,IF($I$99="Oui",G99-$B$21*((F99/$F$105)*$C$105/$C$127),G99*0.85))</f>
        <v>#VALUE!</v>
      </c>
      <c r="K99" s="888" t="e">
        <f>IF(G99=0,0,IF($I$99="Oui",0.15*J99/0.85,G99-J99))</f>
        <v>#VALUE!</v>
      </c>
      <c r="L99" s="1059">
        <f t="shared" ref="L99:L105" si="66">IF(C99=0,0,IF($I$99="Oui",K99,$B$21*(F99/$F$105*$C$105/$C$127)))</f>
        <v>0</v>
      </c>
      <c r="M99" s="1163" t="e">
        <f>IF(K99=0,0,K99-L99)</f>
        <v>#VALUE!</v>
      </c>
      <c r="N99" s="1059">
        <f t="shared" ref="N99:N104" si="67">IF($F$105=0,0,IF($B$21=0,0,(F99/$F$105*$C$105/$C$127)*$B$21-L99))</f>
        <v>0</v>
      </c>
      <c r="O99" s="1763" t="s">
        <v>516</v>
      </c>
      <c r="P99" s="1060">
        <f t="shared" ref="P99:P105" si="68">IFERROR(C99-J99-K99-N99-O99-($E$21*C99/$C$105*$C$105/$C$127),0)</f>
        <v>0</v>
      </c>
    </row>
    <row r="100" spans="1:16" ht="32.1">
      <c r="A100" s="1693"/>
      <c r="B100" s="1106" t="s">
        <v>88</v>
      </c>
      <c r="C100" s="1061">
        <f>SUMIFS('2.1- Investissements'!$BS$11:$BS$50,'2.1- Investissements'!$AK$11:$AK$50,B100,'2.1- Investissements'!$AM$11:$AM$50,"Oui",'2.1- Investissements'!$C$11:$C$50,B97)+SUMIFS('2.2- Amortissement'!$AJ$9:$AJ$23,'2.2- Amortissement'!$U$9:$U$23,B100,'2.2- Amortissement'!$W$9:$W$23,"Oui",'2.2- Amortissement'!$C$9:$C$23,B97)</f>
        <v>0</v>
      </c>
      <c r="D100" s="1071" t="e">
        <f t="shared" ref="D100:D105" si="69">C100/$C$127</f>
        <v>#VALUE!</v>
      </c>
      <c r="E100" s="893">
        <v>0.8</v>
      </c>
      <c r="F100" s="894">
        <f t="shared" ref="F100:F104" si="70">IF(E100=0,0,C100*E100)</f>
        <v>0</v>
      </c>
      <c r="G100" s="894" t="e">
        <f t="shared" si="64"/>
        <v>#VALUE!</v>
      </c>
      <c r="H100" s="981">
        <f t="shared" ref="H100:H105" si="71">IF(C100=0,0,G100/C100)</f>
        <v>0</v>
      </c>
      <c r="I100" s="1699"/>
      <c r="J100" s="1110" t="e">
        <f t="shared" si="65"/>
        <v>#VALUE!</v>
      </c>
      <c r="K100" s="888" t="e">
        <f t="shared" ref="K100:K104" si="72">IF(G100=0,0,IF($I$99="Oui",0.15*J100/0.85,G100-J100))</f>
        <v>#VALUE!</v>
      </c>
      <c r="L100" s="887">
        <f t="shared" si="66"/>
        <v>0</v>
      </c>
      <c r="M100" s="887" t="e">
        <f t="shared" ref="M100:M105" si="73">IF(K100=0,0,K100-L100)</f>
        <v>#VALUE!</v>
      </c>
      <c r="N100" s="887">
        <f t="shared" si="67"/>
        <v>0</v>
      </c>
      <c r="O100" s="1764"/>
      <c r="P100" s="1073">
        <f t="shared" si="68"/>
        <v>0</v>
      </c>
    </row>
    <row r="101" spans="1:16" ht="15.95" customHeight="1">
      <c r="A101" s="1693"/>
      <c r="B101" s="1106" t="s">
        <v>91</v>
      </c>
      <c r="C101" s="1061">
        <f>SUMIFS('2.1- Investissements'!$BS$11:$BS$50,'2.1- Investissements'!$AK$11:$AK$50,B101,'2.1- Investissements'!$AM$11:$AM$50,"Oui",'2.1- Investissements'!$C$11:$C$50,B97)+SUMIFS('2.2- Amortissement'!$AJ$9:$AJ$23,'2.2- Amortissement'!$U$9:$U$23,B101,'2.2- Amortissement'!$W$9:$W$23,"Oui",'2.2- Amortissement'!$C$9:$C$23,B97)</f>
        <v>0</v>
      </c>
      <c r="D101" s="1071" t="e">
        <f t="shared" si="69"/>
        <v>#VALUE!</v>
      </c>
      <c r="E101" s="893">
        <v>0.8</v>
      </c>
      <c r="F101" s="894">
        <f t="shared" si="70"/>
        <v>0</v>
      </c>
      <c r="G101" s="894" t="e">
        <f t="shared" si="64"/>
        <v>#VALUE!</v>
      </c>
      <c r="H101" s="981">
        <f t="shared" si="71"/>
        <v>0</v>
      </c>
      <c r="I101" s="1699"/>
      <c r="J101" s="1110" t="e">
        <f t="shared" si="65"/>
        <v>#VALUE!</v>
      </c>
      <c r="K101" s="888" t="e">
        <f t="shared" si="72"/>
        <v>#VALUE!</v>
      </c>
      <c r="L101" s="887">
        <f t="shared" si="66"/>
        <v>0</v>
      </c>
      <c r="M101" s="887" t="e">
        <f t="shared" si="73"/>
        <v>#VALUE!</v>
      </c>
      <c r="N101" s="887">
        <f t="shared" si="67"/>
        <v>0</v>
      </c>
      <c r="O101" s="1765"/>
      <c r="P101" s="1073">
        <f t="shared" si="68"/>
        <v>0</v>
      </c>
    </row>
    <row r="102" spans="1:16" ht="32.1">
      <c r="A102" s="1693" t="s">
        <v>529</v>
      </c>
      <c r="B102" s="1106" t="s">
        <v>85</v>
      </c>
      <c r="C102" s="1061">
        <f>SUMIFS('2.1- Investissements'!$BS$11:$BS$50,'2.1- Investissements'!$AK$11:$AK$50,B102,'2.1- Investissements'!$AM$11:$AM$50,"Non",'2.1- Investissements'!$C$11:$C$50,B97)+SUMIFS('2.2- Amortissement'!$AJ$9:$AJ$23,'2.2- Amortissement'!$U$9:$U$23,B102,'2.2- Amortissement'!$W$9:$W$23,"Non",'2.2- Amortissement'!$C$9:$C$23,B97)+SUMIFS('3- Frais généraux'!$BO$10:$BO$49,'3- Frais généraux'!$AI$10:$AI$49,B102,'3- Frais généraux'!$C$10:$C$49,B97)+SUMIFS('1- Frais personnel'!$AI$9:$AI$68,'1- Frais personnel'!$T$9:$T$68,B102,'1- Frais personnel'!$C$9:$C$68,B97)+SUMIFS('4- Déplacement &amp; hébergement'!$BO$10:$BO$49,'4- Déplacement &amp; hébergement'!$AI$10:$AI$49,B102,'4- Déplacement &amp; hébergement'!$C$10:$C$49,B97)+SUMIFS('5- Contribution en nature'!$Z$9:$Z$48,'5- Contribution en nature'!$P$9:$P$48,B102,'5- Contribution en nature'!$C$9:$C$48,B97)+SUMIFS('6- Coût participation agri'!$AE$9:$AE$48,'6- Coût participation agri'!$R$9:$R$48, B102,'6- Coût participation agri'!$C$9:$C$48,B97)+SUMIFS('7- Taux forfaitaire'!$O$9:$O$32,'7- Taux forfaitaire'!$K$9:$K$32,B102,'7- Taux forfaitaire'!$C$9:$C$32,B97)</f>
        <v>0</v>
      </c>
      <c r="D102" s="1071" t="e">
        <f t="shared" si="69"/>
        <v>#VALUE!</v>
      </c>
      <c r="E102" s="893">
        <v>1</v>
      </c>
      <c r="F102" s="894">
        <f t="shared" si="70"/>
        <v>0</v>
      </c>
      <c r="G102" s="894" t="e">
        <f t="shared" si="64"/>
        <v>#VALUE!</v>
      </c>
      <c r="H102" s="981">
        <f t="shared" si="71"/>
        <v>0</v>
      </c>
      <c r="I102" s="1699"/>
      <c r="J102" s="1110" t="e">
        <f t="shared" si="65"/>
        <v>#VALUE!</v>
      </c>
      <c r="K102" s="888" t="e">
        <f t="shared" si="72"/>
        <v>#VALUE!</v>
      </c>
      <c r="L102" s="887">
        <f t="shared" si="66"/>
        <v>0</v>
      </c>
      <c r="M102" s="887" t="e">
        <f t="shared" si="73"/>
        <v>#VALUE!</v>
      </c>
      <c r="N102" s="887">
        <f t="shared" si="67"/>
        <v>0</v>
      </c>
      <c r="O102" s="887">
        <f>SUMIFS('5- Contribution en nature'!$Z$9:$Z$48,'5- Contribution en nature'!$P$9:$P$48,B102,'5- Contribution en nature'!$O$9:$O$48,"Partenaire 5")</f>
        <v>0</v>
      </c>
      <c r="P102" s="1073">
        <f t="shared" si="68"/>
        <v>0</v>
      </c>
    </row>
    <row r="103" spans="1:16" ht="32.1">
      <c r="A103" s="1693"/>
      <c r="B103" s="1106" t="s">
        <v>88</v>
      </c>
      <c r="C103" s="1061">
        <f>SUMIFS('2.1- Investissements'!$BS$11:$BS$50,'2.1- Investissements'!$AK$11:$AK$50,B103,'2.1- Investissements'!$AM$11:$AM$50,"Non",'2.1- Investissements'!$C$11:$C$50,B97)+SUMIFS('2.2- Amortissement'!$AJ$9:$AJ$23,'2.2- Amortissement'!$U$9:$U$23,B103,'2.2- Amortissement'!$W$9:$W$23,"Non",'2.2- Amortissement'!$C$9:$C$23,B97)+SUMIFS('3- Frais généraux'!$BO$10:$BO$49,'3- Frais généraux'!$AI$10:$AI$49,B103,'3- Frais généraux'!$C$10:$C$49,B97)+SUMIFS('1- Frais personnel'!$AI$9:$AI$68,'1- Frais personnel'!$T$9:$T$68,B103,'1- Frais personnel'!$C$9:$C$68,B97)+SUMIFS('4- Déplacement &amp; hébergement'!$BO$10:$BO$49,'4- Déplacement &amp; hébergement'!$AI$10:$AI$49,B103,'4- Déplacement &amp; hébergement'!$C$10:$C$49,B97)+SUMIFS('5- Contribution en nature'!$Z$9:$Z$48,'5- Contribution en nature'!$P$9:$P$48,B103,'5- Contribution en nature'!$C$9:$C$48,B97)+SUMIFS('6- Coût participation agri'!$AE$9:$AE$48,'6- Coût participation agri'!$R$9:$R$48, B103,'6- Coût participation agri'!$C$9:$C$48,B97)+SUMIFS('7- Taux forfaitaire'!$O$9:$O$32,'7- Taux forfaitaire'!$K$9:$K$32,B103,'7- Taux forfaitaire'!$C$9:$C$32,B97)</f>
        <v>0</v>
      </c>
      <c r="D103" s="1071" t="e">
        <f t="shared" si="69"/>
        <v>#VALUE!</v>
      </c>
      <c r="E103" s="893">
        <v>1</v>
      </c>
      <c r="F103" s="894">
        <f t="shared" si="70"/>
        <v>0</v>
      </c>
      <c r="G103" s="894" t="e">
        <f t="shared" si="64"/>
        <v>#VALUE!</v>
      </c>
      <c r="H103" s="981">
        <f t="shared" si="71"/>
        <v>0</v>
      </c>
      <c r="I103" s="1699"/>
      <c r="J103" s="1110" t="e">
        <f t="shared" si="65"/>
        <v>#VALUE!</v>
      </c>
      <c r="K103" s="888" t="e">
        <f t="shared" si="72"/>
        <v>#VALUE!</v>
      </c>
      <c r="L103" s="887">
        <f t="shared" si="66"/>
        <v>0</v>
      </c>
      <c r="M103" s="887" t="e">
        <f t="shared" si="73"/>
        <v>#VALUE!</v>
      </c>
      <c r="N103" s="887">
        <f t="shared" si="67"/>
        <v>0</v>
      </c>
      <c r="O103" s="887">
        <f>SUMIFS('5- Contribution en nature'!$Z$9:$Z$48,'5- Contribution en nature'!$P$9:$P$48,B103,'5- Contribution en nature'!$O$9:$O$48,"Partenaire 5")</f>
        <v>0</v>
      </c>
      <c r="P103" s="1073">
        <f t="shared" si="68"/>
        <v>0</v>
      </c>
    </row>
    <row r="104" spans="1:16" ht="17.100000000000001" customHeight="1" thickBot="1">
      <c r="A104" s="1694"/>
      <c r="B104" s="1106" t="s">
        <v>91</v>
      </c>
      <c r="C104" s="1078">
        <f>SUMIFS('2.1- Investissements'!$BS$11:$BS$50,'2.1- Investissements'!$AK$11:$AK$50,B104,'2.1- Investissements'!$AM$11:$AM$50,"Non",'2.1- Investissements'!$C$11:$C$50,B97)+SUMIFS('2.2- Amortissement'!$AJ$9:$AJ$23,'2.2- Amortissement'!$U$9:$U$23,B104,'2.2- Amortissement'!$W$9:$W$23,"Non",'2.2- Amortissement'!$C$9:$C$23,B97)+SUMIFS('3- Frais généraux'!$BO$10:$BO$49,'3- Frais généraux'!$AI$10:$AI$49,B104,'3- Frais généraux'!$C$10:$C$49,B97)+SUMIFS('1- Frais personnel'!$AI$9:$AI$68,'1- Frais personnel'!$T$9:$T$68,B104,'1- Frais personnel'!$C$9:$C$68,B97)+SUMIFS('4- Déplacement &amp; hébergement'!$BO$10:$BO$49,'4- Déplacement &amp; hébergement'!$AI$10:$AI$49,B104,'4- Déplacement &amp; hébergement'!$C$10:$C$49,B97)+SUMIFS('5- Contribution en nature'!$Z$9:$Z$48,'5- Contribution en nature'!$P$9:$P$48,B104,'5- Contribution en nature'!$C$9:$C$48,B97)+SUMIFS('6- Coût participation agri'!$AE$9:$AE$48,'6- Coût participation agri'!$R$9:$R$48, B104,'6- Coût participation agri'!$C$9:$C$48,B97)+SUMIFS('7- Taux forfaitaire'!$O$9:$O$32,'7- Taux forfaitaire'!$K$9:$K$32,B104,'7- Taux forfaitaire'!$C$9:$C$32,B97)</f>
        <v>0</v>
      </c>
      <c r="D104" s="1079" t="e">
        <f t="shared" si="69"/>
        <v>#VALUE!</v>
      </c>
      <c r="E104" s="1080">
        <v>1</v>
      </c>
      <c r="F104" s="977">
        <f t="shared" si="70"/>
        <v>0</v>
      </c>
      <c r="G104" s="971" t="e">
        <f t="shared" si="64"/>
        <v>#VALUE!</v>
      </c>
      <c r="H104" s="1081">
        <f t="shared" si="71"/>
        <v>0</v>
      </c>
      <c r="I104" s="1700"/>
      <c r="J104" s="1112" t="e">
        <f t="shared" si="65"/>
        <v>#VALUE!</v>
      </c>
      <c r="K104" s="888" t="e">
        <f t="shared" si="72"/>
        <v>#VALUE!</v>
      </c>
      <c r="L104" s="1045">
        <f t="shared" si="66"/>
        <v>0</v>
      </c>
      <c r="M104" s="888" t="e">
        <f t="shared" si="73"/>
        <v>#VALUE!</v>
      </c>
      <c r="N104" s="1045">
        <f t="shared" si="67"/>
        <v>0</v>
      </c>
      <c r="O104" s="1045">
        <f>SUMIFS('5- Contribution en nature'!$Z$9:$Z$48,'5- Contribution en nature'!$P$9:$P$48,B104,'5- Contribution en nature'!$O$9:$O$48,"Partenaire 5")</f>
        <v>0</v>
      </c>
      <c r="P104" s="1082">
        <f t="shared" si="68"/>
        <v>0</v>
      </c>
    </row>
    <row r="105" spans="1:16" s="1086" customFormat="1" ht="65.099999999999994" thickBot="1">
      <c r="B105" s="1090" t="s">
        <v>530</v>
      </c>
      <c r="C105" s="1091" t="str">
        <f>IF($D$3=0,"",SUM(C99:C104))</f>
        <v/>
      </c>
      <c r="D105" s="983" t="e">
        <f t="shared" si="69"/>
        <v>#VALUE!</v>
      </c>
      <c r="E105" s="984"/>
      <c r="F105" s="684">
        <f>SUM(F99:F104)</f>
        <v>0</v>
      </c>
      <c r="G105" s="684" t="e">
        <f t="shared" si="64"/>
        <v>#VALUE!</v>
      </c>
      <c r="H105" s="985" t="e">
        <f t="shared" si="71"/>
        <v>#VALUE!</v>
      </c>
      <c r="I105" s="1089"/>
      <c r="J105" s="1113" t="e">
        <f t="shared" si="65"/>
        <v>#VALUE!</v>
      </c>
      <c r="K105" s="986" t="e">
        <f>IF(G105=0,0,IF($I$99="Oui",ROUNDUP(0.15*J105/0.85,2),G105-J105))</f>
        <v>#VALUE!</v>
      </c>
      <c r="L105" s="986" t="e">
        <f t="shared" si="66"/>
        <v>#VALUE!</v>
      </c>
      <c r="M105" s="1046" t="e">
        <f t="shared" si="73"/>
        <v>#VALUE!</v>
      </c>
      <c r="N105" s="986">
        <f>IF($F$105=0,0,IF($B$21=0,0,ROUNDUP((F105/$F$105*$C$105/$C$127)*$B$21-L105,2)))</f>
        <v>0</v>
      </c>
      <c r="O105" s="986">
        <f>SUM(O99:O104)</f>
        <v>0</v>
      </c>
      <c r="P105" s="987">
        <f t="shared" si="68"/>
        <v>0</v>
      </c>
    </row>
    <row r="106" spans="1:16" ht="15.95" thickBot="1"/>
    <row r="107" spans="1:16" ht="15.95" customHeight="1" thickBot="1">
      <c r="B107" s="1695" t="s">
        <v>16</v>
      </c>
      <c r="C107" s="1696"/>
      <c r="D107" s="1696"/>
      <c r="E107" s="1696"/>
      <c r="F107" s="1696"/>
      <c r="G107" s="1696"/>
      <c r="H107" s="1696"/>
      <c r="I107" s="1696"/>
      <c r="J107" s="1696"/>
      <c r="K107" s="1696"/>
      <c r="L107" s="1696"/>
      <c r="M107" s="1696"/>
      <c r="N107" s="1697"/>
    </row>
    <row r="108" spans="1:16" ht="144.94999999999999" customHeight="1" thickBot="1">
      <c r="A108" s="1015" t="s">
        <v>520</v>
      </c>
      <c r="B108" s="1013" t="s">
        <v>77</v>
      </c>
      <c r="C108" s="1107" t="s">
        <v>373</v>
      </c>
      <c r="D108" s="1108" t="s">
        <v>521</v>
      </c>
      <c r="E108" s="1108" t="s">
        <v>522</v>
      </c>
      <c r="F108" s="1108" t="s">
        <v>523</v>
      </c>
      <c r="G108" s="1109" t="s">
        <v>524</v>
      </c>
      <c r="H108" s="1109" t="s">
        <v>525</v>
      </c>
      <c r="I108" s="1109" t="s">
        <v>493</v>
      </c>
      <c r="J108" s="1109" t="s">
        <v>494</v>
      </c>
      <c r="K108" s="1109" t="s">
        <v>526</v>
      </c>
      <c r="L108" s="1109" t="s">
        <v>498</v>
      </c>
      <c r="M108" s="1109" t="s">
        <v>499</v>
      </c>
      <c r="N108" s="1109" t="s">
        <v>500</v>
      </c>
      <c r="O108" s="1109" t="s">
        <v>442</v>
      </c>
      <c r="P108" s="1109" t="s">
        <v>527</v>
      </c>
    </row>
    <row r="109" spans="1:16" ht="32.1">
      <c r="A109" s="1693" t="s">
        <v>528</v>
      </c>
      <c r="B109" s="1105" t="s">
        <v>85</v>
      </c>
      <c r="C109" s="1056">
        <f>SUMIFS('2.1- Investissements'!$BS$11:$BS$50,'2.1- Investissements'!$AK$11:$AK$50,B109,'2.1- Investissements'!$AM$11:$AM$50,"Oui",'2.1- Investissements'!$C$11:$C$50,B107)+SUMIFS('2.2- Amortissement'!$AJ$9:$AJ$23,'2.2- Amortissement'!$U$9:$U$23,B109,'2.2- Amortissement'!$W$9:$W$23,"Oui",'2.2- Amortissement'!$C$9:$C$23,B107)</f>
        <v>0</v>
      </c>
      <c r="D109" s="1057" t="e">
        <f>C109/$C$127</f>
        <v>#VALUE!</v>
      </c>
      <c r="E109" s="1058">
        <v>0.8</v>
      </c>
      <c r="F109" s="968">
        <f>IF(E109=0,0,C109*E109)</f>
        <v>0</v>
      </c>
      <c r="G109" s="968" t="e">
        <f t="shared" ref="G109:G115" si="74">IF(OR(F109=0,ROUND(($E$21+$B$21)*$D$115+$O$115,2)&gt;=ROUND($C$115,2)),0,IF($E$21*$D$115+$O$115&gt;($C$115-$F$115),F109-($E$21*$D$115+$O$115-($C$115-$F$115))*(F109/$F$115),F109))</f>
        <v>#VALUE!</v>
      </c>
      <c r="H109" s="1072">
        <f>IF(C109=0,0,G109/C109)</f>
        <v>0</v>
      </c>
      <c r="I109" s="1698" t="e">
        <f>_xlfn.IFS($B$21="","Non concerné",$B$21*($C$115/$C$127)&lt;(0.15*$G$115),"Non",$B$21*($C$115/$C$127)=(0.15*$G$115),"Oui",$B$21*($C$115/$C$127)&gt;(0.15*$G$115),"Oui")</f>
        <v>#VALUE!</v>
      </c>
      <c r="J109" s="1111" t="e">
        <f t="shared" ref="J109:J115" si="75">IF(G109=0,0,IF($I$109="Oui",G109-$B$21*((F109/$F$115)*$C$115/$C$127),G109*0.85))</f>
        <v>#VALUE!</v>
      </c>
      <c r="K109" s="888" t="e">
        <f>IF(G109=0,0,IF($I$109="Oui",0.15*J109/0.85,G109-J109))</f>
        <v>#VALUE!</v>
      </c>
      <c r="L109" s="1059">
        <f t="shared" ref="L109:L115" si="76">IF(C109=0,0,IF($I$109="Oui",K109,$B$21*(F109/$F$115*$C$115/$C$127)))</f>
        <v>0</v>
      </c>
      <c r="M109" s="1163" t="e">
        <f>IF(K109=0,0,K109-L109)</f>
        <v>#VALUE!</v>
      </c>
      <c r="N109" s="1059">
        <f t="shared" ref="N109:N114" si="77">IF($F$109=0,0,IF($B$21=0,0,(F109/$F$115*$C$115/$C$127)*$B$21-L109))</f>
        <v>0</v>
      </c>
      <c r="O109" s="1763" t="s">
        <v>516</v>
      </c>
      <c r="P109" s="1060">
        <f t="shared" ref="P109:P115" si="78">IFERROR(C109-J109-K109-N109-O109-($E$21*C109/$C$115*$C$115/$C$127),0)</f>
        <v>0</v>
      </c>
    </row>
    <row r="110" spans="1:16" ht="32.1">
      <c r="A110" s="1693"/>
      <c r="B110" s="1106" t="s">
        <v>88</v>
      </c>
      <c r="C110" s="1061">
        <f>SUMIFS('2.1- Investissements'!$BS$11:$BS$50,'2.1- Investissements'!$AK$11:$AK$50,B110,'2.1- Investissements'!$AM$11:$AM$50,"Oui",'2.1- Investissements'!$C$11:$C$50,B107)+SUMIFS('2.2- Amortissement'!$AJ$9:$AJ$23,'2.2- Amortissement'!$U$9:$U$23,B110,'2.2- Amortissement'!$W$9:$W$23,"Oui",'2.2- Amortissement'!$C$9:$C$23,B107)</f>
        <v>0</v>
      </c>
      <c r="D110" s="1071" t="e">
        <f t="shared" ref="D110:D115" si="79">C110/$C$127</f>
        <v>#VALUE!</v>
      </c>
      <c r="E110" s="893">
        <v>0.8</v>
      </c>
      <c r="F110" s="894">
        <f t="shared" ref="F110:F114" si="80">IF(E110=0,0,C110*E110)</f>
        <v>0</v>
      </c>
      <c r="G110" s="894" t="e">
        <f t="shared" si="74"/>
        <v>#VALUE!</v>
      </c>
      <c r="H110" s="981">
        <f t="shared" ref="H110:H115" si="81">IF(C110=0,0,G110/C110)</f>
        <v>0</v>
      </c>
      <c r="I110" s="1699"/>
      <c r="J110" s="1110" t="e">
        <f t="shared" si="75"/>
        <v>#VALUE!</v>
      </c>
      <c r="K110" s="888" t="e">
        <f t="shared" ref="K110:K114" si="82">IF(G110=0,0,IF($I$109="Oui",0.15*J110/0.85,G110-J110))</f>
        <v>#VALUE!</v>
      </c>
      <c r="L110" s="887">
        <f t="shared" si="76"/>
        <v>0</v>
      </c>
      <c r="M110" s="887" t="e">
        <f t="shared" ref="M110:M115" si="83">IF(K110=0,0,K110-L110)</f>
        <v>#VALUE!</v>
      </c>
      <c r="N110" s="887">
        <f t="shared" si="77"/>
        <v>0</v>
      </c>
      <c r="O110" s="1764"/>
      <c r="P110" s="1073">
        <f t="shared" si="78"/>
        <v>0</v>
      </c>
    </row>
    <row r="111" spans="1:16" ht="15.95" customHeight="1">
      <c r="A111" s="1693"/>
      <c r="B111" s="1106" t="s">
        <v>91</v>
      </c>
      <c r="C111" s="1061">
        <f>SUMIFS('2.1- Investissements'!$BS$11:$BS$50,'2.1- Investissements'!$AK$11:$AK$50,B111,'2.1- Investissements'!$AM$11:$AM$50,"Oui",'2.1- Investissements'!$C$11:$C$50,B107)+SUMIFS('2.2- Amortissement'!$AJ$9:$AJ$23,'2.2- Amortissement'!$U$9:$U$23,B111,'2.2- Amortissement'!$W$9:$W$23,"Oui",'2.2- Amortissement'!$C$9:$C$23,B107)</f>
        <v>0</v>
      </c>
      <c r="D111" s="1071" t="e">
        <f t="shared" si="79"/>
        <v>#VALUE!</v>
      </c>
      <c r="E111" s="893">
        <v>0.8</v>
      </c>
      <c r="F111" s="894">
        <f t="shared" si="80"/>
        <v>0</v>
      </c>
      <c r="G111" s="894" t="e">
        <f t="shared" si="74"/>
        <v>#VALUE!</v>
      </c>
      <c r="H111" s="981">
        <f t="shared" si="81"/>
        <v>0</v>
      </c>
      <c r="I111" s="1699"/>
      <c r="J111" s="1110" t="e">
        <f t="shared" si="75"/>
        <v>#VALUE!</v>
      </c>
      <c r="K111" s="888" t="e">
        <f t="shared" si="82"/>
        <v>#VALUE!</v>
      </c>
      <c r="L111" s="887">
        <f t="shared" si="76"/>
        <v>0</v>
      </c>
      <c r="M111" s="887" t="e">
        <f t="shared" si="83"/>
        <v>#VALUE!</v>
      </c>
      <c r="N111" s="887">
        <f t="shared" si="77"/>
        <v>0</v>
      </c>
      <c r="O111" s="1765"/>
      <c r="P111" s="1073">
        <f t="shared" si="78"/>
        <v>0</v>
      </c>
    </row>
    <row r="112" spans="1:16" ht="32.1">
      <c r="A112" s="1693" t="s">
        <v>529</v>
      </c>
      <c r="B112" s="1106" t="s">
        <v>85</v>
      </c>
      <c r="C112" s="1061">
        <f>SUMIFS('2.1- Investissements'!$BS$11:$BS$50,'2.1- Investissements'!$AK$11:$AK$50,B112,'2.1- Investissements'!$AM$11:$AM$50,"Non",'2.1- Investissements'!$C$11:$C$50,B107)+SUMIFS('2.2- Amortissement'!$AJ$9:$AJ$23,'2.2- Amortissement'!$U$9:$U$23,B112,'2.2- Amortissement'!$W$9:$W$23,"Non",'2.2- Amortissement'!$C$9:$C$23,B107)+SUMIFS('3- Frais généraux'!$BO$10:$BO$49,'3- Frais généraux'!$AI$10:$AI$49,B112,'3- Frais généraux'!$C$10:$C$49,B107)+SUMIFS('1- Frais personnel'!$AI$9:$AI$68,'1- Frais personnel'!$T$9:$T$68,B112,'1- Frais personnel'!$C$9:$C$68,B107)+SUMIFS('4- Déplacement &amp; hébergement'!$BO$10:$BO$49,'4- Déplacement &amp; hébergement'!$AI$10:$AI$49,B112,'4- Déplacement &amp; hébergement'!$C$10:$C$49,B107)+SUMIFS('5- Contribution en nature'!$Z$9:$Z$48,'5- Contribution en nature'!$P$9:$P$48,B112,'5- Contribution en nature'!$C$9:$C$48,B107)+SUMIFS('6- Coût participation agri'!$AE$9:$AE$48,'6- Coût participation agri'!$R$9:$R$48, B112,'6- Coût participation agri'!$C$9:$C$48,B107)+SUMIFS('7- Taux forfaitaire'!$O$9:$O$32,'7- Taux forfaitaire'!$K$9:$K$32,B112,'7- Taux forfaitaire'!$C$9:$C$32,B107)</f>
        <v>0</v>
      </c>
      <c r="D112" s="1071" t="e">
        <f t="shared" si="79"/>
        <v>#VALUE!</v>
      </c>
      <c r="E112" s="893">
        <v>1</v>
      </c>
      <c r="F112" s="894">
        <f t="shared" si="80"/>
        <v>0</v>
      </c>
      <c r="G112" s="894" t="e">
        <f t="shared" si="74"/>
        <v>#VALUE!</v>
      </c>
      <c r="H112" s="981">
        <f t="shared" si="81"/>
        <v>0</v>
      </c>
      <c r="I112" s="1699"/>
      <c r="J112" s="1110" t="e">
        <f t="shared" si="75"/>
        <v>#VALUE!</v>
      </c>
      <c r="K112" s="888" t="e">
        <f t="shared" si="82"/>
        <v>#VALUE!</v>
      </c>
      <c r="L112" s="887">
        <f t="shared" si="76"/>
        <v>0</v>
      </c>
      <c r="M112" s="887" t="e">
        <f t="shared" si="83"/>
        <v>#VALUE!</v>
      </c>
      <c r="N112" s="887">
        <f t="shared" si="77"/>
        <v>0</v>
      </c>
      <c r="O112" s="887">
        <f>SUMIFS('5- Contribution en nature'!$Z$9:$Z$48,'5- Contribution en nature'!$P$9:$P$48,B112,'5- Contribution en nature'!$O$9:$O$48,"Partenaire 6")</f>
        <v>0</v>
      </c>
      <c r="P112" s="1073">
        <f t="shared" si="78"/>
        <v>0</v>
      </c>
    </row>
    <row r="113" spans="1:19" ht="32.1">
      <c r="A113" s="1693"/>
      <c r="B113" s="1106" t="s">
        <v>88</v>
      </c>
      <c r="C113" s="1061">
        <f>SUMIFS('2.1- Investissements'!$BS$11:$BS$50,'2.1- Investissements'!$AK$11:$AK$50,B113,'2.1- Investissements'!$AM$11:$AM$50,"Non",'2.1- Investissements'!$C$11:$C$50,B107)+SUMIFS('2.2- Amortissement'!$AJ$9:$AJ$23,'2.2- Amortissement'!$U$9:$U$23,B113,'2.2- Amortissement'!$W$9:$W$23,"Non",'2.2- Amortissement'!$C$9:$C$23,B107)+SUMIFS('3- Frais généraux'!$BO$10:$BO$49,'3- Frais généraux'!$AI$10:$AI$49,B113,'3- Frais généraux'!$C$10:$C$49,B107)+SUMIFS('1- Frais personnel'!$AI$9:$AI$68,'1- Frais personnel'!$T$9:$T$68,B113,'1- Frais personnel'!$C$9:$C$68,B107)+SUMIFS('4- Déplacement &amp; hébergement'!$BO$10:$BO$49,'4- Déplacement &amp; hébergement'!$AI$10:$AI$49,B113,'4- Déplacement &amp; hébergement'!$C$10:$C$49,B107)+SUMIFS('5- Contribution en nature'!$Z$9:$Z$48,'5- Contribution en nature'!$P$9:$P$48,B113,'5- Contribution en nature'!$C$9:$C$48,B107)+SUMIFS('6- Coût participation agri'!$AE$9:$AE$48,'6- Coût participation agri'!$R$9:$R$48, B113,'6- Coût participation agri'!$C$9:$C$48,B107)+SUMIFS('7- Taux forfaitaire'!$O$9:$O$32,'7- Taux forfaitaire'!$K$9:$K$32,B113,'7- Taux forfaitaire'!$C$9:$C$32,B107)</f>
        <v>0</v>
      </c>
      <c r="D113" s="1071" t="e">
        <f t="shared" si="79"/>
        <v>#VALUE!</v>
      </c>
      <c r="E113" s="893">
        <v>1</v>
      </c>
      <c r="F113" s="894">
        <f t="shared" si="80"/>
        <v>0</v>
      </c>
      <c r="G113" s="894" t="e">
        <f t="shared" si="74"/>
        <v>#VALUE!</v>
      </c>
      <c r="H113" s="981">
        <f t="shared" si="81"/>
        <v>0</v>
      </c>
      <c r="I113" s="1699"/>
      <c r="J113" s="1110" t="e">
        <f t="shared" si="75"/>
        <v>#VALUE!</v>
      </c>
      <c r="K113" s="888" t="e">
        <f t="shared" si="82"/>
        <v>#VALUE!</v>
      </c>
      <c r="L113" s="887">
        <f t="shared" si="76"/>
        <v>0</v>
      </c>
      <c r="M113" s="887" t="e">
        <f t="shared" si="83"/>
        <v>#VALUE!</v>
      </c>
      <c r="N113" s="887">
        <f t="shared" si="77"/>
        <v>0</v>
      </c>
      <c r="O113" s="887">
        <f>SUMIFS('5- Contribution en nature'!$Z$9:$Z$48,'5- Contribution en nature'!$P$9:$P$48,B113,'5- Contribution en nature'!$O$9:$O$48,"Partenaire 6")</f>
        <v>0</v>
      </c>
      <c r="P113" s="1073">
        <f t="shared" si="78"/>
        <v>0</v>
      </c>
    </row>
    <row r="114" spans="1:19" ht="17.100000000000001" customHeight="1" thickBot="1">
      <c r="A114" s="1694"/>
      <c r="B114" s="1106" t="s">
        <v>91</v>
      </c>
      <c r="C114" s="1078">
        <f>SUMIFS('2.1- Investissements'!$BS$11:$BS$50,'2.1- Investissements'!$AK$11:$AK$50,B114,'2.1- Investissements'!$AM$11:$AM$50,"Non",'2.1- Investissements'!$C$11:$C$50,B107)+SUMIFS('2.2- Amortissement'!$AJ$9:$AJ$23,'2.2- Amortissement'!$U$9:$U$23,B114,'2.2- Amortissement'!$W$9:$W$23,"Non",'2.2- Amortissement'!$C$9:$C$23,B107)+SUMIFS('3- Frais généraux'!$BO$10:$BO$49,'3- Frais généraux'!$AI$10:$AI$49,B114,'3- Frais généraux'!$C$10:$C$49,B107)+SUMIFS('1- Frais personnel'!$AI$9:$AI$68,'1- Frais personnel'!$T$9:$T$68,B114,'1- Frais personnel'!$C$9:$C$68,B107)+SUMIFS('4- Déplacement &amp; hébergement'!$BO$10:$BO$49,'4- Déplacement &amp; hébergement'!$AI$10:$AI$49,B114,'4- Déplacement &amp; hébergement'!$C$10:$C$49,B107)+SUMIFS('5- Contribution en nature'!$Z$9:$Z$48,'5- Contribution en nature'!$P$9:$P$48,B114,'5- Contribution en nature'!$C$9:$C$48,B107)+SUMIFS('6- Coût participation agri'!$AE$9:$AE$48,'6- Coût participation agri'!$R$9:$R$48, B114,'6- Coût participation agri'!$C$9:$C$48,B107)+SUMIFS('7- Taux forfaitaire'!$O$9:$O$32,'7- Taux forfaitaire'!$K$9:$K$32,B114,'7- Taux forfaitaire'!$C$9:$C$32,B107)</f>
        <v>0</v>
      </c>
      <c r="D114" s="1079" t="e">
        <f t="shared" si="79"/>
        <v>#VALUE!</v>
      </c>
      <c r="E114" s="1080">
        <v>1</v>
      </c>
      <c r="F114" s="977">
        <f t="shared" si="80"/>
        <v>0</v>
      </c>
      <c r="G114" s="971" t="e">
        <f t="shared" si="74"/>
        <v>#VALUE!</v>
      </c>
      <c r="H114" s="1081">
        <f t="shared" si="81"/>
        <v>0</v>
      </c>
      <c r="I114" s="1700"/>
      <c r="J114" s="1112" t="e">
        <f t="shared" si="75"/>
        <v>#VALUE!</v>
      </c>
      <c r="K114" s="888" t="e">
        <f t="shared" si="82"/>
        <v>#VALUE!</v>
      </c>
      <c r="L114" s="1045">
        <f t="shared" si="76"/>
        <v>0</v>
      </c>
      <c r="M114" s="888" t="e">
        <f t="shared" si="83"/>
        <v>#VALUE!</v>
      </c>
      <c r="N114" s="1045">
        <f t="shared" si="77"/>
        <v>0</v>
      </c>
      <c r="O114" s="1045">
        <f>SUMIFS('5- Contribution en nature'!$Z$9:$Z$48,'5- Contribution en nature'!$P$9:$P$48,B114,'5- Contribution en nature'!$O$9:$O$48,"Partenaire 6")</f>
        <v>0</v>
      </c>
      <c r="P114" s="1082">
        <f t="shared" si="78"/>
        <v>0</v>
      </c>
    </row>
    <row r="115" spans="1:19" s="1086" customFormat="1" ht="65.099999999999994" thickBot="1">
      <c r="B115" s="1090" t="s">
        <v>530</v>
      </c>
      <c r="C115" s="1091" t="str">
        <f>IF($D$3=0,"",SUM(C109:C114))</f>
        <v/>
      </c>
      <c r="D115" s="983" t="e">
        <f t="shared" si="79"/>
        <v>#VALUE!</v>
      </c>
      <c r="E115" s="984"/>
      <c r="F115" s="684">
        <f>SUM(F109:F114)</f>
        <v>0</v>
      </c>
      <c r="G115" s="684" t="e">
        <f t="shared" si="74"/>
        <v>#VALUE!</v>
      </c>
      <c r="H115" s="985" t="e">
        <f t="shared" si="81"/>
        <v>#VALUE!</v>
      </c>
      <c r="I115" s="1089"/>
      <c r="J115" s="1113" t="e">
        <f t="shared" si="75"/>
        <v>#VALUE!</v>
      </c>
      <c r="K115" s="986" t="e">
        <f>IF(G115=0,0,IF($I$109="Oui",ROUNDUP(0.15*J115/0.85,2),G115-J115))</f>
        <v>#VALUE!</v>
      </c>
      <c r="L115" s="986" t="e">
        <f t="shared" si="76"/>
        <v>#VALUE!</v>
      </c>
      <c r="M115" s="1046" t="e">
        <f t="shared" si="83"/>
        <v>#VALUE!</v>
      </c>
      <c r="N115" s="986">
        <f>IF($F$115=0,0,IF($B$21=0,0,ROUNDUP((F115/$F$115*$C$115/$C$127)*$B$21-L115,2)))</f>
        <v>0</v>
      </c>
      <c r="O115" s="986">
        <f>SUM(O109:O114)</f>
        <v>0</v>
      </c>
      <c r="P115" s="987">
        <f t="shared" si="78"/>
        <v>0</v>
      </c>
    </row>
    <row r="116" spans="1:19" ht="15.95" thickBot="1"/>
    <row r="117" spans="1:19" ht="15.95" customHeight="1" thickBot="1">
      <c r="B117" s="1695" t="s">
        <v>17</v>
      </c>
      <c r="C117" s="1696"/>
      <c r="D117" s="1696"/>
      <c r="E117" s="1696"/>
      <c r="F117" s="1696"/>
      <c r="G117" s="1696"/>
      <c r="H117" s="1696"/>
      <c r="I117" s="1696"/>
      <c r="J117" s="1696"/>
      <c r="K117" s="1696"/>
      <c r="L117" s="1696"/>
      <c r="M117" s="1696"/>
      <c r="N117" s="1697"/>
    </row>
    <row r="118" spans="1:19" ht="144.94999999999999" customHeight="1" thickBot="1">
      <c r="A118" s="1015" t="s">
        <v>520</v>
      </c>
      <c r="B118" s="1013" t="s">
        <v>77</v>
      </c>
      <c r="C118" s="1107" t="s">
        <v>373</v>
      </c>
      <c r="D118" s="1108" t="s">
        <v>521</v>
      </c>
      <c r="E118" s="1108" t="s">
        <v>522</v>
      </c>
      <c r="F118" s="1108" t="s">
        <v>523</v>
      </c>
      <c r="G118" s="1109" t="s">
        <v>524</v>
      </c>
      <c r="H118" s="1109" t="s">
        <v>525</v>
      </c>
      <c r="I118" s="1109" t="s">
        <v>493</v>
      </c>
      <c r="J118" s="1109" t="s">
        <v>494</v>
      </c>
      <c r="K118" s="1109" t="s">
        <v>526</v>
      </c>
      <c r="L118" s="1109" t="s">
        <v>498</v>
      </c>
      <c r="M118" s="1109" t="s">
        <v>499</v>
      </c>
      <c r="N118" s="1109" t="s">
        <v>500</v>
      </c>
      <c r="O118" s="1109" t="s">
        <v>442</v>
      </c>
      <c r="P118" s="1109" t="s">
        <v>527</v>
      </c>
    </row>
    <row r="119" spans="1:19" ht="32.1">
      <c r="A119" s="1693" t="s">
        <v>528</v>
      </c>
      <c r="B119" s="1105" t="s">
        <v>85</v>
      </c>
      <c r="C119" s="1056">
        <f>SUMIFS('2.1- Investissements'!$BS$11:$BS$50,'2.1- Investissements'!$AK$11:$AK$50,B119,'2.1- Investissements'!$AM$11:$AM$50,"Oui",'2.1- Investissements'!$C$11:$C$50,B117)+SUMIFS('2.2- Amortissement'!$AJ$9:$AJ$23,'2.2- Amortissement'!$U$9:$U$23,B119,'2.2- Amortissement'!$W$9:$W$23,"Oui",'2.2- Amortissement'!$C$9:$C$23,B117)</f>
        <v>0</v>
      </c>
      <c r="D119" s="1057" t="e">
        <f>C119/$C$127</f>
        <v>#VALUE!</v>
      </c>
      <c r="E119" s="1058">
        <v>0.8</v>
      </c>
      <c r="F119" s="968">
        <f>IF(E119=0,0,C119*E119)</f>
        <v>0</v>
      </c>
      <c r="G119" s="968" t="e">
        <f t="shared" ref="G119:G125" si="84">IF(OR(F119=0,ROUND(($E$21+$B$21)*$D$125+$O$125,2)&gt;=ROUND($C$125,2)),0,IF($E$21*$D$125+$O$125&gt;($C$125-$F$125),F119-($E$21*$D$125+$O$125-($C$125-$F$125))*(F119/$F$125),F119))</f>
        <v>#VALUE!</v>
      </c>
      <c r="H119" s="1072">
        <f>IF(C119=0,0,G119/C119)</f>
        <v>0</v>
      </c>
      <c r="I119" s="1698" t="e">
        <f>_xlfn.IFS($B$21="","Non concerné",$B$21*($C$125/$C$127)&lt;(0.15*$G$125),"Non",$B$21*($C$125/$C$127)=(0.15*$G$125),"Oui",$B$21*($C$125/$C$127)&gt;(0.15*$G$125),"Oui")</f>
        <v>#VALUE!</v>
      </c>
      <c r="J119" s="1059" t="e">
        <f t="shared" ref="J119:J125" si="85">IF(G119=0,0,IF($I$42="Oui",G119-$B$21*((F119/$F$48)*$C$48/$C$120),G119*0.85))</f>
        <v>#VALUE!</v>
      </c>
      <c r="K119" s="888" t="e">
        <f>IF(G119=0,0,IF($I$119="Oui",0.15*J119/0.85,G119-J119))</f>
        <v>#VALUE!</v>
      </c>
      <c r="L119" s="1059">
        <f t="shared" ref="L119:L125" si="86">IF(C119=0,0,IF($I$119="Oui",K119,$B$21*(F119/$F$125*$C$125/$C$127)))</f>
        <v>0</v>
      </c>
      <c r="M119" s="1163" t="e">
        <f>IF(K119=0,0,K119-L119)</f>
        <v>#VALUE!</v>
      </c>
      <c r="N119" s="1059">
        <f t="shared" ref="N119:N124" si="87">IF($F$125=0,0,IF($B$21=0,0,(F119/$F$125*$C$125/$C$125)*$B$21-L119))</f>
        <v>0</v>
      </c>
      <c r="O119" s="1763" t="s">
        <v>516</v>
      </c>
      <c r="P119" s="1060">
        <f t="shared" ref="P119:P125" si="88">IFERROR(C119-J119-K119-N119-O119-($E$21*C119/$C$125*$C$125/$C$127),0)</f>
        <v>0</v>
      </c>
    </row>
    <row r="120" spans="1:19" ht="32.1">
      <c r="A120" s="1693"/>
      <c r="B120" s="1106" t="s">
        <v>88</v>
      </c>
      <c r="C120" s="1061">
        <f>SUMIFS('2.1- Investissements'!$BS$11:$BS$50,'2.1- Investissements'!$AK$11:$AK$50,B120,'2.1- Investissements'!$AM$11:$AM$50,"Oui",'2.1- Investissements'!$C$11:$C$50,B117)+SUMIFS('2.2- Amortissement'!$AJ$9:$AJ$23,'2.2- Amortissement'!$U$9:$U$23,B120,'2.2- Amortissement'!$W$9:$W$23,"Oui",'2.2- Amortissement'!$C$9:$C$23,B117)</f>
        <v>0</v>
      </c>
      <c r="D120" s="1071" t="e">
        <f t="shared" ref="D120:D125" si="89">C120/$C$127</f>
        <v>#VALUE!</v>
      </c>
      <c r="E120" s="893">
        <v>0.8</v>
      </c>
      <c r="F120" s="894">
        <f t="shared" ref="F120:F124" si="90">IF(E120=0,0,C120*E120)</f>
        <v>0</v>
      </c>
      <c r="G120" s="894" t="e">
        <f t="shared" si="84"/>
        <v>#VALUE!</v>
      </c>
      <c r="H120" s="981">
        <f t="shared" ref="H120:H125" si="91">IF(C120=0,0,G120/C120)</f>
        <v>0</v>
      </c>
      <c r="I120" s="1699"/>
      <c r="J120" s="887" t="e">
        <f t="shared" si="85"/>
        <v>#VALUE!</v>
      </c>
      <c r="K120" s="888" t="e">
        <f t="shared" ref="K120:K124" si="92">IF(G120=0,0,IF($I$119="Oui",0.15*J120/0.85,G120-J120))</f>
        <v>#VALUE!</v>
      </c>
      <c r="L120" s="887">
        <f t="shared" si="86"/>
        <v>0</v>
      </c>
      <c r="M120" s="887" t="e">
        <f t="shared" ref="M120:M125" si="93">IF(K120=0,0,K120-L120)</f>
        <v>#VALUE!</v>
      </c>
      <c r="N120" s="887">
        <f t="shared" si="87"/>
        <v>0</v>
      </c>
      <c r="O120" s="1764"/>
      <c r="P120" s="1073">
        <f t="shared" si="88"/>
        <v>0</v>
      </c>
    </row>
    <row r="121" spans="1:19" ht="15.95" customHeight="1">
      <c r="A121" s="1693"/>
      <c r="B121" s="1106" t="s">
        <v>91</v>
      </c>
      <c r="C121" s="1061">
        <f>SUMIFS('2.1- Investissements'!$BS$11:$BS$50,'2.1- Investissements'!$AK$11:$AK$50,B121,'2.1- Investissements'!$AM$11:$AM$50,"Oui",'2.1- Investissements'!$C$11:$C$50,B117)+SUMIFS('2.2- Amortissement'!$AJ$9:$AJ$23,'2.2- Amortissement'!$U$9:$U$23,B121,'2.2- Amortissement'!$W$9:$W$23,"Oui",'2.2- Amortissement'!$C$9:$C$23,B117)</f>
        <v>0</v>
      </c>
      <c r="D121" s="1071" t="e">
        <f t="shared" si="89"/>
        <v>#VALUE!</v>
      </c>
      <c r="E121" s="893">
        <v>0.8</v>
      </c>
      <c r="F121" s="894">
        <f t="shared" si="90"/>
        <v>0</v>
      </c>
      <c r="G121" s="894" t="e">
        <f t="shared" si="84"/>
        <v>#VALUE!</v>
      </c>
      <c r="H121" s="981">
        <f t="shared" si="91"/>
        <v>0</v>
      </c>
      <c r="I121" s="1699"/>
      <c r="J121" s="887" t="e">
        <f t="shared" si="85"/>
        <v>#VALUE!</v>
      </c>
      <c r="K121" s="888" t="e">
        <f t="shared" si="92"/>
        <v>#VALUE!</v>
      </c>
      <c r="L121" s="887">
        <f t="shared" si="86"/>
        <v>0</v>
      </c>
      <c r="M121" s="887" t="e">
        <f t="shared" si="93"/>
        <v>#VALUE!</v>
      </c>
      <c r="N121" s="887">
        <f t="shared" si="87"/>
        <v>0</v>
      </c>
      <c r="O121" s="1765"/>
      <c r="P121" s="1073">
        <f t="shared" si="88"/>
        <v>0</v>
      </c>
    </row>
    <row r="122" spans="1:19" ht="32.1">
      <c r="A122" s="1693" t="s">
        <v>529</v>
      </c>
      <c r="B122" s="1106" t="s">
        <v>85</v>
      </c>
      <c r="C122" s="1061">
        <f>SUMIFS('2.1- Investissements'!$BS$11:$BS$50,'2.1- Investissements'!$AK$11:$AK$50,B122,'2.1- Investissements'!$AM$11:$AM$50,"Non",'2.1- Investissements'!$C$11:$C$50,B117)+SUMIFS('2.2- Amortissement'!$AJ$9:$AJ$23,'2.2- Amortissement'!$U$9:$U$23,B122,'2.2- Amortissement'!$W$9:$W$23,"Non",'2.2- Amortissement'!$C$9:$C$23,B117)+SUMIFS('3- Frais généraux'!$BO$10:$BO$49,'3- Frais généraux'!$AI$10:$AI$49,B122,'3- Frais généraux'!$C$10:$C$49,B117)+SUMIFS('1- Frais personnel'!$AI$9:$AI$68,'1- Frais personnel'!$T$9:$T$68,B122,'1- Frais personnel'!$C$9:$C$68,B117)+SUMIFS('4- Déplacement &amp; hébergement'!$BO$10:$BO$49,'4- Déplacement &amp; hébergement'!$AI$10:$AI$49,B122,'4- Déplacement &amp; hébergement'!$C$10:$C$49,B117)+SUMIFS('5- Contribution en nature'!$Z$9:$Z$48,'5- Contribution en nature'!$P$9:$P$48,B122,'5- Contribution en nature'!$C$9:$C$48,B117)+SUMIFS('6- Coût participation agri'!$AE$9:$AE$48,'6- Coût participation agri'!$R$9:$R$48, B122,'6- Coût participation agri'!$C$9:$C$48,B117)+SUMIFS('7- Taux forfaitaire'!$O$9:$O$32,'7- Taux forfaitaire'!$K$9:$K$32,B122,'7- Taux forfaitaire'!$C$9:$C$32,B117)</f>
        <v>0</v>
      </c>
      <c r="D122" s="1071" t="e">
        <f t="shared" si="89"/>
        <v>#VALUE!</v>
      </c>
      <c r="E122" s="893">
        <v>1</v>
      </c>
      <c r="F122" s="894">
        <f t="shared" si="90"/>
        <v>0</v>
      </c>
      <c r="G122" s="894" t="e">
        <f t="shared" si="84"/>
        <v>#VALUE!</v>
      </c>
      <c r="H122" s="981">
        <f t="shared" si="91"/>
        <v>0</v>
      </c>
      <c r="I122" s="1699"/>
      <c r="J122" s="887" t="e">
        <f t="shared" si="85"/>
        <v>#VALUE!</v>
      </c>
      <c r="K122" s="888" t="e">
        <f t="shared" si="92"/>
        <v>#VALUE!</v>
      </c>
      <c r="L122" s="887">
        <f t="shared" si="86"/>
        <v>0</v>
      </c>
      <c r="M122" s="887" t="e">
        <f t="shared" si="93"/>
        <v>#VALUE!</v>
      </c>
      <c r="N122" s="887">
        <f t="shared" si="87"/>
        <v>0</v>
      </c>
      <c r="O122" s="887">
        <f>SUMIFS('5- Contribution en nature'!$Z$9:$Z$48,'5- Contribution en nature'!$P$9:$P$48,B122,'5- Contribution en nature'!$O$9:$O$48,"Partenaire 7")</f>
        <v>0</v>
      </c>
      <c r="P122" s="1073">
        <f t="shared" si="88"/>
        <v>0</v>
      </c>
    </row>
    <row r="123" spans="1:19" ht="32.1">
      <c r="A123" s="1693"/>
      <c r="B123" s="1106" t="s">
        <v>88</v>
      </c>
      <c r="C123" s="1061">
        <f>SUMIFS('2.1- Investissements'!$BS$11:$BS$50,'2.1- Investissements'!$AK$11:$AK$50,B123,'2.1- Investissements'!$AM$11:$AM$50,"Non",'2.1- Investissements'!$C$11:$C$50,B117)+SUMIFS('2.2- Amortissement'!$AJ$9:$AJ$23,'2.2- Amortissement'!$U$9:$U$23,B123,'2.2- Amortissement'!$W$9:$W$23,"Non",'2.2- Amortissement'!$C$9:$C$23,B117)+SUMIFS('3- Frais généraux'!$BO$10:$BO$49,'3- Frais généraux'!$AI$10:$AI$49,B123,'3- Frais généraux'!$C$10:$C$49,B117)+SUMIFS('1- Frais personnel'!$AI$9:$AI$68,'1- Frais personnel'!$T$9:$T$68,B123,'1- Frais personnel'!$C$9:$C$68,B117)+SUMIFS('4- Déplacement &amp; hébergement'!$BO$10:$BO$49,'4- Déplacement &amp; hébergement'!$AI$10:$AI$49,B123,'4- Déplacement &amp; hébergement'!$C$10:$C$49,B117)+SUMIFS('5- Contribution en nature'!$Z$9:$Z$48,'5- Contribution en nature'!$P$9:$P$48,B123,'5- Contribution en nature'!$C$9:$C$48,B117)+SUMIFS('6- Coût participation agri'!$AE$9:$AE$48,'6- Coût participation agri'!$R$9:$R$48, B123,'6- Coût participation agri'!$C$9:$C$48,B117)+SUMIFS('7- Taux forfaitaire'!$O$9:$O$32,'7- Taux forfaitaire'!$K$9:$K$32,B123,'7- Taux forfaitaire'!$C$9:$C$32,B117)</f>
        <v>0</v>
      </c>
      <c r="D123" s="1071" t="e">
        <f t="shared" si="89"/>
        <v>#VALUE!</v>
      </c>
      <c r="E123" s="893">
        <v>1</v>
      </c>
      <c r="F123" s="894">
        <f t="shared" si="90"/>
        <v>0</v>
      </c>
      <c r="G123" s="894" t="e">
        <f t="shared" si="84"/>
        <v>#VALUE!</v>
      </c>
      <c r="H123" s="981">
        <f t="shared" si="91"/>
        <v>0</v>
      </c>
      <c r="I123" s="1699"/>
      <c r="J123" s="887" t="e">
        <f t="shared" si="85"/>
        <v>#VALUE!</v>
      </c>
      <c r="K123" s="888" t="e">
        <f t="shared" si="92"/>
        <v>#VALUE!</v>
      </c>
      <c r="L123" s="887">
        <f t="shared" si="86"/>
        <v>0</v>
      </c>
      <c r="M123" s="887" t="e">
        <f t="shared" si="93"/>
        <v>#VALUE!</v>
      </c>
      <c r="N123" s="887">
        <f t="shared" si="87"/>
        <v>0</v>
      </c>
      <c r="O123" s="887">
        <f>SUMIFS('5- Contribution en nature'!$Z$9:$Z$48,'5- Contribution en nature'!$P$9:$P$48,B123,'5- Contribution en nature'!$O$9:$O$48,"Partenaire 7")</f>
        <v>0</v>
      </c>
      <c r="P123" s="1073">
        <f t="shared" si="88"/>
        <v>0</v>
      </c>
    </row>
    <row r="124" spans="1:19" ht="17.100000000000001" customHeight="1" thickBot="1">
      <c r="A124" s="1694"/>
      <c r="B124" s="1106" t="s">
        <v>91</v>
      </c>
      <c r="C124" s="1078">
        <f>SUMIFS('2.1- Investissements'!$BS$11:$BS$50,'2.1- Investissements'!$AK$11:$AK$50,B124,'2.1- Investissements'!$AM$11:$AM$50,"Non",'2.1- Investissements'!$C$11:$C$50,B117)+SUMIFS('2.2- Amortissement'!$AJ$9:$AJ$23,'2.2- Amortissement'!$U$9:$U$23,B124,'2.2- Amortissement'!$W$9:$W$23,"Non",'2.2- Amortissement'!$C$9:$C$23,B117)+SUMIFS('3- Frais généraux'!$BO$10:$BO$49,'3- Frais généraux'!$AI$10:$AI$49,B124,'3- Frais généraux'!$C$10:$C$49,B117)+SUMIFS('1- Frais personnel'!$AI$9:$AI$68,'1- Frais personnel'!$T$9:$T$68,B124,'1- Frais personnel'!$C$9:$C$68,B117)+SUMIFS('4- Déplacement &amp; hébergement'!$BO$10:$BO$49,'4- Déplacement &amp; hébergement'!$AI$10:$AI$49,B124,'4- Déplacement &amp; hébergement'!$C$10:$C$49,B117)+SUMIFS('5- Contribution en nature'!$Z$9:$Z$48,'5- Contribution en nature'!$P$9:$P$48,B124,'5- Contribution en nature'!$C$9:$C$48,B117)+SUMIFS('6- Coût participation agri'!$AE$9:$AE$48,'6- Coût participation agri'!$R$9:$R$48, B124,'6- Coût participation agri'!$C$9:$C$48,B117)+SUMIFS('7- Taux forfaitaire'!$O$9:$O$32,'7- Taux forfaitaire'!$K$9:$K$32,B124,'7- Taux forfaitaire'!$C$9:$C$32,B117)</f>
        <v>0</v>
      </c>
      <c r="D124" s="1079" t="e">
        <f t="shared" si="89"/>
        <v>#VALUE!</v>
      </c>
      <c r="E124" s="1080">
        <v>1</v>
      </c>
      <c r="F124" s="977">
        <f t="shared" si="90"/>
        <v>0</v>
      </c>
      <c r="G124" s="971" t="e">
        <f t="shared" si="84"/>
        <v>#VALUE!</v>
      </c>
      <c r="H124" s="1081">
        <f t="shared" si="91"/>
        <v>0</v>
      </c>
      <c r="I124" s="1700"/>
      <c r="J124" s="1045" t="e">
        <f t="shared" si="85"/>
        <v>#VALUE!</v>
      </c>
      <c r="K124" s="888" t="e">
        <f t="shared" si="92"/>
        <v>#VALUE!</v>
      </c>
      <c r="L124" s="1045">
        <f t="shared" si="86"/>
        <v>0</v>
      </c>
      <c r="M124" s="888" t="e">
        <f t="shared" si="93"/>
        <v>#VALUE!</v>
      </c>
      <c r="N124" s="1045">
        <f t="shared" si="87"/>
        <v>0</v>
      </c>
      <c r="O124" s="1045">
        <f>SUMIFS('5- Contribution en nature'!$Z$9:$Z$48,'5- Contribution en nature'!$P$9:$P$48,B124,'5- Contribution en nature'!$O$9:$O$48,"Partenaire 7")</f>
        <v>0</v>
      </c>
      <c r="P124" s="1082">
        <f t="shared" si="88"/>
        <v>0</v>
      </c>
    </row>
    <row r="125" spans="1:19" s="353" customFormat="1" ht="65.099999999999994" thickBot="1">
      <c r="B125" s="1090" t="s">
        <v>530</v>
      </c>
      <c r="C125" s="1091" t="str">
        <f>IF($D$3=0,"",SUM(C119:C124))</f>
        <v/>
      </c>
      <c r="D125" s="1118" t="e">
        <f t="shared" si="89"/>
        <v>#VALUE!</v>
      </c>
      <c r="E125" s="984"/>
      <c r="F125" s="684">
        <f>SUM(F119:F124)</f>
        <v>0</v>
      </c>
      <c r="G125" s="684" t="e">
        <f t="shared" si="84"/>
        <v>#VALUE!</v>
      </c>
      <c r="H125" s="985" t="e">
        <f t="shared" si="91"/>
        <v>#VALUE!</v>
      </c>
      <c r="I125" s="1092"/>
      <c r="J125" s="1046" t="e">
        <f t="shared" si="85"/>
        <v>#VALUE!</v>
      </c>
      <c r="K125" s="986" t="e">
        <f>IF(G125=0,0,IF($I$119="Oui",ROUNDUP(0.15*J125/0.85,2),G125-J125))</f>
        <v>#VALUE!</v>
      </c>
      <c r="L125" s="1046" t="e">
        <f t="shared" si="86"/>
        <v>#VALUE!</v>
      </c>
      <c r="M125" s="1046" t="e">
        <f t="shared" si="93"/>
        <v>#VALUE!</v>
      </c>
      <c r="N125" s="1046">
        <f>IF($F$125=0,0,IF($B$21=0,0,ROUNDUP((F125/$F$125*$C$125/$C$127)*$B$21-L125,2)))</f>
        <v>0</v>
      </c>
      <c r="O125" s="986">
        <f>SUM(O119:O124)</f>
        <v>0</v>
      </c>
      <c r="P125" s="1054">
        <f t="shared" si="88"/>
        <v>0</v>
      </c>
    </row>
    <row r="127" spans="1:19" ht="15.95">
      <c r="B127" s="1011" t="s">
        <v>415</v>
      </c>
      <c r="C127" s="1012" t="e">
        <f>C55+C65+C75+C85+C95+C105+C115+C125</f>
        <v>#VALUE!</v>
      </c>
      <c r="D127" s="1012"/>
      <c r="E127" s="1012"/>
      <c r="F127" s="1012">
        <f>F55+F65+F75+F85+F95+F105+F115+F125</f>
        <v>0</v>
      </c>
      <c r="G127" s="1012" t="e">
        <f t="shared" ref="G127:N127" si="94">G55+G65+G75+G85+G95+G105+G115+G125</f>
        <v>#VALUE!</v>
      </c>
      <c r="H127" s="1012"/>
      <c r="I127" s="1012">
        <f t="shared" si="94"/>
        <v>0</v>
      </c>
      <c r="J127" s="1012" t="e">
        <f>ROUNDDOWN(J55+J65+J75+J85+J95+J105+J115+J125,2)</f>
        <v>#VALUE!</v>
      </c>
      <c r="K127" s="1012" t="e">
        <f>ROUNDUP(K55+K65+K75+K85+K95+K105+K115+K125,2)</f>
        <v>#VALUE!</v>
      </c>
      <c r="L127" s="1012" t="e">
        <f t="shared" si="94"/>
        <v>#VALUE!</v>
      </c>
      <c r="M127" s="1012" t="e">
        <f t="shared" si="94"/>
        <v>#VALUE!</v>
      </c>
      <c r="N127" s="1012">
        <f t="shared" si="94"/>
        <v>0</v>
      </c>
    </row>
    <row r="128" spans="1:19">
      <c r="B128" s="998"/>
      <c r="C128" s="999"/>
      <c r="D128" s="1000"/>
      <c r="E128" s="1001"/>
      <c r="F128" s="1002"/>
      <c r="G128" s="1002"/>
      <c r="H128" s="1003"/>
      <c r="I128" s="1004"/>
      <c r="J128" s="1004"/>
      <c r="K128" s="1004"/>
      <c r="L128" s="1004"/>
      <c r="M128" s="1004"/>
      <c r="N128" s="1004"/>
      <c r="O128" s="997"/>
      <c r="P128" s="997"/>
      <c r="Q128" s="997"/>
      <c r="R128" s="997"/>
      <c r="S128" s="997"/>
    </row>
    <row r="129" spans="2:19">
      <c r="B129" s="998"/>
      <c r="C129" s="999"/>
      <c r="D129" s="1000"/>
      <c r="E129" s="1001"/>
      <c r="F129" s="1002"/>
      <c r="G129" s="1002"/>
      <c r="H129" s="1003"/>
      <c r="I129" s="1004"/>
      <c r="J129" s="1004"/>
      <c r="K129" s="1004"/>
      <c r="L129" s="1004"/>
      <c r="M129" s="1004"/>
      <c r="N129" s="1004"/>
      <c r="O129" s="997"/>
      <c r="P129" s="997"/>
      <c r="Q129" s="997"/>
      <c r="R129" s="997"/>
      <c r="S129" s="997"/>
    </row>
  </sheetData>
  <sheetProtection formatCells="0" formatColumns="0" formatRows="0" insertColumns="0" insertRows="0" insertHyperlinks="0" deleteColumns="0" deleteRows="0" sort="0" autoFilter="0" pivotTables="0"/>
  <mergeCells count="88">
    <mergeCell ref="O99:O101"/>
    <mergeCell ref="O109:O111"/>
    <mergeCell ref="O119:O121"/>
    <mergeCell ref="J27:J29"/>
    <mergeCell ref="O49:O51"/>
    <mergeCell ref="O59:O61"/>
    <mergeCell ref="O69:O71"/>
    <mergeCell ref="O79:O81"/>
    <mergeCell ref="O89:O91"/>
    <mergeCell ref="B46:P46"/>
    <mergeCell ref="B1:S1"/>
    <mergeCell ref="F2:G4"/>
    <mergeCell ref="L6:L7"/>
    <mergeCell ref="B2:D2"/>
    <mergeCell ref="B3:C3"/>
    <mergeCell ref="H3:J3"/>
    <mergeCell ref="B4:C4"/>
    <mergeCell ref="H4:J5"/>
    <mergeCell ref="B5:C5"/>
    <mergeCell ref="M6:M7"/>
    <mergeCell ref="N6:N7"/>
    <mergeCell ref="J6:J9"/>
    <mergeCell ref="K6:K7"/>
    <mergeCell ref="B6:C6"/>
    <mergeCell ref="B7:C7"/>
    <mergeCell ref="L10:S10"/>
    <mergeCell ref="B24:X24"/>
    <mergeCell ref="X27:X33"/>
    <mergeCell ref="B27:B29"/>
    <mergeCell ref="P27:P32"/>
    <mergeCell ref="Q27:Q32"/>
    <mergeCell ref="B30:B32"/>
    <mergeCell ref="M27:M32"/>
    <mergeCell ref="N27:N32"/>
    <mergeCell ref="F25:F26"/>
    <mergeCell ref="B25:B26"/>
    <mergeCell ref="C25:C26"/>
    <mergeCell ref="D25:D26"/>
    <mergeCell ref="J25:J26"/>
    <mergeCell ref="I25:I26"/>
    <mergeCell ref="E25:E26"/>
    <mergeCell ref="B10:C10"/>
    <mergeCell ref="B11:C11"/>
    <mergeCell ref="A49:A51"/>
    <mergeCell ref="B14:G14"/>
    <mergeCell ref="B8:C8"/>
    <mergeCell ref="B9:C9"/>
    <mergeCell ref="A52:A54"/>
    <mergeCell ref="B57:N57"/>
    <mergeCell ref="A59:A61"/>
    <mergeCell ref="B47:N47"/>
    <mergeCell ref="I49:I54"/>
    <mergeCell ref="A62:A64"/>
    <mergeCell ref="A69:A71"/>
    <mergeCell ref="A72:A74"/>
    <mergeCell ref="B77:N77"/>
    <mergeCell ref="A79:A81"/>
    <mergeCell ref="B67:N67"/>
    <mergeCell ref="I59:I64"/>
    <mergeCell ref="I69:I74"/>
    <mergeCell ref="A82:A84"/>
    <mergeCell ref="B87:N87"/>
    <mergeCell ref="A89:A91"/>
    <mergeCell ref="A92:A94"/>
    <mergeCell ref="B97:N97"/>
    <mergeCell ref="I79:I84"/>
    <mergeCell ref="I89:I94"/>
    <mergeCell ref="A99:A101"/>
    <mergeCell ref="A119:A121"/>
    <mergeCell ref="A122:A124"/>
    <mergeCell ref="A102:A104"/>
    <mergeCell ref="B107:N107"/>
    <mergeCell ref="A109:A111"/>
    <mergeCell ref="A112:A114"/>
    <mergeCell ref="B117:N117"/>
    <mergeCell ref="I99:I104"/>
    <mergeCell ref="I109:I114"/>
    <mergeCell ref="I119:I124"/>
    <mergeCell ref="T48:T49"/>
    <mergeCell ref="U48:V49"/>
    <mergeCell ref="W48:X49"/>
    <mergeCell ref="Y48:Z49"/>
    <mergeCell ref="AA48:AB49"/>
    <mergeCell ref="AC48:AD49"/>
    <mergeCell ref="AE48:AF49"/>
    <mergeCell ref="AG48:AH49"/>
    <mergeCell ref="AI48:AJ48"/>
    <mergeCell ref="AI49:AJ49"/>
  </mergeCells>
  <conditionalFormatting sqref="G5">
    <cfRule type="notContainsText" dxfId="5" priority="26" stopIfTrue="1" operator="notContains" text="est">
      <formula>ISERROR(SEARCH("est",G5))</formula>
    </cfRule>
    <cfRule type="containsText" dxfId="4" priority="27" operator="containsText" text="est">
      <formula>NOT(ISERROR(SEARCH("est",G5)))</formula>
    </cfRule>
  </conditionalFormatting>
  <conditionalFormatting sqref="G7">
    <cfRule type="notContainsText" dxfId="3" priority="5" stopIfTrue="1" operator="notContains" text="n'est pas respectée">
      <formula>ISERROR(SEARCH("n'est pas respectée",G7))</formula>
    </cfRule>
    <cfRule type="containsText" dxfId="2" priority="6" operator="containsText" text="n'est pas respectée">
      <formula>NOT(ISERROR(SEARCH("n'est pas respectée",G7)))</formula>
    </cfRule>
  </conditionalFormatting>
  <conditionalFormatting sqref="G8:G9">
    <cfRule type="containsText" dxfId="1" priority="1" operator="containsText" text="est respecté">
      <formula>NOT(ISERROR(SEARCH("est respecté",G8)))</formula>
    </cfRule>
    <cfRule type="containsText" dxfId="0" priority="2" operator="containsText" text="pas">
      <formula>NOT(ISERROR(SEARCH("pas",G8)))</formula>
    </cfRule>
  </conditionalFormatting>
  <dataValidations disablePrompts="1" count="3">
    <dataValidation type="list" allowBlank="1" showInputMessage="1" showErrorMessage="1" sqref="N27 I49 I109 I59 I69 I79 I89 I99 I119" xr:uid="{7BD2531D-9712-47CE-A12D-22296AEDB185}">
      <formula1>"Oui,Non,Non concerné"</formula1>
    </dataValidation>
    <dataValidation type="list" allowBlank="1" showInputMessage="1" showErrorMessage="1" sqref="C27:C32" xr:uid="{F1012DE2-10F1-4FF6-9932-3F41E075B261}">
      <formula1>"Création groupes opérationnels, Projets groupes opérationnels, Diffusion résultats"</formula1>
    </dataValidation>
    <dataValidation type="list" allowBlank="1" showInputMessage="1" showErrorMessage="1" sqref="G22 D22" xr:uid="{6D80889E-57ED-44C7-8C77-D59DEEE56938}">
      <formula1>"Oui,Non"</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F6D56-B1AE-446C-8C66-CA9ADB8469D9}">
  <sheetPr codeName="Feuil14">
    <tabColor theme="9" tint="-0.249977111117893"/>
    <pageSetUpPr autoPageBreaks="0"/>
  </sheetPr>
  <dimension ref="E1:AJ119"/>
  <sheetViews>
    <sheetView showGridLines="0" zoomScale="64" zoomScaleNormal="70" workbookViewId="0">
      <selection activeCell="H23" sqref="H23"/>
    </sheetView>
  </sheetViews>
  <sheetFormatPr defaultColWidth="11.42578125" defaultRowHeight="15"/>
  <cols>
    <col min="5" max="6" width="37" customWidth="1"/>
    <col min="7" max="7" width="34.140625" customWidth="1"/>
    <col min="8" max="8" width="38" customWidth="1"/>
    <col min="9" max="9" width="41.140625" style="746" customWidth="1"/>
    <col min="10" max="10" width="66.42578125" customWidth="1"/>
    <col min="11" max="11" width="34.42578125" customWidth="1"/>
    <col min="12" max="12" width="26.42578125" customWidth="1"/>
    <col min="14" max="19" width="27.140625" customWidth="1"/>
  </cols>
  <sheetData>
    <row r="1" spans="5:36" ht="21.95">
      <c r="E1" s="728" t="s">
        <v>577</v>
      </c>
      <c r="F1" s="728"/>
      <c r="G1" s="728"/>
      <c r="H1" s="729"/>
      <c r="I1" s="730"/>
      <c r="J1" s="729"/>
      <c r="K1" s="729"/>
      <c r="L1" s="729"/>
    </row>
    <row r="2" spans="5:36" ht="48" customHeight="1">
      <c r="E2" s="2029" t="s">
        <v>578</v>
      </c>
      <c r="F2" s="2029"/>
      <c r="G2" s="2029"/>
      <c r="H2" s="2029"/>
      <c r="I2" s="2029"/>
      <c r="J2" s="2029"/>
      <c r="K2" s="2029"/>
      <c r="L2" s="2029"/>
    </row>
    <row r="3" spans="5:36" ht="21.95">
      <c r="E3" s="731" t="s">
        <v>579</v>
      </c>
      <c r="F3" s="731"/>
      <c r="G3" s="731"/>
      <c r="H3" s="732"/>
      <c r="I3" s="733"/>
      <c r="J3" s="732"/>
      <c r="K3" s="732"/>
      <c r="L3" s="732"/>
    </row>
    <row r="4" spans="5:36" ht="18.95">
      <c r="E4" s="2029" t="s">
        <v>580</v>
      </c>
      <c r="F4" s="2029"/>
      <c r="G4" s="2029"/>
      <c r="H4" s="2029"/>
      <c r="I4" s="2029"/>
      <c r="J4" s="2029"/>
      <c r="K4" s="2029"/>
      <c r="L4" s="2029"/>
    </row>
    <row r="5" spans="5:36" ht="6.95" customHeight="1">
      <c r="E5" s="734"/>
      <c r="F5" s="734"/>
      <c r="G5" s="734"/>
      <c r="H5" s="734"/>
      <c r="I5" s="735"/>
      <c r="J5" s="734"/>
      <c r="K5" s="734"/>
      <c r="L5" s="734"/>
    </row>
    <row r="6" spans="5:36" ht="74.45" customHeight="1">
      <c r="E6" s="2030" t="s">
        <v>581</v>
      </c>
      <c r="F6" s="2030"/>
      <c r="G6" s="2030"/>
      <c r="H6" s="2030"/>
      <c r="I6" s="2030"/>
      <c r="J6" s="2030"/>
      <c r="K6" s="2030"/>
      <c r="L6" s="2030"/>
    </row>
    <row r="7" spans="5:36" ht="21">
      <c r="E7" s="736"/>
      <c r="F7" s="736"/>
      <c r="G7" s="736"/>
      <c r="H7" s="736"/>
      <c r="I7" s="737"/>
      <c r="J7" s="736"/>
      <c r="K7" s="736"/>
      <c r="L7" s="736"/>
    </row>
    <row r="8" spans="5:36" ht="21">
      <c r="E8" s="2031" t="s">
        <v>0</v>
      </c>
      <c r="F8" s="2031"/>
      <c r="G8" s="2031"/>
      <c r="H8" s="2031"/>
      <c r="I8" s="2031"/>
      <c r="J8" s="2031"/>
      <c r="K8" s="2031"/>
      <c r="L8" s="2031"/>
    </row>
    <row r="9" spans="5:36" ht="21">
      <c r="E9" s="2032" t="str">
        <f>IF(Accueil!A9="","",Accueil!A9)</f>
        <v xml:space="preserve">NOM DE L'OPÉRATION </v>
      </c>
      <c r="F9" s="2032"/>
      <c r="G9" s="2032"/>
      <c r="H9" s="2032"/>
      <c r="I9" s="2032"/>
      <c r="J9" s="2032"/>
      <c r="K9" s="2032"/>
      <c r="L9" s="2032"/>
    </row>
    <row r="10" spans="5:36" ht="26.25" customHeight="1">
      <c r="E10" s="2034" t="s">
        <v>582</v>
      </c>
      <c r="F10" s="2034"/>
      <c r="G10" s="2034"/>
      <c r="H10" s="2034"/>
      <c r="I10" s="2034"/>
      <c r="J10" s="2034"/>
      <c r="K10" s="2034"/>
      <c r="L10" s="2034"/>
    </row>
    <row r="11" spans="5:36" ht="26.45" customHeight="1">
      <c r="E11" s="2033" t="s">
        <v>10</v>
      </c>
      <c r="F11" s="2033"/>
      <c r="G11" s="2033" t="s">
        <v>11</v>
      </c>
      <c r="H11" s="2033"/>
      <c r="I11" s="2033" t="s">
        <v>12</v>
      </c>
      <c r="J11" s="2033"/>
      <c r="K11" s="2033" t="s">
        <v>13</v>
      </c>
      <c r="L11" s="2033"/>
    </row>
    <row r="12" spans="5:36" ht="57" customHeight="1">
      <c r="E12" s="738" t="s">
        <v>18</v>
      </c>
      <c r="F12" s="739" t="str">
        <f>IF(Accueil!C23="","",Accueil!C23)</f>
        <v/>
      </c>
      <c r="G12" s="738" t="s">
        <v>18</v>
      </c>
      <c r="H12" s="739" t="str">
        <f>IF(Accueil!E23="","",Accueil!E23)</f>
        <v/>
      </c>
      <c r="I12" s="738" t="s">
        <v>18</v>
      </c>
      <c r="J12" s="739" t="str">
        <f>IF(Accueil!G23="","",Accueil!G23)</f>
        <v/>
      </c>
      <c r="K12" s="738" t="s">
        <v>18</v>
      </c>
      <c r="L12" s="739" t="str">
        <f>IF(Accueil!I23="","",Accueil!I23)</f>
        <v/>
      </c>
    </row>
    <row r="13" spans="5:36" ht="21">
      <c r="E13" s="2033" t="s">
        <v>14</v>
      </c>
      <c r="F13" s="2033"/>
      <c r="G13" s="2033" t="s">
        <v>15</v>
      </c>
      <c r="H13" s="2033"/>
      <c r="I13" s="2033" t="s">
        <v>16</v>
      </c>
      <c r="J13" s="2033"/>
      <c r="K13" s="2033" t="s">
        <v>17</v>
      </c>
      <c r="L13" s="2033"/>
    </row>
    <row r="14" spans="5:36" ht="94.5" customHeight="1">
      <c r="E14" s="738" t="s">
        <v>18</v>
      </c>
      <c r="F14" s="739" t="str">
        <f>IF(Accueil!K23="","",Accueil!K23)</f>
        <v/>
      </c>
      <c r="G14" s="738" t="s">
        <v>18</v>
      </c>
      <c r="H14" s="739" t="str">
        <f>IF(Accueil!M23="","",Accueil!M23)</f>
        <v/>
      </c>
      <c r="I14" s="738" t="s">
        <v>18</v>
      </c>
      <c r="J14" s="739" t="str">
        <f>IF(Accueil!O23="","",Accueil!O23)</f>
        <v/>
      </c>
      <c r="K14" s="738" t="s">
        <v>18</v>
      </c>
      <c r="L14" s="739" t="str">
        <f>IF(Accueil!Q23="","",Accueil!Q23)</f>
        <v/>
      </c>
    </row>
    <row r="15" spans="5:36" ht="21">
      <c r="E15" s="2033" t="s">
        <v>583</v>
      </c>
      <c r="F15" s="2033"/>
      <c r="G15" s="2033" t="s">
        <v>584</v>
      </c>
      <c r="H15" s="2033"/>
      <c r="I15" s="2033" t="s">
        <v>585</v>
      </c>
      <c r="J15" s="2033"/>
      <c r="K15" s="740"/>
      <c r="L15" s="741"/>
    </row>
    <row r="16" spans="5:36" ht="26.1">
      <c r="E16" s="2047" t="str">
        <f>Accueil!A10</f>
        <v>Mesure 77.01 : Partenariat Européen d'Innovation</v>
      </c>
      <c r="F16" s="2048"/>
      <c r="G16" s="2048"/>
      <c r="H16" s="2048"/>
      <c r="I16" s="2048"/>
      <c r="J16" s="2048"/>
      <c r="K16" s="2048"/>
      <c r="L16" s="2049"/>
      <c r="O16" s="2035"/>
      <c r="P16" s="2035"/>
      <c r="Q16" s="2035"/>
      <c r="R16" s="2035"/>
      <c r="S16" s="2035"/>
      <c r="T16" s="2035"/>
      <c r="U16" s="2035"/>
      <c r="V16" s="2035"/>
      <c r="W16" s="2035"/>
      <c r="X16" s="2035"/>
      <c r="Y16" s="2035"/>
      <c r="Z16" s="2035"/>
      <c r="AA16" s="2035"/>
      <c r="AB16" s="2035"/>
      <c r="AC16" s="2035"/>
      <c r="AD16" s="2035"/>
      <c r="AE16" s="2035"/>
      <c r="AF16" s="2035"/>
      <c r="AG16" s="2035"/>
      <c r="AH16" s="2035"/>
      <c r="AI16" s="2035"/>
      <c r="AJ16" s="2035"/>
    </row>
    <row r="17" spans="5:16" ht="21">
      <c r="E17" s="742"/>
      <c r="F17" s="743"/>
      <c r="G17" s="743"/>
      <c r="H17" s="743"/>
      <c r="I17" s="744"/>
      <c r="J17" s="743"/>
      <c r="K17" s="743"/>
      <c r="L17" s="745"/>
    </row>
    <row r="18" spans="5:16" ht="30" customHeight="1">
      <c r="E18" s="2044" t="s">
        <v>586</v>
      </c>
      <c r="F18" s="2045"/>
      <c r="G18" s="2045"/>
      <c r="H18" s="2045"/>
      <c r="I18" s="2045"/>
      <c r="J18" s="2045"/>
      <c r="K18" s="2045"/>
      <c r="L18" s="2046"/>
    </row>
    <row r="19" spans="5:16" ht="48" customHeight="1">
      <c r="E19" s="2038" t="s">
        <v>587</v>
      </c>
      <c r="F19" s="2038"/>
      <c r="G19" s="2038"/>
      <c r="H19" s="2038"/>
      <c r="I19" s="2038"/>
      <c r="J19" s="2038"/>
      <c r="K19" s="2038"/>
      <c r="L19" s="2038"/>
    </row>
    <row r="20" spans="5:16" ht="23.25" customHeight="1"/>
    <row r="21" spans="5:16" ht="21" customHeight="1" thickBot="1">
      <c r="H21" s="225"/>
    </row>
    <row r="22" spans="5:16" ht="21" customHeight="1">
      <c r="E22" s="2039" t="s">
        <v>588</v>
      </c>
      <c r="F22" s="2039"/>
      <c r="G22" s="2039"/>
      <c r="H22" s="747"/>
      <c r="J22" s="2040" t="s">
        <v>589</v>
      </c>
      <c r="K22" s="2041"/>
      <c r="L22" s="748"/>
    </row>
    <row r="23" spans="5:16" ht="37.5" customHeight="1">
      <c r="E23" s="2042" t="s">
        <v>544</v>
      </c>
      <c r="F23" s="2042"/>
      <c r="G23" s="790" t="s">
        <v>546</v>
      </c>
      <c r="H23" s="225"/>
      <c r="J23" s="749" t="s">
        <v>590</v>
      </c>
      <c r="K23" s="750">
        <f>'Syn pf instructeur'!L33</f>
        <v>0</v>
      </c>
      <c r="L23" s="751"/>
    </row>
    <row r="24" spans="5:16" ht="21" customHeight="1">
      <c r="E24" s="2043" t="s">
        <v>591</v>
      </c>
      <c r="F24" s="2043"/>
      <c r="G24" s="2043"/>
      <c r="H24" s="752"/>
      <c r="J24" s="749" t="s">
        <v>592</v>
      </c>
      <c r="K24" s="753">
        <f>'Syn pf instructeur'!K33</f>
        <v>0</v>
      </c>
      <c r="L24" s="754"/>
    </row>
    <row r="25" spans="5:16" ht="21" customHeight="1">
      <c r="E25" s="791" t="s">
        <v>593</v>
      </c>
      <c r="F25" s="795">
        <f>'A-Recettes'!K18</f>
        <v>0</v>
      </c>
      <c r="G25" s="796">
        <f>'A-Recettes'!M38</f>
        <v>0</v>
      </c>
      <c r="H25" s="225"/>
      <c r="J25" s="755" t="s">
        <v>594</v>
      </c>
      <c r="K25" s="756">
        <f>IFERROR('Syn pf instructeur'!O33,0)</f>
        <v>0</v>
      </c>
      <c r="L25" s="751"/>
    </row>
    <row r="26" spans="5:16" ht="21" customHeight="1">
      <c r="E26" s="791" t="s">
        <v>595</v>
      </c>
      <c r="F26" s="789">
        <f>'Syn pf instructeur'!L8</f>
        <v>0</v>
      </c>
      <c r="G26" s="789">
        <f>'Syn pf instructeur'!L9</f>
        <v>0</v>
      </c>
      <c r="H26" s="225"/>
      <c r="J26" s="755" t="s">
        <v>596</v>
      </c>
      <c r="K26" s="756">
        <f>'Syn pf instructeur'!T33</f>
        <v>0</v>
      </c>
      <c r="L26" s="751"/>
    </row>
    <row r="27" spans="5:16" ht="44.1">
      <c r="E27" s="791" t="s">
        <v>597</v>
      </c>
      <c r="F27" s="789">
        <f>'Syn pf instructeur'!M8</f>
        <v>0</v>
      </c>
      <c r="G27" s="789">
        <f>'Syn pf instructeur'!M9</f>
        <v>0</v>
      </c>
      <c r="H27" s="225"/>
      <c r="J27" s="755" t="s">
        <v>598</v>
      </c>
      <c r="K27" s="756">
        <f>IFERROR('Syn pf instructeur'!S33,0)</f>
        <v>0</v>
      </c>
      <c r="L27" s="751"/>
      <c r="N27" s="763"/>
      <c r="O27" s="784"/>
      <c r="P27" s="785"/>
    </row>
    <row r="28" spans="5:16" ht="42" customHeight="1">
      <c r="E28" s="791" t="s">
        <v>599</v>
      </c>
      <c r="F28" s="789">
        <f>'Syn pf instructeur'!R8</f>
        <v>0</v>
      </c>
      <c r="G28" s="789">
        <f>'Syn pf instructeur'!R9</f>
        <v>0</v>
      </c>
      <c r="J28" s="755" t="s">
        <v>600</v>
      </c>
      <c r="K28" s="756">
        <f>IFERROR('Syn pf instructeur'!U33,0)</f>
        <v>0</v>
      </c>
      <c r="L28" s="751"/>
      <c r="N28" s="763"/>
      <c r="O28" s="784"/>
      <c r="P28" s="785"/>
    </row>
    <row r="29" spans="5:16" ht="23.1" thickBot="1">
      <c r="E29" s="791" t="s">
        <v>601</v>
      </c>
      <c r="F29" s="789">
        <f>'Syn pf instructeur'!N8</f>
        <v>0</v>
      </c>
      <c r="G29" s="789">
        <f>'Syn pf instructeur'!N9</f>
        <v>0</v>
      </c>
      <c r="J29" s="749" t="s">
        <v>602</v>
      </c>
      <c r="K29" s="753">
        <f>IFERROR('Syn pf instructeur'!V33,0)</f>
        <v>0</v>
      </c>
      <c r="L29" s="751"/>
      <c r="N29" s="763"/>
      <c r="O29" s="784"/>
      <c r="P29" s="785"/>
    </row>
    <row r="30" spans="5:16" ht="45" thickBot="1">
      <c r="E30" s="791" t="s">
        <v>603</v>
      </c>
      <c r="F30" s="789">
        <f>'Syn pf instructeur'!O8</f>
        <v>0</v>
      </c>
      <c r="G30" s="789">
        <f>'Syn pf instructeur'!O9</f>
        <v>0</v>
      </c>
      <c r="J30" s="757" t="s">
        <v>518</v>
      </c>
      <c r="K30" s="758">
        <f>K24+K29</f>
        <v>0</v>
      </c>
      <c r="L30" s="751"/>
      <c r="N30" s="763"/>
      <c r="O30" s="784"/>
      <c r="P30" s="785"/>
    </row>
    <row r="31" spans="5:16" ht="21.95">
      <c r="E31" s="791" t="s">
        <v>604</v>
      </c>
      <c r="F31" s="789">
        <f>'Syn pf instructeur'!P8</f>
        <v>0</v>
      </c>
      <c r="G31" s="789">
        <f>'Syn pf instructeur'!P9</f>
        <v>0</v>
      </c>
      <c r="L31" s="751"/>
      <c r="N31" s="763"/>
      <c r="O31" s="784"/>
      <c r="P31" s="785"/>
    </row>
    <row r="32" spans="5:16" ht="21.95">
      <c r="E32" s="791" t="s">
        <v>605</v>
      </c>
      <c r="F32" s="789">
        <f>'Syn pf instructeur'!Q8</f>
        <v>0</v>
      </c>
      <c r="G32" s="789">
        <f>'Syn pf instructeur'!Q9</f>
        <v>0</v>
      </c>
      <c r="L32" s="751"/>
      <c r="N32" s="763"/>
      <c r="O32" s="784"/>
      <c r="P32" s="785"/>
    </row>
    <row r="33" spans="5:16" ht="21.95">
      <c r="E33" s="791" t="s">
        <v>606</v>
      </c>
      <c r="F33" s="789">
        <f>'Syn pf instructeur'!S8</f>
        <v>0</v>
      </c>
      <c r="G33" s="789">
        <f>'Syn pf instructeur'!S9</f>
        <v>0</v>
      </c>
      <c r="L33" s="751"/>
      <c r="N33" s="763"/>
      <c r="O33" s="784"/>
      <c r="P33" s="785"/>
    </row>
    <row r="34" spans="5:16" ht="21.95">
      <c r="E34" s="792" t="s">
        <v>518</v>
      </c>
      <c r="F34" s="793">
        <f>IFERROR(SUM(F26:F33),0)</f>
        <v>0</v>
      </c>
      <c r="G34" s="794">
        <f>IFERROR(SUM(G26:G33),0)</f>
        <v>0</v>
      </c>
      <c r="H34" s="763"/>
      <c r="L34" s="751"/>
      <c r="N34" s="786"/>
      <c r="O34" s="787"/>
      <c r="P34" s="785"/>
    </row>
    <row r="35" spans="5:16" ht="27.95" customHeight="1">
      <c r="E35" s="761"/>
      <c r="F35" s="761"/>
      <c r="G35" s="762"/>
      <c r="H35" s="763"/>
      <c r="N35" s="225"/>
      <c r="O35" s="225"/>
      <c r="P35" s="225"/>
    </row>
    <row r="36" spans="5:16" ht="48" customHeight="1">
      <c r="H36" s="225"/>
      <c r="N36" s="225"/>
      <c r="O36" s="225"/>
      <c r="P36" s="225"/>
    </row>
    <row r="37" spans="5:16" ht="50.25" customHeight="1">
      <c r="E37" s="2043" t="s">
        <v>607</v>
      </c>
      <c r="F37" s="2043"/>
      <c r="G37" s="2043"/>
      <c r="H37" s="752"/>
    </row>
    <row r="38" spans="5:16" ht="81.95" customHeight="1">
      <c r="E38" s="194" t="s">
        <v>85</v>
      </c>
      <c r="F38" s="788">
        <f>'Syn pf instructeur'!D27+'Syn pf instructeur'!D30</f>
        <v>0</v>
      </c>
      <c r="G38" s="788">
        <f>'Syn pf instructeur'!E27+'Syn pf instructeur'!E30</f>
        <v>0</v>
      </c>
      <c r="H38" s="225"/>
    </row>
    <row r="39" spans="5:16" ht="81.95" customHeight="1">
      <c r="E39" s="194" t="s">
        <v>88</v>
      </c>
      <c r="F39" s="788">
        <f>'Syn pf instructeur'!D28+'Syn pf instructeur'!D31</f>
        <v>0</v>
      </c>
      <c r="G39" s="788">
        <f>'Syn pf instructeur'!E28+'Syn pf instructeur'!E31</f>
        <v>0</v>
      </c>
      <c r="H39" s="225"/>
    </row>
    <row r="40" spans="5:16" ht="81.95" customHeight="1" thickBot="1">
      <c r="E40" s="194" t="s">
        <v>91</v>
      </c>
      <c r="F40" s="788">
        <f>'Syn pf instructeur'!D29+'Syn pf instructeur'!D32</f>
        <v>0</v>
      </c>
      <c r="G40" s="788">
        <f>'Syn pf instructeur'!E29+'Syn pf instructeur'!E32</f>
        <v>0</v>
      </c>
      <c r="H40" s="225"/>
    </row>
    <row r="41" spans="5:16" ht="81.95" customHeight="1" thickBot="1">
      <c r="E41" s="764" t="s">
        <v>518</v>
      </c>
      <c r="F41" s="759">
        <f>IFERROR(SUM(F38:F40),0)</f>
        <v>0</v>
      </c>
      <c r="G41" s="760">
        <f>IFERROR(SUM(G38:G40),0)</f>
        <v>0</v>
      </c>
      <c r="H41" s="225"/>
      <c r="I41" s="783"/>
    </row>
    <row r="42" spans="5:16" ht="24" customHeight="1">
      <c r="H42" s="225"/>
      <c r="I42" s="765"/>
    </row>
    <row r="43" spans="5:16" ht="37.5" customHeight="1" thickBot="1">
      <c r="E43" s="766"/>
      <c r="F43" s="766"/>
    </row>
    <row r="44" spans="5:16" ht="29.1" customHeight="1" thickBot="1">
      <c r="E44" s="2050" t="s">
        <v>608</v>
      </c>
      <c r="F44" s="2051"/>
      <c r="G44" s="2051"/>
      <c r="H44" s="2051"/>
      <c r="I44" s="2051"/>
      <c r="J44" s="2051"/>
      <c r="K44" s="2052"/>
    </row>
    <row r="45" spans="5:16" ht="50.1">
      <c r="E45" s="978" t="s">
        <v>609</v>
      </c>
      <c r="F45" s="979" t="s">
        <v>98</v>
      </c>
      <c r="G45" s="979" t="s">
        <v>185</v>
      </c>
      <c r="H45" s="979" t="s">
        <v>364</v>
      </c>
      <c r="I45" s="1032" t="s">
        <v>260</v>
      </c>
      <c r="J45" s="979" t="s">
        <v>610</v>
      </c>
      <c r="K45" s="980" t="s">
        <v>611</v>
      </c>
    </row>
    <row r="46" spans="5:16" ht="24">
      <c r="E46" s="2053" t="s">
        <v>439</v>
      </c>
      <c r="F46" s="2054"/>
      <c r="G46" s="2054"/>
      <c r="H46" s="2054"/>
      <c r="I46" s="2054"/>
      <c r="J46" s="2054"/>
      <c r="K46" s="2055"/>
    </row>
    <row r="47" spans="5:16" ht="21.95">
      <c r="E47" s="1026">
        <f>IF('2.1- Investissements'!B11=0,"",'2.1- Investissements'!B11)</f>
        <v>1</v>
      </c>
      <c r="F47" s="767" t="str">
        <f>IF('2.1- Investissements'!C11=0,"",'2.1- Investissements'!C11)</f>
        <v/>
      </c>
      <c r="G47" s="1024" t="str">
        <f>IF('2.1- Investissements'!E11=0,"",'2.1- Investissements'!E11)</f>
        <v/>
      </c>
      <c r="H47" s="767" t="str">
        <f>IF('2.1- Investissements'!D11=0,"",'2.1- Investissements'!D11)</f>
        <v/>
      </c>
      <c r="I47" s="1025" t="str">
        <f>IF('2.1- Investissements'!M11=0,"",'2.1- Investissements'!M11)</f>
        <v/>
      </c>
      <c r="J47" s="2027" t="s">
        <v>612</v>
      </c>
      <c r="K47" s="1027" t="str">
        <f>IF('2.1- Investissements'!BS11=0,"",'2.1- Investissements'!BS11)</f>
        <v/>
      </c>
    </row>
    <row r="48" spans="5:16" ht="61.5" customHeight="1">
      <c r="E48" s="1026">
        <f>IF('2.1- Investissements'!B12=0,"",'2.1- Investissements'!B12)</f>
        <v>2</v>
      </c>
      <c r="F48" s="767" t="str">
        <f>IF('2.1- Investissements'!C12=0,"",'2.1- Investissements'!C12)</f>
        <v/>
      </c>
      <c r="G48" s="1024" t="str">
        <f>IF('2.1- Investissements'!E12=0,"",'2.1- Investissements'!E12)</f>
        <v/>
      </c>
      <c r="H48" s="767" t="str">
        <f>IF('2.1- Investissements'!D12=0,"",'2.1- Investissements'!D12)</f>
        <v/>
      </c>
      <c r="I48" s="1025" t="str">
        <f>IF('2.1- Investissements'!M12=0,"",'2.1- Investissements'!M12)</f>
        <v/>
      </c>
      <c r="J48" s="2027"/>
      <c r="K48" s="1027" t="str">
        <f>IF('2.1- Investissements'!BS12=0,"",'2.1- Investissements'!BS12)</f>
        <v/>
      </c>
    </row>
    <row r="49" spans="5:20" ht="21.95">
      <c r="E49" s="1026">
        <f>IF('2.1- Investissements'!B13=0,"",'2.1- Investissements'!B13)</f>
        <v>3</v>
      </c>
      <c r="F49" s="767" t="str">
        <f>IF('2.1- Investissements'!C13=0,"",'2.1- Investissements'!C13)</f>
        <v/>
      </c>
      <c r="G49" s="1024" t="str">
        <f>IF('2.1- Investissements'!E13=0,"",'2.1- Investissements'!E13)</f>
        <v/>
      </c>
      <c r="H49" s="767" t="str">
        <f>IF('2.1- Investissements'!D13=0,"",'2.1- Investissements'!D13)</f>
        <v/>
      </c>
      <c r="I49" s="1025" t="str">
        <f>IF('2.1- Investissements'!M13=0,"",'2.1- Investissements'!M13)</f>
        <v/>
      </c>
      <c r="J49" s="2027"/>
      <c r="K49" s="1027" t="str">
        <f>IF('2.1- Investissements'!BS13=0,"",'2.1- Investissements'!BS13)</f>
        <v/>
      </c>
    </row>
    <row r="50" spans="5:20" ht="21.95">
      <c r="E50" s="1026">
        <f>IF('2.1- Investissements'!B14=0,"",'2.1- Investissements'!B14)</f>
        <v>4</v>
      </c>
      <c r="F50" s="767" t="str">
        <f>IF('2.1- Investissements'!C14=0,"",'2.1- Investissements'!C14)</f>
        <v/>
      </c>
      <c r="G50" s="1024" t="str">
        <f>IF('2.1- Investissements'!E14=0,"",'2.1- Investissements'!E14)</f>
        <v/>
      </c>
      <c r="H50" s="767" t="str">
        <f>IF('2.1- Investissements'!D14=0,"",'2.1- Investissements'!D14)</f>
        <v/>
      </c>
      <c r="I50" s="1025" t="str">
        <f>IF('2.1- Investissements'!M14=0,"",'2.1- Investissements'!M14)</f>
        <v/>
      </c>
      <c r="J50" s="2027"/>
      <c r="K50" s="1027" t="str">
        <f>IF('2.1- Investissements'!BS14=0,"",'2.1- Investissements'!BS14)</f>
        <v/>
      </c>
    </row>
    <row r="51" spans="5:20" ht="21.95">
      <c r="E51" s="1026">
        <f>IF('2.1- Investissements'!B15=0,"",'2.1- Investissements'!B15)</f>
        <v>5</v>
      </c>
      <c r="F51" s="767" t="str">
        <f>IF('2.1- Investissements'!C15=0,"",'2.1- Investissements'!C15)</f>
        <v/>
      </c>
      <c r="G51" s="1024" t="str">
        <f>IF('2.1- Investissements'!E15=0,"",'2.1- Investissements'!E15)</f>
        <v/>
      </c>
      <c r="H51" s="767" t="str">
        <f>IF('2.1- Investissements'!D15=0,"",'2.1- Investissements'!D15)</f>
        <v/>
      </c>
      <c r="I51" s="1025" t="str">
        <f>IF('2.1- Investissements'!M15=0,"",'2.1- Investissements'!M15)</f>
        <v/>
      </c>
      <c r="J51" s="2027"/>
      <c r="K51" s="1027" t="str">
        <f>IF('2.1- Investissements'!BS15=0,"",'2.1- Investissements'!BS15)</f>
        <v/>
      </c>
    </row>
    <row r="52" spans="5:20" ht="24">
      <c r="E52" s="2053" t="s">
        <v>613</v>
      </c>
      <c r="F52" s="2054"/>
      <c r="G52" s="2054"/>
      <c r="H52" s="2054"/>
      <c r="I52" s="2054"/>
      <c r="J52" s="2054"/>
      <c r="K52" s="2055"/>
    </row>
    <row r="53" spans="5:20" ht="21.95">
      <c r="E53" s="1026">
        <f>IF('2.2- Amortissement'!B9=0,"",'2.2- Amortissement'!B9)</f>
        <v>1</v>
      </c>
      <c r="F53" s="767" t="str">
        <f>IF('2.2- Amortissement'!C9=0,"",'2.2- Amortissement'!C9)</f>
        <v/>
      </c>
      <c r="G53" s="767" t="str">
        <f>IF('2.2- Amortissement'!E9=0,"",'2.2- Amortissement'!E9)</f>
        <v/>
      </c>
      <c r="H53" s="767" t="str">
        <f>IF('2.2- Amortissement'!D9=0,"",'2.2- Amortissement'!D9)</f>
        <v/>
      </c>
      <c r="I53" s="768" t="str">
        <f>IF('2.2- Amortissement'!I9=0,"",'2.2- Amortissement'!I9)</f>
        <v/>
      </c>
      <c r="J53" s="2028" t="s">
        <v>612</v>
      </c>
      <c r="K53" s="1028" t="str">
        <f>IF('2.2- Amortissement'!AJ9=0,"",'2.2- Amortissement'!AJ9)</f>
        <v/>
      </c>
    </row>
    <row r="54" spans="5:20" ht="21.95">
      <c r="E54" s="1026">
        <f>IF('2.2- Amortissement'!B10=0,"",'2.2- Amortissement'!B10)</f>
        <v>2</v>
      </c>
      <c r="F54" s="767" t="str">
        <f>IF('2.2- Amortissement'!C10=0,"",'2.2- Amortissement'!C10)</f>
        <v/>
      </c>
      <c r="G54" s="767" t="str">
        <f>IF('2.2- Amortissement'!E10=0,"",'2.2- Amortissement'!E10)</f>
        <v/>
      </c>
      <c r="H54" s="767" t="str">
        <f>IF('2.2- Amortissement'!D10=0,"",'2.2- Amortissement'!D10)</f>
        <v/>
      </c>
      <c r="I54" s="768" t="str">
        <f>IF('2.2- Amortissement'!I10=0,"",'2.2- Amortissement'!I10)</f>
        <v/>
      </c>
      <c r="J54" s="2028"/>
      <c r="K54" s="1028" t="str">
        <f>IF('2.2- Amortissement'!AJ10=0,"",'2.2- Amortissement'!AJ10)</f>
        <v/>
      </c>
    </row>
    <row r="55" spans="5:20" ht="21.95">
      <c r="E55" s="1026">
        <f>IF('2.2- Amortissement'!B11=0,"",'2.2- Amortissement'!B11)</f>
        <v>3</v>
      </c>
      <c r="F55" s="767" t="str">
        <f>IF('2.2- Amortissement'!C11=0,"",'2.2- Amortissement'!C11)</f>
        <v/>
      </c>
      <c r="G55" s="767" t="str">
        <f>IF('2.2- Amortissement'!E11=0,"",'2.2- Amortissement'!E11)</f>
        <v/>
      </c>
      <c r="H55" s="767" t="str">
        <f>IF('2.2- Amortissement'!D11=0,"",'2.2- Amortissement'!D11)</f>
        <v/>
      </c>
      <c r="I55" s="768" t="str">
        <f>IF('2.2- Amortissement'!I11=0,"",'2.2- Amortissement'!I11)</f>
        <v/>
      </c>
      <c r="J55" s="2028"/>
      <c r="K55" s="1028" t="str">
        <f>IF('2.2- Amortissement'!AJ11=0,"",'2.2- Amortissement'!AJ11)</f>
        <v/>
      </c>
    </row>
    <row r="56" spans="5:20" ht="21.95">
      <c r="E56" s="1026">
        <f>IF('2.2- Amortissement'!B12=0,"",'2.2- Amortissement'!B12)</f>
        <v>4</v>
      </c>
      <c r="F56" s="767" t="str">
        <f>IF('2.2- Amortissement'!C12=0,"",'2.2- Amortissement'!C12)</f>
        <v/>
      </c>
      <c r="G56" s="767" t="str">
        <f>IF('2.2- Amortissement'!E12=0,"",'2.2- Amortissement'!E12)</f>
        <v/>
      </c>
      <c r="H56" s="767" t="str">
        <f>IF('2.2- Amortissement'!D12=0,"",'2.2- Amortissement'!D12)</f>
        <v/>
      </c>
      <c r="I56" s="768" t="str">
        <f>IF('2.2- Amortissement'!I12=0,"",'2.2- Amortissement'!I12)</f>
        <v/>
      </c>
      <c r="J56" s="2028"/>
      <c r="K56" s="1028" t="str">
        <f>IF('2.2- Amortissement'!AJ12=0,"",'2.2- Amortissement'!AJ12)</f>
        <v/>
      </c>
    </row>
    <row r="57" spans="5:20" ht="21.95">
      <c r="E57" s="1026">
        <f>IF('2.2- Amortissement'!B13=0,"",'2.2- Amortissement'!B13)</f>
        <v>5</v>
      </c>
      <c r="F57" s="767" t="str">
        <f>IF('2.2- Amortissement'!C13=0,"",'2.2- Amortissement'!C13)</f>
        <v/>
      </c>
      <c r="G57" s="767" t="str">
        <f>IF('2.2- Amortissement'!E13=0,"",'2.2- Amortissement'!E13)</f>
        <v/>
      </c>
      <c r="H57" s="767" t="str">
        <f>IF('2.2- Amortissement'!D13=0,"",'2.2- Amortissement'!D13)</f>
        <v/>
      </c>
      <c r="I57" s="768" t="str">
        <f>IF('2.2- Amortissement'!I13=0,"",'2.2- Amortissement'!I13)</f>
        <v/>
      </c>
      <c r="J57" s="2028"/>
      <c r="K57" s="1028" t="str">
        <f>IF('2.2- Amortissement'!AJ13=0,"",'2.2- Amortissement'!AJ13)</f>
        <v/>
      </c>
    </row>
    <row r="58" spans="5:20" ht="24">
      <c r="E58" s="2053" t="s">
        <v>614</v>
      </c>
      <c r="F58" s="2054"/>
      <c r="G58" s="2054"/>
      <c r="H58" s="2054"/>
      <c r="I58" s="2054"/>
      <c r="J58" s="2054"/>
      <c r="K58" s="2055"/>
    </row>
    <row r="59" spans="5:20" ht="21.95">
      <c r="E59" s="1026">
        <f>IF('5- Contribution en nature'!B9=0,"",'5- Contribution en nature'!B9)</f>
        <v>1</v>
      </c>
      <c r="F59" s="767" t="str">
        <f>IF('5- Contribution en nature'!C9=0,"",'5- Contribution en nature'!C9)</f>
        <v/>
      </c>
      <c r="G59" s="767" t="str">
        <f>IF('5- Contribution en nature'!E9=0,"",'5- Contribution en nature'!E9)</f>
        <v/>
      </c>
      <c r="H59" s="767" t="str">
        <f>IF('5- Contribution en nature'!D9=0,"",'5- Contribution en nature'!D9)</f>
        <v/>
      </c>
      <c r="I59" s="1025" t="str">
        <f>IF('5- Contribution en nature'!F9=0,"",'5- Contribution en nature'!F9)</f>
        <v/>
      </c>
      <c r="J59" s="2036" t="s">
        <v>612</v>
      </c>
      <c r="K59" s="1029" t="str">
        <f>IF('5- Contribution en nature'!Z9=0,"",'5- Contribution en nature'!Z9)</f>
        <v/>
      </c>
    </row>
    <row r="60" spans="5:20" ht="21.95">
      <c r="E60" s="1026">
        <f>IF('5- Contribution en nature'!B10=0,"",'5- Contribution en nature'!B10)</f>
        <v>2</v>
      </c>
      <c r="F60" s="767" t="str">
        <f>IF('5- Contribution en nature'!C10=0,"",'5- Contribution en nature'!C10)</f>
        <v/>
      </c>
      <c r="G60" s="767" t="str">
        <f>IF('5- Contribution en nature'!E10=0,"",'5- Contribution en nature'!E10)</f>
        <v/>
      </c>
      <c r="H60" s="767" t="str">
        <f>IF('5- Contribution en nature'!D10=0,"",'5- Contribution en nature'!D10)</f>
        <v/>
      </c>
      <c r="I60" s="1025" t="str">
        <f>IF('5- Contribution en nature'!F10=0,"",'5- Contribution en nature'!F10)</f>
        <v/>
      </c>
      <c r="J60" s="2036"/>
      <c r="K60" s="1029" t="str">
        <f>IF('5- Contribution en nature'!Z10=0,"",'5- Contribution en nature'!Z10)</f>
        <v/>
      </c>
    </row>
    <row r="61" spans="5:20" ht="29.1">
      <c r="E61" s="1026">
        <f>IF('5- Contribution en nature'!B11=0,"",'5- Contribution en nature'!B11)</f>
        <v>3</v>
      </c>
      <c r="F61" s="767" t="str">
        <f>IF('5- Contribution en nature'!C11=0,"",'5- Contribution en nature'!C11)</f>
        <v/>
      </c>
      <c r="G61" s="767" t="str">
        <f>IF('5- Contribution en nature'!E11=0,"",'5- Contribution en nature'!E11)</f>
        <v/>
      </c>
      <c r="H61" s="767" t="str">
        <f>IF('5- Contribution en nature'!D11=0,"",'5- Contribution en nature'!D11)</f>
        <v/>
      </c>
      <c r="I61" s="1025" t="str">
        <f>IF('5- Contribution en nature'!F11=0,"",'5- Contribution en nature'!F11)</f>
        <v/>
      </c>
      <c r="J61" s="2036"/>
      <c r="K61" s="1029" t="str">
        <f>IF('5- Contribution en nature'!Z11=0,"",'5- Contribution en nature'!Z11)</f>
        <v/>
      </c>
      <c r="L61" s="769"/>
      <c r="M61" s="770"/>
      <c r="N61" s="770"/>
      <c r="O61" s="770"/>
      <c r="P61" s="770"/>
      <c r="Q61" s="770"/>
      <c r="R61" s="770"/>
      <c r="S61" s="770"/>
      <c r="T61" s="770"/>
    </row>
    <row r="62" spans="5:20" ht="29.1">
      <c r="E62" s="1026">
        <f>IF('5- Contribution en nature'!B12=0,"",'5- Contribution en nature'!B12)</f>
        <v>4</v>
      </c>
      <c r="F62" s="767" t="str">
        <f>IF('5- Contribution en nature'!C12=0,"",'5- Contribution en nature'!C12)</f>
        <v/>
      </c>
      <c r="G62" s="767" t="str">
        <f>IF('5- Contribution en nature'!E12=0,"",'5- Contribution en nature'!E12)</f>
        <v/>
      </c>
      <c r="H62" s="767" t="str">
        <f>IF('5- Contribution en nature'!D12=0,"",'5- Contribution en nature'!D12)</f>
        <v/>
      </c>
      <c r="I62" s="1025" t="str">
        <f>IF('5- Contribution en nature'!F12=0,"",'5- Contribution en nature'!F12)</f>
        <v/>
      </c>
      <c r="J62" s="2036"/>
      <c r="K62" s="1029" t="str">
        <f>IF('5- Contribution en nature'!Z12=0,"",'5- Contribution en nature'!Z12)</f>
        <v/>
      </c>
      <c r="L62" s="771"/>
      <c r="M62" s="770"/>
      <c r="N62" s="2037"/>
      <c r="O62" s="2037"/>
      <c r="P62" s="2037"/>
      <c r="Q62" s="2037"/>
      <c r="R62" s="2037"/>
      <c r="S62" s="2037"/>
      <c r="T62" s="770"/>
    </row>
    <row r="63" spans="5:20" ht="24">
      <c r="E63" s="1026">
        <f>IF('5- Contribution en nature'!B13=0,"",'5- Contribution en nature'!B13)</f>
        <v>5</v>
      </c>
      <c r="F63" s="767" t="str">
        <f>IF('5- Contribution en nature'!C13=0,"",'5- Contribution en nature'!C13)</f>
        <v/>
      </c>
      <c r="G63" s="767" t="str">
        <f>IF('5- Contribution en nature'!E13=0,"",'5- Contribution en nature'!E13)</f>
        <v/>
      </c>
      <c r="H63" s="767" t="str">
        <f>IF('5- Contribution en nature'!D13=0,"",'5- Contribution en nature'!D13)</f>
        <v/>
      </c>
      <c r="I63" s="1025" t="str">
        <f>IF('5- Contribution en nature'!F13=0,"",'5- Contribution en nature'!F13)</f>
        <v/>
      </c>
      <c r="J63" s="2036"/>
      <c r="K63" s="1029" t="str">
        <f>IF('5- Contribution en nature'!Z13=0,"",'5- Contribution en nature'!Z13)</f>
        <v/>
      </c>
      <c r="L63" s="772"/>
      <c r="M63" s="770"/>
      <c r="N63" s="772"/>
      <c r="O63" s="772"/>
      <c r="P63" s="772"/>
      <c r="Q63" s="772"/>
      <c r="R63" s="772"/>
      <c r="S63" s="772"/>
      <c r="T63" s="770"/>
    </row>
    <row r="64" spans="5:20" ht="24">
      <c r="E64" s="2053" t="s">
        <v>438</v>
      </c>
      <c r="F64" s="2054"/>
      <c r="G64" s="2054"/>
      <c r="H64" s="2054"/>
      <c r="I64" s="2054"/>
      <c r="J64" s="2054"/>
      <c r="K64" s="2055"/>
      <c r="L64" s="773"/>
      <c r="M64" s="770"/>
      <c r="N64" s="2056"/>
      <c r="O64" s="2056"/>
      <c r="P64" s="2056"/>
      <c r="Q64" s="2056"/>
      <c r="R64" s="2056"/>
      <c r="S64" s="2056"/>
      <c r="T64" s="770"/>
    </row>
    <row r="65" spans="5:20" ht="23.45" customHeight="1">
      <c r="E65" s="1026">
        <f>IF('1- Frais personnel'!B9=0,"",'1- Frais personnel'!B9)</f>
        <v>1</v>
      </c>
      <c r="F65" s="767" t="str">
        <f>IF('1- Frais personnel'!C9=0,"",'1- Frais personnel'!C9)</f>
        <v/>
      </c>
      <c r="G65" s="767" t="str">
        <f>IF('1- Frais personnel'!E9=0,"",'1- Frais personnel'!E9)</f>
        <v/>
      </c>
      <c r="H65" s="767" t="str">
        <f>IF('1- Frais personnel'!D9=0,"",'1- Frais personnel'!D9)</f>
        <v/>
      </c>
      <c r="I65" s="1025" t="str">
        <f>IF('1- Frais personnel'!O9=0,"",'1- Frais personnel'!O9)</f>
        <v/>
      </c>
      <c r="J65" s="2036" t="s">
        <v>612</v>
      </c>
      <c r="K65" s="1027" t="str">
        <f>IF('1- Frais personnel'!AL9=0,"",'1- Frais personnel'!AL9)</f>
        <v/>
      </c>
      <c r="L65" s="773"/>
      <c r="M65" s="770"/>
      <c r="N65" s="774"/>
      <c r="O65" s="774"/>
      <c r="P65" s="774"/>
      <c r="Q65" s="775"/>
      <c r="R65" s="775"/>
      <c r="S65" s="775"/>
      <c r="T65" s="770"/>
    </row>
    <row r="66" spans="5:20" ht="21.95">
      <c r="E66" s="1026">
        <f>IF('1- Frais personnel'!B10=0,"",'1- Frais personnel'!B10)</f>
        <v>2</v>
      </c>
      <c r="F66" s="767" t="str">
        <f>IF('1- Frais personnel'!C10=0,"",'1- Frais personnel'!C10)</f>
        <v/>
      </c>
      <c r="G66" s="767" t="str">
        <f>IF('1- Frais personnel'!E10=0,"",'1- Frais personnel'!E10)</f>
        <v/>
      </c>
      <c r="H66" s="767" t="str">
        <f>IF('1- Frais personnel'!D10=0,"",'1- Frais personnel'!D10)</f>
        <v/>
      </c>
      <c r="I66" s="1025" t="str">
        <f>IF('1- Frais personnel'!O10=0,"",'1- Frais personnel'!O10)</f>
        <v/>
      </c>
      <c r="J66" s="2036"/>
      <c r="K66" s="1027" t="str">
        <f>IF('1- Frais personnel'!AL10=0,"",'1- Frais personnel'!AL10)</f>
        <v/>
      </c>
      <c r="L66" s="773"/>
      <c r="M66" s="770"/>
      <c r="N66" s="774"/>
      <c r="O66" s="774"/>
      <c r="P66" s="774"/>
      <c r="Q66" s="775"/>
      <c r="R66" s="775"/>
      <c r="S66" s="775"/>
      <c r="T66" s="770"/>
    </row>
    <row r="67" spans="5:20" ht="21.95">
      <c r="E67" s="1026">
        <f>IF('1- Frais personnel'!B11=0,"",'1- Frais personnel'!B11)</f>
        <v>3</v>
      </c>
      <c r="F67" s="767" t="str">
        <f>IF('1- Frais personnel'!C11=0,"",'1- Frais personnel'!C11)</f>
        <v/>
      </c>
      <c r="G67" s="767" t="str">
        <f>IF('1- Frais personnel'!E11=0,"",'1- Frais personnel'!E11)</f>
        <v/>
      </c>
      <c r="H67" s="767" t="str">
        <f>IF('1- Frais personnel'!D11=0,"",'1- Frais personnel'!D11)</f>
        <v/>
      </c>
      <c r="I67" s="1025" t="str">
        <f>IF('1- Frais personnel'!O11=0,"",'1- Frais personnel'!O11)</f>
        <v/>
      </c>
      <c r="J67" s="2036"/>
      <c r="K67" s="1027" t="str">
        <f>IF('1- Frais personnel'!AL11=0,"",'1- Frais personnel'!AL11)</f>
        <v/>
      </c>
      <c r="L67" s="773"/>
      <c r="M67" s="770"/>
      <c r="N67" s="774"/>
      <c r="O67" s="774"/>
      <c r="P67" s="774"/>
      <c r="Q67" s="775"/>
      <c r="R67" s="775"/>
      <c r="S67" s="775"/>
      <c r="T67" s="770"/>
    </row>
    <row r="68" spans="5:20" ht="21.95">
      <c r="E68" s="1026">
        <f>IF('1- Frais personnel'!B12=0,"",'1- Frais personnel'!B12)</f>
        <v>4</v>
      </c>
      <c r="F68" s="767" t="str">
        <f>IF('1- Frais personnel'!C12=0,"",'1- Frais personnel'!C12)</f>
        <v/>
      </c>
      <c r="G68" s="767" t="str">
        <f>IF('1- Frais personnel'!E12=0,"",'1- Frais personnel'!E12)</f>
        <v/>
      </c>
      <c r="H68" s="767" t="str">
        <f>IF('1- Frais personnel'!D12=0,"",'1- Frais personnel'!D12)</f>
        <v/>
      </c>
      <c r="I68" s="1025" t="str">
        <f>IF('1- Frais personnel'!O12=0,"",'1- Frais personnel'!O12)</f>
        <v/>
      </c>
      <c r="J68" s="2036"/>
      <c r="K68" s="1027" t="str">
        <f>IF('1- Frais personnel'!AL12=0,"",'1- Frais personnel'!AL12)</f>
        <v/>
      </c>
      <c r="L68" s="773"/>
      <c r="M68" s="770"/>
      <c r="N68" s="774"/>
      <c r="O68" s="774"/>
      <c r="P68" s="774"/>
      <c r="Q68" s="775"/>
      <c r="R68" s="775"/>
      <c r="S68" s="775"/>
      <c r="T68" s="770"/>
    </row>
    <row r="69" spans="5:20" ht="21.95">
      <c r="E69" s="1026">
        <f>IF('1- Frais personnel'!B13=0,"",'1- Frais personnel'!B13)</f>
        <v>5</v>
      </c>
      <c r="F69" s="767" t="str">
        <f>IF('1- Frais personnel'!C13=0,"",'1- Frais personnel'!C13)</f>
        <v/>
      </c>
      <c r="G69" s="767" t="str">
        <f>IF('1- Frais personnel'!E13=0,"",'1- Frais personnel'!E13)</f>
        <v/>
      </c>
      <c r="H69" s="767" t="str">
        <f>IF('1- Frais personnel'!D13=0,"",'1- Frais personnel'!D13)</f>
        <v/>
      </c>
      <c r="I69" s="1025" t="str">
        <f>IF('1- Frais personnel'!O13=0,"",'1- Frais personnel'!O13)</f>
        <v/>
      </c>
      <c r="J69" s="2036"/>
      <c r="K69" s="1027" t="str">
        <f>IF('1- Frais personnel'!AL13=0,"",'1- Frais personnel'!AL13)</f>
        <v/>
      </c>
      <c r="L69" s="773"/>
      <c r="M69" s="770"/>
      <c r="N69" s="774"/>
      <c r="O69" s="774"/>
      <c r="P69" s="774"/>
      <c r="Q69" s="775"/>
      <c r="R69" s="775"/>
      <c r="S69" s="775"/>
      <c r="T69" s="770"/>
    </row>
    <row r="70" spans="5:20" ht="24">
      <c r="E70" s="2053" t="s">
        <v>615</v>
      </c>
      <c r="F70" s="2054"/>
      <c r="G70" s="2054"/>
      <c r="H70" s="2054"/>
      <c r="I70" s="2054"/>
      <c r="J70" s="2054"/>
      <c r="K70" s="2055"/>
      <c r="L70" s="773"/>
      <c r="M70" s="770"/>
      <c r="N70" s="2056"/>
      <c r="O70" s="2056"/>
      <c r="P70" s="2056"/>
      <c r="Q70" s="2056"/>
      <c r="R70" s="2056"/>
      <c r="S70" s="2056"/>
      <c r="T70" s="770"/>
    </row>
    <row r="71" spans="5:20" ht="21.95">
      <c r="E71" s="1026">
        <f>IF('7- Taux forfaitaire'!B9=0,"",'7- Taux forfaitaire'!B9)</f>
        <v>1</v>
      </c>
      <c r="F71" s="767" t="str">
        <f>IF('7- Taux forfaitaire'!C9=0,"",'7- Taux forfaitaire'!C9)</f>
        <v>Chef de file</v>
      </c>
      <c r="G71" s="2036" t="s">
        <v>616</v>
      </c>
      <c r="H71" s="767" t="str">
        <f>IF('7- Taux forfaitaire'!D9=0,"",'7- Taux forfaitaire'!D9)</f>
        <v>Création groupes opérationnels</v>
      </c>
      <c r="I71" s="2059" t="s">
        <v>617</v>
      </c>
      <c r="J71" s="2059"/>
      <c r="K71" s="1029" t="str">
        <f>IF('7- Taux forfaitaire'!O9=0,"",'7- Taux forfaitaire'!O9)</f>
        <v/>
      </c>
      <c r="L71" s="773"/>
      <c r="M71" s="770"/>
      <c r="N71" s="774"/>
      <c r="O71" s="774"/>
      <c r="P71" s="774"/>
      <c r="Q71" s="770"/>
      <c r="R71" s="773"/>
      <c r="S71" s="775"/>
      <c r="T71" s="770"/>
    </row>
    <row r="72" spans="5:20" ht="21.95">
      <c r="E72" s="1026">
        <f>IF('7- Taux forfaitaire'!B10=0,"",'7- Taux forfaitaire'!B10)</f>
        <v>2</v>
      </c>
      <c r="F72" s="767" t="str">
        <f>IF('7- Taux forfaitaire'!C10=0,"",'7- Taux forfaitaire'!C10)</f>
        <v>Chef de file</v>
      </c>
      <c r="G72" s="2036"/>
      <c r="H72" s="767" t="str">
        <f>IF('7- Taux forfaitaire'!D10=0,"",'7- Taux forfaitaire'!D10)</f>
        <v>Projets groupes opérationnels</v>
      </c>
      <c r="I72" s="2059"/>
      <c r="J72" s="2059"/>
      <c r="K72" s="1029" t="str">
        <f>IF('7- Taux forfaitaire'!O10=0,"",'7- Taux forfaitaire'!O10)</f>
        <v/>
      </c>
      <c r="L72" s="773"/>
      <c r="M72" s="770"/>
      <c r="N72" s="774"/>
      <c r="O72" s="774"/>
      <c r="P72" s="774"/>
      <c r="Q72" s="770"/>
      <c r="R72" s="773"/>
      <c r="S72" s="775"/>
      <c r="T72" s="770"/>
    </row>
    <row r="73" spans="5:20" ht="21.95">
      <c r="E73" s="1026">
        <f>IF('7- Taux forfaitaire'!B11=0,"",'7- Taux forfaitaire'!B11)</f>
        <v>3</v>
      </c>
      <c r="F73" s="767" t="str">
        <f>IF('7- Taux forfaitaire'!C11=0,"",'7- Taux forfaitaire'!C11)</f>
        <v>Chef de file</v>
      </c>
      <c r="G73" s="2036"/>
      <c r="H73" s="767" t="str">
        <f>IF('7- Taux forfaitaire'!D11=0,"",'7- Taux forfaitaire'!D11)</f>
        <v>Diffusion résultats</v>
      </c>
      <c r="I73" s="2059"/>
      <c r="J73" s="2059"/>
      <c r="K73" s="1029" t="str">
        <f>IF('7- Taux forfaitaire'!O11=0,"",'7- Taux forfaitaire'!O11)</f>
        <v/>
      </c>
      <c r="L73" s="773"/>
      <c r="M73" s="770"/>
      <c r="N73" s="774"/>
      <c r="O73" s="774"/>
      <c r="P73" s="774"/>
      <c r="Q73" s="770"/>
      <c r="R73" s="773"/>
      <c r="S73" s="775"/>
      <c r="T73" s="770"/>
    </row>
    <row r="74" spans="5:20" ht="21.95">
      <c r="E74" s="1026">
        <f>IF('7- Taux forfaitaire'!B12=0,"",'7- Taux forfaitaire'!B12)</f>
        <v>4</v>
      </c>
      <c r="F74" s="767" t="str">
        <f>IF('7- Taux forfaitaire'!C12=0,"",'7- Taux forfaitaire'!C12)</f>
        <v>Partenaire 1</v>
      </c>
      <c r="G74" s="2036"/>
      <c r="H74" s="767" t="str">
        <f>IF('7- Taux forfaitaire'!D12=0,"",'7- Taux forfaitaire'!D12)</f>
        <v>Création groupes opérationnels</v>
      </c>
      <c r="I74" s="2059"/>
      <c r="J74" s="2059"/>
      <c r="K74" s="1029" t="str">
        <f>IF('7- Taux forfaitaire'!O12=0,"",'7- Taux forfaitaire'!O12)</f>
        <v/>
      </c>
      <c r="L74" s="773"/>
      <c r="M74" s="770"/>
      <c r="N74" s="774"/>
      <c r="O74" s="774"/>
      <c r="P74" s="774"/>
      <c r="Q74" s="770"/>
      <c r="R74" s="773"/>
      <c r="S74" s="775"/>
      <c r="T74" s="770"/>
    </row>
    <row r="75" spans="5:20" ht="21.95">
      <c r="E75" s="1026">
        <f>IF('7- Taux forfaitaire'!B13=0,"",'7- Taux forfaitaire'!B13)</f>
        <v>5</v>
      </c>
      <c r="F75" s="767" t="str">
        <f>IF('7- Taux forfaitaire'!C13=0,"",'7- Taux forfaitaire'!C13)</f>
        <v>Partenaire 1</v>
      </c>
      <c r="G75" s="2036"/>
      <c r="H75" s="767" t="str">
        <f>IF('7- Taux forfaitaire'!D13=0,"",'7- Taux forfaitaire'!D13)</f>
        <v>Projets groupes opérationnels</v>
      </c>
      <c r="I75" s="2059"/>
      <c r="J75" s="2059"/>
      <c r="K75" s="1029" t="str">
        <f>IF('7- Taux forfaitaire'!O13=0,"",'7- Taux forfaitaire'!O13)</f>
        <v/>
      </c>
      <c r="L75" s="773"/>
      <c r="M75" s="770"/>
      <c r="N75" s="774"/>
      <c r="O75" s="774"/>
      <c r="P75" s="774"/>
      <c r="Q75" s="770"/>
      <c r="R75" s="773"/>
      <c r="S75" s="775"/>
      <c r="T75" s="770"/>
    </row>
    <row r="76" spans="5:20" ht="21.95">
      <c r="E76" s="1026">
        <f>IF('7- Taux forfaitaire'!B14=0,"",'7- Taux forfaitaire'!B14)</f>
        <v>6</v>
      </c>
      <c r="F76" s="767" t="str">
        <f>IF('7- Taux forfaitaire'!C14=0,"",'7- Taux forfaitaire'!C14)</f>
        <v>Partenaire 1</v>
      </c>
      <c r="G76" s="2036"/>
      <c r="H76" s="767" t="str">
        <f>IF('7- Taux forfaitaire'!D14=0,"",'7- Taux forfaitaire'!D14)</f>
        <v>Diffusion résultats</v>
      </c>
      <c r="I76" s="2059"/>
      <c r="J76" s="2059"/>
      <c r="K76" s="1029" t="str">
        <f>IF('7- Taux forfaitaire'!O14=0,"",'7- Taux forfaitaire'!O14)</f>
        <v/>
      </c>
      <c r="L76" s="773"/>
      <c r="M76" s="770"/>
      <c r="N76" s="774"/>
      <c r="O76" s="774"/>
      <c r="P76" s="774"/>
      <c r="Q76" s="770"/>
      <c r="R76" s="773"/>
      <c r="S76" s="775"/>
      <c r="T76" s="770"/>
    </row>
    <row r="77" spans="5:20" ht="21.95">
      <c r="E77" s="1026">
        <f>IF('7- Taux forfaitaire'!B15=0,"",'7- Taux forfaitaire'!B15)</f>
        <v>7</v>
      </c>
      <c r="F77" s="767" t="str">
        <f>IF('7- Taux forfaitaire'!C15=0,"",'7- Taux forfaitaire'!C15)</f>
        <v>Partenaire 2</v>
      </c>
      <c r="G77" s="2036"/>
      <c r="H77" s="767" t="str">
        <f>IF('7- Taux forfaitaire'!D15=0,"",'7- Taux forfaitaire'!D15)</f>
        <v>Création groupes opérationnels</v>
      </c>
      <c r="I77" s="2059"/>
      <c r="J77" s="2059"/>
      <c r="K77" s="1029" t="str">
        <f>IF('7- Taux forfaitaire'!O15=0,"",'7- Taux forfaitaire'!O15)</f>
        <v/>
      </c>
      <c r="L77" s="773"/>
      <c r="M77" s="770"/>
      <c r="N77" s="774"/>
      <c r="O77" s="774"/>
      <c r="P77" s="774"/>
      <c r="Q77" s="770"/>
      <c r="R77" s="773"/>
      <c r="S77" s="775"/>
      <c r="T77" s="770"/>
    </row>
    <row r="78" spans="5:20" ht="21.95">
      <c r="E78" s="1026">
        <f>IF('7- Taux forfaitaire'!B16=0,"",'7- Taux forfaitaire'!B16)</f>
        <v>8</v>
      </c>
      <c r="F78" s="767" t="str">
        <f>IF('7- Taux forfaitaire'!C16=0,"",'7- Taux forfaitaire'!C16)</f>
        <v>Partenaire 2</v>
      </c>
      <c r="G78" s="2036"/>
      <c r="H78" s="767" t="str">
        <f>IF('7- Taux forfaitaire'!D16=0,"",'7- Taux forfaitaire'!D16)</f>
        <v>Projets groupes opérationnels</v>
      </c>
      <c r="I78" s="2059"/>
      <c r="J78" s="2059"/>
      <c r="K78" s="1029" t="str">
        <f>IF('7- Taux forfaitaire'!O16=0,"",'7- Taux forfaitaire'!O16)</f>
        <v/>
      </c>
      <c r="L78" s="773"/>
      <c r="M78" s="770"/>
      <c r="N78" s="774"/>
      <c r="O78" s="774"/>
      <c r="P78" s="774"/>
      <c r="Q78" s="770"/>
      <c r="R78" s="773"/>
      <c r="S78" s="775"/>
      <c r="T78" s="770"/>
    </row>
    <row r="79" spans="5:20" ht="18.75" customHeight="1">
      <c r="E79" s="1026">
        <f>IF('7- Taux forfaitaire'!B17=0,"",'7- Taux forfaitaire'!B17)</f>
        <v>9</v>
      </c>
      <c r="F79" s="767" t="str">
        <f>IF('7- Taux forfaitaire'!C17=0,"",'7- Taux forfaitaire'!C17)</f>
        <v>Partenaire 2</v>
      </c>
      <c r="G79" s="2036"/>
      <c r="H79" s="767" t="str">
        <f>IF('7- Taux forfaitaire'!D17=0,"",'7- Taux forfaitaire'!D17)</f>
        <v>Diffusion résultats</v>
      </c>
      <c r="I79" s="2059"/>
      <c r="J79" s="2059"/>
      <c r="K79" s="1029" t="str">
        <f>IF('7- Taux forfaitaire'!O17=0,"",'7- Taux forfaitaire'!O17)</f>
        <v/>
      </c>
      <c r="L79" s="773"/>
      <c r="M79" s="770"/>
      <c r="N79" s="774"/>
      <c r="O79" s="774"/>
      <c r="P79" s="774"/>
      <c r="Q79" s="770"/>
      <c r="R79" s="773"/>
      <c r="S79" s="775"/>
      <c r="T79" s="770"/>
    </row>
    <row r="80" spans="5:20" ht="18.75" customHeight="1">
      <c r="E80" s="1026">
        <f>IF('7- Taux forfaitaire'!B18=0,"",'7- Taux forfaitaire'!B18)</f>
        <v>10</v>
      </c>
      <c r="F80" s="767" t="str">
        <f>IF('7- Taux forfaitaire'!C18=0,"",'7- Taux forfaitaire'!C18)</f>
        <v>Partenaire 3</v>
      </c>
      <c r="G80" s="2036"/>
      <c r="H80" s="767" t="str">
        <f>IF('7- Taux forfaitaire'!D18=0,"",'7- Taux forfaitaire'!D18)</f>
        <v>Création groupes opérationnels</v>
      </c>
      <c r="I80" s="2059"/>
      <c r="J80" s="2059"/>
      <c r="K80" s="1029" t="str">
        <f>IF('7- Taux forfaitaire'!O18=0,"",'7- Taux forfaitaire'!O18)</f>
        <v/>
      </c>
      <c r="L80" s="773"/>
      <c r="M80" s="770"/>
      <c r="N80" s="774"/>
      <c r="O80" s="774"/>
      <c r="P80" s="774"/>
      <c r="Q80" s="770"/>
      <c r="R80" s="773"/>
      <c r="S80" s="775"/>
      <c r="T80" s="770"/>
    </row>
    <row r="81" spans="5:20" ht="18.75" customHeight="1">
      <c r="E81" s="2053" t="s">
        <v>441</v>
      </c>
      <c r="F81" s="2054"/>
      <c r="G81" s="2054"/>
      <c r="H81" s="2054"/>
      <c r="I81" s="2054"/>
      <c r="J81" s="2054"/>
      <c r="K81" s="2055"/>
      <c r="L81" s="773"/>
      <c r="M81" s="770"/>
      <c r="N81" s="2056"/>
      <c r="O81" s="2056"/>
      <c r="P81" s="2056"/>
      <c r="Q81" s="2056"/>
      <c r="R81" s="2056"/>
      <c r="S81" s="2056"/>
      <c r="T81" s="771"/>
    </row>
    <row r="82" spans="5:20" ht="18.75" customHeight="1">
      <c r="E82" s="1026">
        <f>IF('4- Déplacement &amp; hébergement'!B10=0,"",'4- Déplacement &amp; hébergement'!B10)</f>
        <v>1</v>
      </c>
      <c r="F82" s="767" t="str">
        <f>IF('4- Déplacement &amp; hébergement'!C10=0,"",'4- Déplacement &amp; hébergement'!C10)</f>
        <v/>
      </c>
      <c r="G82" s="767" t="str">
        <f>IF('4- Déplacement &amp; hébergement'!E10=0,"",'4- Déplacement &amp; hébergement'!E10)</f>
        <v/>
      </c>
      <c r="H82" s="767" t="str">
        <f>IF('4- Déplacement &amp; hébergement'!D10=0,"",'4- Déplacement &amp; hébergement'!D10)</f>
        <v/>
      </c>
      <c r="I82" s="2036" t="s">
        <v>612</v>
      </c>
      <c r="J82" s="2036"/>
      <c r="K82" s="1029" t="str">
        <f>IF('4- Déplacement &amp; hébergement'!BH10=0,"",'4- Déplacement &amp; hébergement'!BH10)</f>
        <v/>
      </c>
      <c r="L82" s="773"/>
      <c r="M82" s="770"/>
      <c r="N82" s="770"/>
      <c r="O82" s="770"/>
      <c r="P82" s="770"/>
      <c r="Q82" s="770"/>
      <c r="R82" s="770"/>
      <c r="S82" s="770"/>
      <c r="T82" s="770"/>
    </row>
    <row r="83" spans="5:20" ht="18.75" customHeight="1">
      <c r="E83" s="1026">
        <f>IF('4- Déplacement &amp; hébergement'!B11=0,"",'4- Déplacement &amp; hébergement'!B11)</f>
        <v>2</v>
      </c>
      <c r="F83" s="767" t="str">
        <f>IF('4- Déplacement &amp; hébergement'!C11=0,"",'4- Déplacement &amp; hébergement'!C11)</f>
        <v/>
      </c>
      <c r="G83" s="767" t="str">
        <f>IF('4- Déplacement &amp; hébergement'!E11=0,"",'4- Déplacement &amp; hébergement'!E11)</f>
        <v/>
      </c>
      <c r="H83" s="767" t="str">
        <f>IF('4- Déplacement &amp; hébergement'!D11=0,"",'4- Déplacement &amp; hébergement'!D11)</f>
        <v/>
      </c>
      <c r="I83" s="2036"/>
      <c r="J83" s="2036"/>
      <c r="K83" s="1029" t="str">
        <f>IF('4- Déplacement &amp; hébergement'!BH11=0,"",'4- Déplacement &amp; hébergement'!BH11)</f>
        <v/>
      </c>
      <c r="L83" s="773"/>
      <c r="M83" s="770"/>
      <c r="N83" s="770"/>
      <c r="O83" s="770"/>
      <c r="P83" s="770"/>
      <c r="Q83" s="770"/>
      <c r="R83" s="770"/>
      <c r="S83" s="770"/>
      <c r="T83" s="770"/>
    </row>
    <row r="84" spans="5:20" ht="21.95">
      <c r="E84" s="1026">
        <f>IF('4- Déplacement &amp; hébergement'!B12=0,"",'4- Déplacement &amp; hébergement'!B12)</f>
        <v>3</v>
      </c>
      <c r="F84" s="767" t="str">
        <f>IF('4- Déplacement &amp; hébergement'!C12=0,"",'4- Déplacement &amp; hébergement'!C12)</f>
        <v/>
      </c>
      <c r="G84" s="767" t="str">
        <f>IF('4- Déplacement &amp; hébergement'!E12=0,"",'4- Déplacement &amp; hébergement'!E12)</f>
        <v/>
      </c>
      <c r="H84" s="767" t="str">
        <f>IF('4- Déplacement &amp; hébergement'!D12=0,"",'4- Déplacement &amp; hébergement'!D12)</f>
        <v/>
      </c>
      <c r="I84" s="2036"/>
      <c r="J84" s="2036"/>
      <c r="K84" s="1029" t="str">
        <f>IF('4- Déplacement &amp; hébergement'!BH12=0,"",'4- Déplacement &amp; hébergement'!BH12)</f>
        <v/>
      </c>
      <c r="L84" s="773"/>
      <c r="M84" s="770"/>
      <c r="N84" s="770"/>
      <c r="O84" s="770"/>
      <c r="P84" s="770"/>
      <c r="Q84" s="770"/>
      <c r="R84" s="770"/>
      <c r="S84" s="770"/>
      <c r="T84" s="770"/>
    </row>
    <row r="85" spans="5:20" ht="23.45" customHeight="1">
      <c r="E85" s="1026">
        <f>IF('4- Déplacement &amp; hébergement'!B13=0,"",'4- Déplacement &amp; hébergement'!B13)</f>
        <v>4</v>
      </c>
      <c r="F85" s="767" t="str">
        <f>IF('4- Déplacement &amp; hébergement'!C13=0,"",'4- Déplacement &amp; hébergement'!C13)</f>
        <v/>
      </c>
      <c r="G85" s="767" t="str">
        <f>IF('4- Déplacement &amp; hébergement'!E13=0,"",'4- Déplacement &amp; hébergement'!E13)</f>
        <v/>
      </c>
      <c r="H85" s="767" t="str">
        <f>IF('4- Déplacement &amp; hébergement'!D13=0,"",'4- Déplacement &amp; hébergement'!D13)</f>
        <v/>
      </c>
      <c r="I85" s="2036"/>
      <c r="J85" s="2036"/>
      <c r="K85" s="1029" t="str">
        <f>IF('4- Déplacement &amp; hébergement'!BH13=0,"",'4- Déplacement &amp; hébergement'!BH13)</f>
        <v/>
      </c>
      <c r="L85" s="773"/>
      <c r="M85" s="770"/>
      <c r="N85" s="770"/>
      <c r="O85" s="770"/>
      <c r="P85" s="770"/>
      <c r="Q85" s="770"/>
      <c r="R85" s="770"/>
      <c r="S85" s="770"/>
      <c r="T85" s="770"/>
    </row>
    <row r="86" spans="5:20" ht="18.75" customHeight="1">
      <c r="E86" s="1026">
        <f>IF('4- Déplacement &amp; hébergement'!B14=0,"",'4- Déplacement &amp; hébergement'!B14)</f>
        <v>5</v>
      </c>
      <c r="F86" s="767" t="str">
        <f>IF('4- Déplacement &amp; hébergement'!C14=0,"",'4- Déplacement &amp; hébergement'!C14)</f>
        <v/>
      </c>
      <c r="G86" s="767" t="str">
        <f>IF('4- Déplacement &amp; hébergement'!E14=0,"",'4- Déplacement &amp; hébergement'!E14)</f>
        <v/>
      </c>
      <c r="H86" s="767" t="str">
        <f>IF('4- Déplacement &amp; hébergement'!D14=0,"",'4- Déplacement &amp; hébergement'!D14)</f>
        <v/>
      </c>
      <c r="I86" s="2036"/>
      <c r="J86" s="2036"/>
      <c r="K86" s="1029" t="str">
        <f>IF('4- Déplacement &amp; hébergement'!BH14=0,"",'4- Déplacement &amp; hébergement'!BH14)</f>
        <v/>
      </c>
      <c r="L86" s="773"/>
      <c r="M86" s="770"/>
      <c r="N86" s="770"/>
      <c r="O86" s="770"/>
      <c r="P86" s="770"/>
      <c r="Q86" s="770"/>
      <c r="R86" s="770"/>
      <c r="S86" s="770"/>
      <c r="T86" s="770"/>
    </row>
    <row r="87" spans="5:20" ht="18.75" customHeight="1">
      <c r="E87" s="2053" t="s">
        <v>618</v>
      </c>
      <c r="F87" s="2054"/>
      <c r="G87" s="2054"/>
      <c r="H87" s="2054"/>
      <c r="I87" s="2054"/>
      <c r="J87" s="2054"/>
      <c r="K87" s="2055"/>
      <c r="L87" s="773"/>
      <c r="M87" s="770"/>
      <c r="N87" s="770"/>
      <c r="O87" s="770"/>
      <c r="P87" s="770"/>
      <c r="Q87" s="770"/>
      <c r="R87" s="770"/>
      <c r="S87" s="770"/>
      <c r="T87" s="770"/>
    </row>
    <row r="88" spans="5:20" ht="18.75" customHeight="1">
      <c r="E88" s="1026">
        <f>IF('6- Coût participation agri'!B9=0,"",'6- Coût participation agri'!B9)</f>
        <v>1</v>
      </c>
      <c r="F88" s="767" t="str">
        <f>IF('6- Coût participation agri'!C9=0,"",'6- Coût participation agri'!C9)</f>
        <v/>
      </c>
      <c r="G88" s="767" t="str">
        <f>IF('6- Coût participation agri'!E9=0,"",'6- Coût participation agri'!E9)</f>
        <v/>
      </c>
      <c r="H88" s="767" t="str">
        <f>IF('6- Coût participation agri'!D9=0,"",'6- Coût participation agri'!D9)</f>
        <v/>
      </c>
      <c r="I88" s="2036" t="s">
        <v>612</v>
      </c>
      <c r="J88" s="2036"/>
      <c r="K88" s="1028" t="str">
        <f>IF('6- Coût participation agri'!AB9=0,"",'6- Coût participation agri'!AB9)</f>
        <v/>
      </c>
      <c r="L88" s="773"/>
      <c r="M88" s="770"/>
      <c r="N88" s="770"/>
      <c r="O88" s="770"/>
      <c r="P88" s="770"/>
      <c r="Q88" s="770"/>
      <c r="R88" s="770"/>
      <c r="S88" s="770"/>
      <c r="T88" s="770"/>
    </row>
    <row r="89" spans="5:20" ht="18.75" customHeight="1">
      <c r="E89" s="1026">
        <f>IF('6- Coût participation agri'!B10=0,"",'6- Coût participation agri'!B10)</f>
        <v>2</v>
      </c>
      <c r="F89" s="767" t="str">
        <f>IF('6- Coût participation agri'!C10=0,"",'6- Coût participation agri'!C10)</f>
        <v/>
      </c>
      <c r="G89" s="767" t="str">
        <f>IF('6- Coût participation agri'!E10=0,"",'6- Coût participation agri'!E10)</f>
        <v/>
      </c>
      <c r="H89" s="767" t="str">
        <f>IF('6- Coût participation agri'!D10=0,"",'6- Coût participation agri'!D10)</f>
        <v/>
      </c>
      <c r="I89" s="2036"/>
      <c r="J89" s="2036"/>
      <c r="K89" s="1028" t="str">
        <f>IF('6- Coût participation agri'!AB10=0,"",'6- Coût participation agri'!AB10)</f>
        <v/>
      </c>
      <c r="L89" s="773"/>
      <c r="M89" s="770"/>
      <c r="N89" s="770"/>
      <c r="O89" s="770"/>
      <c r="P89" s="770"/>
      <c r="Q89" s="770"/>
      <c r="R89" s="770"/>
      <c r="S89" s="770"/>
      <c r="T89" s="770"/>
    </row>
    <row r="90" spans="5:20" ht="18.75" customHeight="1">
      <c r="E90" s="1026">
        <f>IF('6- Coût participation agri'!B11=0,"",'6- Coût participation agri'!B11)</f>
        <v>3</v>
      </c>
      <c r="F90" s="767" t="str">
        <f>IF('6- Coût participation agri'!C11=0,"",'6- Coût participation agri'!C11)</f>
        <v/>
      </c>
      <c r="G90" s="767" t="str">
        <f>IF('6- Coût participation agri'!E11=0,"",'6- Coût participation agri'!E11)</f>
        <v/>
      </c>
      <c r="H90" s="767" t="str">
        <f>IF('6- Coût participation agri'!D11=0,"",'6- Coût participation agri'!D11)</f>
        <v/>
      </c>
      <c r="I90" s="2036"/>
      <c r="J90" s="2036"/>
      <c r="K90" s="1028" t="str">
        <f>IF('6- Coût participation agri'!AB11=0,"",'6- Coût participation agri'!AB11)</f>
        <v/>
      </c>
      <c r="L90" s="773"/>
      <c r="M90" s="770"/>
      <c r="N90" s="770"/>
      <c r="O90" s="770"/>
      <c r="P90" s="770"/>
      <c r="Q90" s="770"/>
      <c r="R90" s="770"/>
      <c r="S90" s="770"/>
      <c r="T90" s="770"/>
    </row>
    <row r="91" spans="5:20" ht="21.95">
      <c r="E91" s="1026">
        <f>IF('6- Coût participation agri'!B12=0,"",'6- Coût participation agri'!B12)</f>
        <v>4</v>
      </c>
      <c r="F91" s="767" t="str">
        <f>IF('6- Coût participation agri'!C12=0,"",'6- Coût participation agri'!C12)</f>
        <v/>
      </c>
      <c r="G91" s="767" t="str">
        <f>IF('6- Coût participation agri'!E12=0,"",'6- Coût participation agri'!E12)</f>
        <v/>
      </c>
      <c r="H91" s="767" t="str">
        <f>IF('6- Coût participation agri'!D12=0,"",'6- Coût participation agri'!D12)</f>
        <v/>
      </c>
      <c r="I91" s="2036"/>
      <c r="J91" s="2036"/>
      <c r="K91" s="1028" t="str">
        <f>IF('6- Coût participation agri'!AB12=0,"",'6- Coût participation agri'!AB12)</f>
        <v/>
      </c>
      <c r="L91" s="773"/>
      <c r="M91" s="770"/>
      <c r="N91" s="770"/>
      <c r="O91" s="770"/>
      <c r="P91" s="770"/>
      <c r="Q91" s="770"/>
      <c r="R91" s="770"/>
      <c r="S91" s="770"/>
      <c r="T91" s="770"/>
    </row>
    <row r="92" spans="5:20" ht="23.1" thickBot="1">
      <c r="E92" s="1033">
        <f>IF('6- Coût participation agri'!B13=0,"",'6- Coût participation agri'!B13)</f>
        <v>5</v>
      </c>
      <c r="F92" s="1030" t="str">
        <f>IF('6- Coût participation agri'!C13=0,"",'6- Coût participation agri'!C13)</f>
        <v/>
      </c>
      <c r="G92" s="1030" t="str">
        <f>IF('6- Coût participation agri'!E13=0,"",'6- Coût participation agri'!E13)</f>
        <v/>
      </c>
      <c r="H92" s="1030" t="str">
        <f>IF('6- Coût participation agri'!D13=0,"",'6- Coût participation agri'!D13)</f>
        <v/>
      </c>
      <c r="I92" s="2060"/>
      <c r="J92" s="2060"/>
      <c r="K92" s="1031" t="str">
        <f>IF('6- Coût participation agri'!AB13=0,"",'6- Coût participation agri'!AB13)</f>
        <v/>
      </c>
      <c r="L92" s="773"/>
      <c r="M92" s="770"/>
      <c r="N92" s="770"/>
      <c r="O92" s="770"/>
      <c r="P92" s="770"/>
      <c r="Q92" s="770"/>
      <c r="R92" s="770"/>
      <c r="S92" s="770"/>
      <c r="T92" s="770"/>
    </row>
    <row r="93" spans="5:20" ht="18.95">
      <c r="E93" s="773"/>
      <c r="F93" s="773"/>
      <c r="G93" s="773"/>
      <c r="H93" s="773"/>
      <c r="I93" s="773"/>
      <c r="J93" s="773"/>
      <c r="K93" s="773"/>
      <c r="L93" s="773"/>
      <c r="M93" s="770"/>
      <c r="N93" s="770"/>
      <c r="O93" s="770"/>
      <c r="P93" s="770"/>
      <c r="Q93" s="770"/>
      <c r="R93" s="770"/>
      <c r="S93" s="770"/>
      <c r="T93" s="770"/>
    </row>
    <row r="94" spans="5:20" ht="18.95">
      <c r="E94" s="773"/>
      <c r="F94" s="773"/>
      <c r="G94" s="773"/>
      <c r="H94" s="773"/>
      <c r="I94" s="773"/>
      <c r="J94" s="773"/>
      <c r="K94" s="773"/>
      <c r="L94" s="773"/>
      <c r="M94" s="770"/>
      <c r="N94" s="770"/>
      <c r="O94" s="770"/>
      <c r="P94" s="770"/>
      <c r="Q94" s="770"/>
      <c r="R94" s="770"/>
      <c r="S94" s="770"/>
      <c r="T94" s="770"/>
    </row>
    <row r="95" spans="5:20" ht="24">
      <c r="E95" s="2056"/>
      <c r="F95" s="2056"/>
      <c r="G95" s="2056"/>
      <c r="H95" s="2056"/>
      <c r="I95" s="2056"/>
      <c r="J95" s="2056"/>
      <c r="K95" s="2056"/>
      <c r="L95" s="2056"/>
      <c r="M95" s="770"/>
      <c r="N95" s="770"/>
      <c r="O95" s="770"/>
      <c r="P95" s="770"/>
      <c r="Q95" s="770"/>
      <c r="R95" s="770"/>
      <c r="S95" s="770"/>
      <c r="T95" s="770"/>
    </row>
    <row r="96" spans="5:20" ht="24">
      <c r="E96" s="772"/>
      <c r="F96" s="772"/>
      <c r="G96" s="772"/>
      <c r="H96" s="772"/>
      <c r="I96" s="2058"/>
      <c r="J96" s="2058"/>
      <c r="K96" s="2058"/>
      <c r="L96" s="772"/>
      <c r="M96" s="770"/>
      <c r="N96" s="770"/>
      <c r="O96" s="770"/>
      <c r="P96" s="770"/>
      <c r="Q96" s="770"/>
      <c r="R96" s="770"/>
      <c r="S96" s="770"/>
      <c r="T96" s="770"/>
    </row>
    <row r="97" spans="5:20" ht="18.95">
      <c r="E97" s="776"/>
      <c r="F97" s="776"/>
      <c r="G97" s="774"/>
      <c r="H97" s="777"/>
      <c r="I97" s="2058"/>
      <c r="J97" s="2058"/>
      <c r="K97" s="2058"/>
      <c r="L97" s="778"/>
      <c r="M97" s="770"/>
      <c r="N97" s="770"/>
      <c r="O97" s="770"/>
      <c r="P97" s="770"/>
      <c r="Q97" s="770"/>
      <c r="R97" s="770"/>
      <c r="S97" s="770"/>
      <c r="T97" s="770"/>
    </row>
    <row r="98" spans="5:20" ht="18.95">
      <c r="E98" s="776"/>
      <c r="F98" s="776"/>
      <c r="G98" s="774"/>
      <c r="H98" s="777"/>
      <c r="I98" s="2058"/>
      <c r="J98" s="2058"/>
      <c r="K98" s="2058"/>
      <c r="L98" s="778"/>
      <c r="M98" s="770"/>
      <c r="N98" s="770"/>
      <c r="O98" s="770"/>
      <c r="P98" s="770"/>
      <c r="Q98" s="770"/>
      <c r="R98" s="770"/>
      <c r="S98" s="770"/>
      <c r="T98" s="770"/>
    </row>
    <row r="99" spans="5:20" ht="18.95">
      <c r="E99" s="776"/>
      <c r="F99" s="776"/>
      <c r="G99" s="774"/>
      <c r="H99" s="777"/>
      <c r="I99" s="2058"/>
      <c r="J99" s="2058"/>
      <c r="K99" s="2058"/>
      <c r="L99" s="778"/>
      <c r="M99" s="770"/>
      <c r="N99" s="770"/>
      <c r="O99" s="770"/>
      <c r="P99" s="770"/>
      <c r="Q99" s="770"/>
      <c r="R99" s="770"/>
      <c r="S99" s="770"/>
      <c r="T99" s="770"/>
    </row>
    <row r="100" spans="5:20" ht="18.95">
      <c r="E100" s="776"/>
      <c r="F100" s="776"/>
      <c r="G100" s="774"/>
      <c r="H100" s="777"/>
      <c r="I100" s="2058"/>
      <c r="J100" s="2058"/>
      <c r="K100" s="2058"/>
      <c r="L100" s="778"/>
      <c r="M100" s="770"/>
      <c r="N100" s="770"/>
      <c r="O100" s="770"/>
      <c r="P100" s="770"/>
      <c r="Q100" s="770"/>
      <c r="R100" s="770"/>
      <c r="S100" s="770"/>
      <c r="T100" s="770"/>
    </row>
    <row r="101" spans="5:20" ht="18.95">
      <c r="E101" s="776"/>
      <c r="F101" s="776"/>
      <c r="G101" s="774"/>
      <c r="H101" s="777"/>
      <c r="I101" s="2058"/>
      <c r="J101" s="2058"/>
      <c r="K101" s="2058"/>
      <c r="L101" s="778"/>
      <c r="M101" s="770"/>
      <c r="N101" s="770"/>
      <c r="O101" s="770"/>
      <c r="P101" s="770"/>
      <c r="Q101" s="770"/>
      <c r="R101" s="770"/>
      <c r="S101" s="770"/>
      <c r="T101" s="770"/>
    </row>
    <row r="102" spans="5:20" ht="18.95">
      <c r="E102" s="776"/>
      <c r="F102" s="776"/>
      <c r="G102" s="774"/>
      <c r="H102" s="777"/>
      <c r="I102" s="2058"/>
      <c r="J102" s="2058"/>
      <c r="K102" s="2058"/>
      <c r="L102" s="778"/>
      <c r="M102" s="770"/>
      <c r="N102" s="770"/>
      <c r="O102" s="770"/>
      <c r="P102" s="770"/>
      <c r="Q102" s="770"/>
      <c r="R102" s="770"/>
      <c r="S102" s="770"/>
      <c r="T102" s="770"/>
    </row>
    <row r="103" spans="5:20" ht="18.95">
      <c r="E103" s="776"/>
      <c r="F103" s="776"/>
      <c r="G103" s="774"/>
      <c r="H103" s="777"/>
      <c r="I103" s="2058"/>
      <c r="J103" s="2058"/>
      <c r="K103" s="2058"/>
      <c r="L103" s="778"/>
      <c r="M103" s="770"/>
      <c r="N103" s="770"/>
      <c r="O103" s="770"/>
      <c r="P103" s="770"/>
      <c r="Q103" s="770"/>
      <c r="R103" s="770"/>
      <c r="S103" s="770"/>
      <c r="T103" s="770"/>
    </row>
    <row r="104" spans="5:20" ht="18.95">
      <c r="E104" s="776"/>
      <c r="F104" s="776"/>
      <c r="G104" s="774"/>
      <c r="H104" s="777"/>
      <c r="I104" s="2058"/>
      <c r="J104" s="2058"/>
      <c r="K104" s="2058"/>
      <c r="L104" s="778"/>
      <c r="M104" s="770"/>
      <c r="N104" s="770"/>
      <c r="O104" s="770"/>
      <c r="P104" s="770"/>
      <c r="Q104" s="770"/>
      <c r="R104" s="770"/>
      <c r="S104" s="770"/>
      <c r="T104" s="770"/>
    </row>
    <row r="105" spans="5:20" ht="24">
      <c r="E105" s="2056"/>
      <c r="F105" s="2056"/>
      <c r="G105" s="2056"/>
      <c r="H105" s="2056"/>
      <c r="I105" s="2056"/>
      <c r="J105" s="2056"/>
      <c r="K105" s="2056"/>
      <c r="L105" s="2056"/>
      <c r="M105" s="770"/>
      <c r="N105" s="2056"/>
      <c r="O105" s="2056"/>
      <c r="P105" s="2056"/>
      <c r="Q105" s="2056"/>
      <c r="R105" s="2056"/>
      <c r="S105" s="2056"/>
      <c r="T105" s="2056"/>
    </row>
    <row r="106" spans="5:20" ht="24">
      <c r="E106" s="772"/>
      <c r="F106" s="772"/>
      <c r="G106" s="772"/>
      <c r="H106" s="772"/>
      <c r="I106" s="779"/>
      <c r="J106" s="772"/>
      <c r="K106" s="2056"/>
      <c r="L106" s="772"/>
      <c r="M106" s="770"/>
      <c r="N106" s="770"/>
      <c r="O106" s="776"/>
      <c r="P106" s="770"/>
      <c r="Q106" s="770"/>
      <c r="R106" s="775"/>
      <c r="S106" s="770"/>
      <c r="T106" s="770"/>
    </row>
    <row r="107" spans="5:20" ht="18.95">
      <c r="E107" s="776"/>
      <c r="F107" s="776"/>
      <c r="G107" s="776"/>
      <c r="H107" s="776"/>
      <c r="I107" s="780"/>
      <c r="J107" s="773"/>
      <c r="K107" s="2056"/>
      <c r="L107" s="781"/>
      <c r="M107" s="770"/>
      <c r="N107" s="770"/>
      <c r="O107" s="770"/>
      <c r="P107" s="770"/>
      <c r="Q107" s="770"/>
      <c r="R107" s="770"/>
      <c r="S107" s="770"/>
      <c r="T107" s="770"/>
    </row>
    <row r="108" spans="5:20" ht="18.95">
      <c r="E108" s="776"/>
      <c r="F108" s="776"/>
      <c r="G108" s="776"/>
      <c r="H108" s="776"/>
      <c r="I108" s="780"/>
      <c r="J108" s="773"/>
      <c r="K108" s="2056"/>
      <c r="L108" s="781"/>
      <c r="M108" s="770"/>
      <c r="N108" s="770"/>
      <c r="O108" s="770"/>
      <c r="P108" s="770"/>
      <c r="Q108" s="770"/>
      <c r="R108" s="770"/>
      <c r="S108" s="770"/>
      <c r="T108" s="770"/>
    </row>
    <row r="109" spans="5:20" ht="18.95">
      <c r="E109" s="776"/>
      <c r="F109" s="776"/>
      <c r="G109" s="776"/>
      <c r="H109" s="776"/>
      <c r="I109" s="780"/>
      <c r="J109" s="773"/>
      <c r="K109" s="2056"/>
      <c r="L109" s="781"/>
      <c r="M109" s="770"/>
      <c r="N109" s="770"/>
      <c r="O109" s="770"/>
      <c r="P109" s="770"/>
      <c r="Q109" s="770"/>
      <c r="R109" s="770"/>
      <c r="S109" s="770"/>
      <c r="T109" s="770"/>
    </row>
    <row r="110" spans="5:20" ht="18.95">
      <c r="E110" s="776"/>
      <c r="F110" s="776"/>
      <c r="G110" s="776"/>
      <c r="H110" s="776"/>
      <c r="I110" s="780"/>
      <c r="J110" s="773"/>
      <c r="K110" s="2056"/>
      <c r="L110" s="781"/>
      <c r="M110" s="770"/>
      <c r="N110" s="770"/>
      <c r="O110" s="770"/>
      <c r="P110" s="770"/>
      <c r="Q110" s="770"/>
      <c r="R110" s="770"/>
      <c r="S110" s="770"/>
      <c r="T110" s="770"/>
    </row>
    <row r="111" spans="5:20" ht="24">
      <c r="E111" s="2056"/>
      <c r="F111" s="2056"/>
      <c r="G111" s="2056"/>
      <c r="H111" s="2056"/>
      <c r="I111" s="2056"/>
      <c r="J111" s="2056"/>
      <c r="K111" s="2056"/>
      <c r="L111" s="2056"/>
      <c r="M111" s="770"/>
      <c r="N111" s="770"/>
      <c r="O111" s="770"/>
      <c r="P111" s="770"/>
      <c r="Q111" s="770"/>
      <c r="R111" s="770"/>
      <c r="S111" s="770"/>
      <c r="T111" s="770"/>
    </row>
    <row r="112" spans="5:20" ht="24">
      <c r="E112" s="772"/>
      <c r="F112" s="772"/>
      <c r="G112" s="772"/>
      <c r="H112" s="772"/>
      <c r="I112" s="779"/>
      <c r="J112" s="772"/>
      <c r="K112" s="772"/>
      <c r="L112" s="772"/>
      <c r="M112" s="770"/>
      <c r="N112" s="770"/>
      <c r="O112" s="770"/>
      <c r="P112" s="770"/>
      <c r="Q112" s="770"/>
      <c r="R112" s="770"/>
      <c r="S112" s="770"/>
      <c r="T112" s="770"/>
    </row>
    <row r="113" spans="5:20" ht="18.95">
      <c r="E113" s="776"/>
      <c r="F113" s="776"/>
      <c r="G113" s="776"/>
      <c r="H113" s="776"/>
      <c r="I113" s="780"/>
      <c r="J113" s="773"/>
      <c r="K113" s="770"/>
      <c r="L113" s="781"/>
      <c r="M113" s="770"/>
      <c r="N113" s="770"/>
      <c r="O113" s="770"/>
      <c r="P113" s="770"/>
      <c r="Q113" s="770"/>
      <c r="R113" s="770"/>
      <c r="S113" s="770"/>
      <c r="T113" s="770"/>
    </row>
    <row r="114" spans="5:20" ht="18.95">
      <c r="E114" s="776"/>
      <c r="F114" s="776"/>
      <c r="G114" s="776"/>
      <c r="H114" s="776"/>
      <c r="I114" s="780"/>
      <c r="J114" s="773"/>
      <c r="K114" s="770"/>
      <c r="L114" s="781"/>
      <c r="M114" s="770"/>
      <c r="N114" s="770"/>
      <c r="O114" s="770"/>
      <c r="P114" s="770"/>
      <c r="Q114" s="770"/>
      <c r="R114" s="770"/>
      <c r="S114" s="770"/>
      <c r="T114" s="770"/>
    </row>
    <row r="115" spans="5:20" ht="18.95">
      <c r="E115" s="776"/>
      <c r="F115" s="776"/>
      <c r="G115" s="776"/>
      <c r="H115" s="776"/>
      <c r="I115" s="780"/>
      <c r="J115" s="773"/>
      <c r="K115" s="770"/>
      <c r="L115" s="781"/>
      <c r="M115" s="770"/>
      <c r="N115" s="770"/>
      <c r="O115" s="770"/>
      <c r="P115" s="770"/>
      <c r="Q115" s="770"/>
      <c r="R115" s="770"/>
      <c r="S115" s="770"/>
      <c r="T115" s="770"/>
    </row>
    <row r="116" spans="5:20" ht="18.95">
      <c r="E116" s="776"/>
      <c r="F116" s="776"/>
      <c r="G116" s="776"/>
      <c r="H116" s="776"/>
      <c r="I116" s="780"/>
      <c r="J116" s="773"/>
      <c r="K116" s="770"/>
      <c r="L116" s="781"/>
      <c r="M116" s="770"/>
      <c r="N116" s="770"/>
      <c r="O116" s="770"/>
      <c r="P116" s="770"/>
      <c r="Q116" s="770"/>
      <c r="R116" s="770"/>
      <c r="S116" s="770"/>
      <c r="T116" s="770"/>
    </row>
    <row r="117" spans="5:20" ht="21">
      <c r="E117" s="2057"/>
      <c r="F117" s="2057"/>
      <c r="G117" s="2057"/>
      <c r="H117" s="2057"/>
      <c r="I117" s="2057"/>
      <c r="J117" s="2057"/>
      <c r="K117" s="2057"/>
      <c r="L117" s="782"/>
      <c r="M117" s="770"/>
      <c r="N117" s="770"/>
      <c r="O117" s="770"/>
      <c r="P117" s="770"/>
      <c r="Q117" s="770"/>
      <c r="R117" s="770"/>
      <c r="S117" s="770"/>
      <c r="T117" s="770"/>
    </row>
    <row r="118" spans="5:20">
      <c r="E118" s="225"/>
      <c r="F118" s="225"/>
      <c r="G118" s="225"/>
      <c r="H118" s="225"/>
      <c r="I118" s="783"/>
      <c r="J118" s="225"/>
      <c r="K118" s="225"/>
      <c r="L118" s="225"/>
      <c r="M118" s="225"/>
      <c r="N118" s="225"/>
      <c r="O118" s="225"/>
      <c r="P118" s="225"/>
      <c r="Q118" s="225"/>
      <c r="R118" s="225"/>
      <c r="S118" s="225"/>
      <c r="T118" s="225"/>
    </row>
    <row r="119" spans="5:20">
      <c r="E119" s="225"/>
      <c r="F119" s="225"/>
      <c r="G119" s="225"/>
      <c r="H119" s="225"/>
      <c r="I119" s="783"/>
      <c r="J119" s="225"/>
      <c r="K119" s="225"/>
      <c r="L119" s="225"/>
      <c r="M119" s="225"/>
      <c r="N119" s="225"/>
      <c r="O119" s="225"/>
      <c r="P119" s="225"/>
      <c r="Q119" s="225"/>
      <c r="R119" s="225"/>
      <c r="S119" s="225"/>
      <c r="T119" s="225"/>
    </row>
  </sheetData>
  <mergeCells count="53">
    <mergeCell ref="N105:T105"/>
    <mergeCell ref="N64:S64"/>
    <mergeCell ref="J65:J69"/>
    <mergeCell ref="E70:K70"/>
    <mergeCell ref="N70:S70"/>
    <mergeCell ref="G71:G80"/>
    <mergeCell ref="I71:J80"/>
    <mergeCell ref="E64:K64"/>
    <mergeCell ref="N81:S81"/>
    <mergeCell ref="I82:J86"/>
    <mergeCell ref="E87:K87"/>
    <mergeCell ref="I88:J92"/>
    <mergeCell ref="E95:L95"/>
    <mergeCell ref="E52:K52"/>
    <mergeCell ref="E58:K58"/>
    <mergeCell ref="E111:L111"/>
    <mergeCell ref="E117:K117"/>
    <mergeCell ref="E81:K81"/>
    <mergeCell ref="I96:K104"/>
    <mergeCell ref="E105:L105"/>
    <mergeCell ref="K106:K110"/>
    <mergeCell ref="G11:H11"/>
    <mergeCell ref="I11:J11"/>
    <mergeCell ref="K11:L11"/>
    <mergeCell ref="O16:AJ16"/>
    <mergeCell ref="J59:J63"/>
    <mergeCell ref="N62:S62"/>
    <mergeCell ref="E19:L19"/>
    <mergeCell ref="E22:G22"/>
    <mergeCell ref="J22:K22"/>
    <mergeCell ref="E23:F23"/>
    <mergeCell ref="E24:G24"/>
    <mergeCell ref="E37:G37"/>
    <mergeCell ref="E18:L18"/>
    <mergeCell ref="E16:L16"/>
    <mergeCell ref="E44:K44"/>
    <mergeCell ref="E46:K46"/>
    <mergeCell ref="J47:J51"/>
    <mergeCell ref="J53:J57"/>
    <mergeCell ref="E2:L2"/>
    <mergeCell ref="E4:L4"/>
    <mergeCell ref="E6:L6"/>
    <mergeCell ref="E8:L8"/>
    <mergeCell ref="E9:L9"/>
    <mergeCell ref="E13:F13"/>
    <mergeCell ref="G13:H13"/>
    <mergeCell ref="I13:J13"/>
    <mergeCell ref="K13:L13"/>
    <mergeCell ref="E15:F15"/>
    <mergeCell ref="G15:H15"/>
    <mergeCell ref="I15:J15"/>
    <mergeCell ref="E10:L10"/>
    <mergeCell ref="E11:F11"/>
  </mergeCells>
  <dataValidations disablePrompts="1" count="1">
    <dataValidation type="list" allowBlank="1" showInputMessage="1" showErrorMessage="1" sqref="E38:E40" xr:uid="{9F13539E-9843-4EFC-B689-3C3E3528CBBB}">
      <formula1>"Création groupes opérationnels, Projets groupes opérationnels, Diffusion résultats"</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582AD-2E85-4970-86AD-8AB060B5682A}">
  <sheetPr codeName="Feuil2">
    <tabColor theme="5" tint="0.39997558519241921"/>
    <pageSetUpPr fitToPage="1"/>
  </sheetPr>
  <dimension ref="A1:BE40"/>
  <sheetViews>
    <sheetView showGridLines="0" zoomScale="50" zoomScaleNormal="80" workbookViewId="0">
      <selection activeCell="F51" sqref="F51"/>
    </sheetView>
  </sheetViews>
  <sheetFormatPr defaultColWidth="11.42578125" defaultRowHeight="15" outlineLevelRow="1"/>
  <cols>
    <col min="1" max="1" width="8.140625" style="185" customWidth="1"/>
    <col min="2" max="2" width="32.140625" style="185" bestFit="1" customWidth="1"/>
    <col min="3" max="3" width="27.42578125" style="185" bestFit="1" customWidth="1"/>
    <col min="4" max="4" width="32.140625" style="185" bestFit="1" customWidth="1"/>
    <col min="5" max="5" width="19.85546875" style="185" bestFit="1" customWidth="1"/>
    <col min="6" max="6" width="32.140625" style="185" bestFit="1" customWidth="1"/>
    <col min="7" max="7" width="28.42578125" style="185" customWidth="1"/>
    <col min="8" max="8" width="32.140625" style="185" customWidth="1"/>
    <col min="9" max="9" width="22.85546875" style="185" customWidth="1"/>
    <col min="10" max="10" width="32.140625" style="185" customWidth="1"/>
    <col min="11" max="11" width="30.140625" style="185" customWidth="1"/>
    <col min="12" max="12" width="32.140625" style="185" customWidth="1"/>
    <col min="13" max="13" width="30.140625" style="185" customWidth="1"/>
    <col min="14" max="14" width="32.140625" style="185" customWidth="1"/>
    <col min="15" max="15" width="30.140625" style="185" customWidth="1"/>
    <col min="16" max="16" width="24.140625" style="185" customWidth="1"/>
    <col min="17" max="17" width="18.42578125" style="185" bestFit="1" customWidth="1"/>
    <col min="18" max="18" width="27.42578125" style="185" bestFit="1" customWidth="1"/>
    <col min="19" max="19" width="29.85546875" style="185" bestFit="1" customWidth="1"/>
    <col min="20" max="20" width="28.85546875" style="185" bestFit="1" customWidth="1"/>
    <col min="21" max="21" width="21.85546875" style="185" bestFit="1" customWidth="1"/>
    <col min="22" max="22" width="25.140625" style="185" customWidth="1"/>
    <col min="23" max="25" width="17.42578125" style="185" bestFit="1" customWidth="1"/>
    <col min="26" max="26" width="27.42578125" style="185" bestFit="1" customWidth="1"/>
    <col min="27" max="27" width="24" style="185" bestFit="1" customWidth="1"/>
    <col min="28" max="28" width="24.85546875" style="185" customWidth="1"/>
    <col min="29" max="30" width="17.42578125" style="185" bestFit="1" customWidth="1"/>
    <col min="31" max="31" width="17" style="185" customWidth="1"/>
    <col min="32" max="32" width="27.42578125" style="185" bestFit="1" customWidth="1"/>
    <col min="33" max="33" width="24" style="185" bestFit="1" customWidth="1"/>
    <col min="34" max="34" width="24.85546875" style="185" customWidth="1"/>
    <col min="35" max="37" width="17.42578125" style="185" bestFit="1" customWidth="1"/>
    <col min="38" max="38" width="17" style="185" customWidth="1"/>
    <col min="39" max="39" width="27.42578125" style="185" bestFit="1" customWidth="1"/>
    <col min="40" max="40" width="24" style="185" bestFit="1" customWidth="1"/>
    <col min="41" max="41" width="24.85546875" style="185" customWidth="1"/>
    <col min="42" max="44" width="17.42578125" style="185" bestFit="1" customWidth="1"/>
    <col min="45" max="45" width="17" style="185" customWidth="1"/>
    <col min="46" max="46" width="27.42578125" style="185" bestFit="1" customWidth="1"/>
    <col min="47" max="47" width="24" style="185" bestFit="1" customWidth="1"/>
    <col min="48" max="48" width="24.85546875" style="185" customWidth="1"/>
    <col min="49" max="51" width="17.42578125" style="185" bestFit="1" customWidth="1"/>
    <col min="52" max="52" width="17" style="185" customWidth="1"/>
    <col min="53" max="53" width="27.42578125" style="185" bestFit="1" customWidth="1"/>
    <col min="54" max="54" width="24" style="185" bestFit="1" customWidth="1"/>
    <col min="55" max="55" width="24.85546875" style="185" customWidth="1"/>
    <col min="56" max="57" width="17.42578125" style="185" bestFit="1" customWidth="1"/>
    <col min="58" max="16384" width="11.42578125" style="185"/>
  </cols>
  <sheetData>
    <row r="1" spans="2:49" ht="15.95" thickBot="1"/>
    <row r="2" spans="2:49" s="74" customFormat="1" ht="50.25" customHeight="1" thickBot="1">
      <c r="B2" s="1772" t="s">
        <v>28</v>
      </c>
      <c r="C2" s="1792"/>
      <c r="D2" s="1792"/>
      <c r="E2" s="1792"/>
      <c r="F2" s="1792"/>
      <c r="G2" s="1792"/>
      <c r="H2" s="1792"/>
      <c r="I2" s="1792"/>
      <c r="J2" s="1792"/>
      <c r="K2" s="1792"/>
      <c r="L2" s="1792"/>
      <c r="M2" s="1792"/>
      <c r="N2" s="1792"/>
      <c r="O2" s="1792"/>
      <c r="P2" s="1792"/>
      <c r="Q2" s="1792"/>
      <c r="R2" s="1792"/>
      <c r="S2" s="1792"/>
      <c r="T2" s="1792"/>
      <c r="U2" s="1792"/>
      <c r="V2" s="1792"/>
      <c r="W2" s="1792"/>
      <c r="X2" s="1792"/>
      <c r="Y2" s="1792"/>
      <c r="Z2" s="1792"/>
      <c r="AA2" s="1792"/>
      <c r="AB2" s="1792"/>
      <c r="AC2" s="1792"/>
      <c r="AD2" s="1792"/>
      <c r="AE2" s="1792"/>
      <c r="AF2" s="1792"/>
      <c r="AG2" s="1792"/>
      <c r="AH2" s="1792"/>
      <c r="AI2" s="1792"/>
      <c r="AJ2" s="1792"/>
      <c r="AK2" s="1792"/>
      <c r="AL2" s="1792"/>
      <c r="AM2" s="1792"/>
      <c r="AN2" s="1792"/>
      <c r="AO2" s="1792"/>
      <c r="AP2" s="1792"/>
      <c r="AQ2" s="1792"/>
      <c r="AR2" s="1792"/>
      <c r="AS2" s="1792"/>
      <c r="AT2" s="1792"/>
      <c r="AU2" s="1792"/>
      <c r="AV2" s="1792"/>
      <c r="AW2" s="1773"/>
    </row>
    <row r="3" spans="2:49" s="74" customFormat="1" ht="50.25" customHeight="1" thickBot="1">
      <c r="B3" s="1772" t="s">
        <v>10</v>
      </c>
      <c r="C3" s="1792"/>
      <c r="D3" s="1792"/>
      <c r="E3" s="1792"/>
      <c r="F3" s="1792"/>
      <c r="G3" s="1773"/>
      <c r="H3" s="1772" t="s">
        <v>11</v>
      </c>
      <c r="I3" s="1792"/>
      <c r="J3" s="1792"/>
      <c r="K3" s="1792"/>
      <c r="L3" s="1792"/>
      <c r="M3" s="1773"/>
      <c r="N3" s="1772" t="s">
        <v>12</v>
      </c>
      <c r="O3" s="1792"/>
      <c r="P3" s="1792"/>
      <c r="Q3" s="1792"/>
      <c r="R3" s="1792"/>
      <c r="S3" s="1773"/>
      <c r="T3" s="1772" t="s">
        <v>13</v>
      </c>
      <c r="U3" s="1792"/>
      <c r="V3" s="1792"/>
      <c r="W3" s="1792"/>
      <c r="X3" s="1792"/>
      <c r="Y3" s="1773"/>
      <c r="Z3" s="1772" t="s">
        <v>14</v>
      </c>
      <c r="AA3" s="1792"/>
      <c r="AB3" s="1792"/>
      <c r="AC3" s="1792"/>
      <c r="AD3" s="1792"/>
      <c r="AE3" s="1773"/>
      <c r="AF3" s="1772" t="s">
        <v>15</v>
      </c>
      <c r="AG3" s="1792"/>
      <c r="AH3" s="1792"/>
      <c r="AI3" s="1792"/>
      <c r="AJ3" s="1792"/>
      <c r="AK3" s="1773"/>
      <c r="AL3" s="1772" t="s">
        <v>16</v>
      </c>
      <c r="AM3" s="1792"/>
      <c r="AN3" s="1792"/>
      <c r="AO3" s="1792"/>
      <c r="AP3" s="1792"/>
      <c r="AQ3" s="1773"/>
      <c r="AR3" s="1772" t="s">
        <v>17</v>
      </c>
      <c r="AS3" s="1792"/>
      <c r="AT3" s="1792"/>
      <c r="AU3" s="1792"/>
      <c r="AV3" s="1792"/>
      <c r="AW3" s="1773"/>
    </row>
    <row r="4" spans="2:49" s="74" customFormat="1" ht="48">
      <c r="B4" s="1793" t="s">
        <v>29</v>
      </c>
      <c r="C4" s="186" t="s">
        <v>30</v>
      </c>
      <c r="D4" s="186" t="s">
        <v>31</v>
      </c>
      <c r="E4" s="186" t="s">
        <v>32</v>
      </c>
      <c r="F4" s="186" t="s">
        <v>33</v>
      </c>
      <c r="G4" s="187" t="s">
        <v>34</v>
      </c>
      <c r="H4" s="1793" t="s">
        <v>29</v>
      </c>
      <c r="I4" s="186" t="s">
        <v>30</v>
      </c>
      <c r="J4" s="186" t="s">
        <v>31</v>
      </c>
      <c r="K4" s="186" t="s">
        <v>32</v>
      </c>
      <c r="L4" s="186" t="s">
        <v>33</v>
      </c>
      <c r="M4" s="187" t="s">
        <v>34</v>
      </c>
      <c r="N4" s="1793" t="s">
        <v>29</v>
      </c>
      <c r="O4" s="186" t="s">
        <v>30</v>
      </c>
      <c r="P4" s="186" t="s">
        <v>31</v>
      </c>
      <c r="Q4" s="186" t="s">
        <v>32</v>
      </c>
      <c r="R4" s="186" t="s">
        <v>33</v>
      </c>
      <c r="S4" s="187" t="s">
        <v>34</v>
      </c>
      <c r="T4" s="1793" t="s">
        <v>29</v>
      </c>
      <c r="U4" s="186" t="s">
        <v>30</v>
      </c>
      <c r="V4" s="186" t="s">
        <v>31</v>
      </c>
      <c r="W4" s="186" t="s">
        <v>32</v>
      </c>
      <c r="X4" s="186" t="s">
        <v>33</v>
      </c>
      <c r="Y4" s="187" t="s">
        <v>34</v>
      </c>
      <c r="Z4" s="1793" t="s">
        <v>29</v>
      </c>
      <c r="AA4" s="186" t="s">
        <v>30</v>
      </c>
      <c r="AB4" s="186" t="s">
        <v>31</v>
      </c>
      <c r="AC4" s="186" t="s">
        <v>32</v>
      </c>
      <c r="AD4" s="186" t="s">
        <v>33</v>
      </c>
      <c r="AE4" s="187" t="s">
        <v>34</v>
      </c>
      <c r="AF4" s="1793" t="s">
        <v>29</v>
      </c>
      <c r="AG4" s="186" t="s">
        <v>30</v>
      </c>
      <c r="AH4" s="186" t="s">
        <v>31</v>
      </c>
      <c r="AI4" s="186" t="s">
        <v>32</v>
      </c>
      <c r="AJ4" s="186" t="s">
        <v>33</v>
      </c>
      <c r="AK4" s="187" t="s">
        <v>34</v>
      </c>
      <c r="AL4" s="1793" t="s">
        <v>29</v>
      </c>
      <c r="AM4" s="186" t="s">
        <v>30</v>
      </c>
      <c r="AN4" s="186" t="s">
        <v>31</v>
      </c>
      <c r="AO4" s="186" t="s">
        <v>32</v>
      </c>
      <c r="AP4" s="186" t="s">
        <v>33</v>
      </c>
      <c r="AQ4" s="187" t="s">
        <v>34</v>
      </c>
      <c r="AR4" s="1793" t="s">
        <v>29</v>
      </c>
      <c r="AS4" s="186" t="s">
        <v>30</v>
      </c>
      <c r="AT4" s="186" t="s">
        <v>31</v>
      </c>
      <c r="AU4" s="186" t="s">
        <v>32</v>
      </c>
      <c r="AV4" s="186" t="s">
        <v>33</v>
      </c>
      <c r="AW4" s="187" t="s">
        <v>34</v>
      </c>
    </row>
    <row r="5" spans="2:49" s="74" customFormat="1" ht="144" customHeight="1" thickBot="1">
      <c r="B5" s="1794"/>
      <c r="C5" s="188" t="s">
        <v>35</v>
      </c>
      <c r="D5" s="189" t="s">
        <v>36</v>
      </c>
      <c r="E5" s="189" t="s">
        <v>37</v>
      </c>
      <c r="F5" s="189" t="s">
        <v>38</v>
      </c>
      <c r="G5" s="190" t="s">
        <v>39</v>
      </c>
      <c r="H5" s="1794"/>
      <c r="I5" s="188" t="s">
        <v>35</v>
      </c>
      <c r="J5" s="189" t="s">
        <v>36</v>
      </c>
      <c r="K5" s="189" t="s">
        <v>37</v>
      </c>
      <c r="L5" s="189" t="s">
        <v>38</v>
      </c>
      <c r="M5" s="190" t="s">
        <v>39</v>
      </c>
      <c r="N5" s="1794"/>
      <c r="O5" s="188" t="s">
        <v>35</v>
      </c>
      <c r="P5" s="189" t="s">
        <v>36</v>
      </c>
      <c r="Q5" s="189" t="s">
        <v>37</v>
      </c>
      <c r="R5" s="189" t="s">
        <v>38</v>
      </c>
      <c r="S5" s="190" t="s">
        <v>39</v>
      </c>
      <c r="T5" s="1794"/>
      <c r="U5" s="188" t="s">
        <v>35</v>
      </c>
      <c r="V5" s="189" t="s">
        <v>36</v>
      </c>
      <c r="W5" s="189" t="s">
        <v>37</v>
      </c>
      <c r="X5" s="189" t="s">
        <v>38</v>
      </c>
      <c r="Y5" s="190" t="s">
        <v>39</v>
      </c>
      <c r="Z5" s="1794"/>
      <c r="AA5" s="188" t="s">
        <v>35</v>
      </c>
      <c r="AB5" s="189" t="s">
        <v>36</v>
      </c>
      <c r="AC5" s="189" t="s">
        <v>37</v>
      </c>
      <c r="AD5" s="189" t="s">
        <v>38</v>
      </c>
      <c r="AE5" s="190" t="s">
        <v>39</v>
      </c>
      <c r="AF5" s="1794"/>
      <c r="AG5" s="188" t="s">
        <v>35</v>
      </c>
      <c r="AH5" s="189" t="s">
        <v>36</v>
      </c>
      <c r="AI5" s="189" t="s">
        <v>37</v>
      </c>
      <c r="AJ5" s="189" t="s">
        <v>38</v>
      </c>
      <c r="AK5" s="190" t="s">
        <v>39</v>
      </c>
      <c r="AL5" s="1794"/>
      <c r="AM5" s="188" t="s">
        <v>35</v>
      </c>
      <c r="AN5" s="189" t="s">
        <v>36</v>
      </c>
      <c r="AO5" s="189" t="s">
        <v>37</v>
      </c>
      <c r="AP5" s="189" t="s">
        <v>38</v>
      </c>
      <c r="AQ5" s="190" t="s">
        <v>39</v>
      </c>
      <c r="AR5" s="1794"/>
      <c r="AS5" s="188" t="s">
        <v>35</v>
      </c>
      <c r="AT5" s="189" t="s">
        <v>36</v>
      </c>
      <c r="AU5" s="189" t="s">
        <v>37</v>
      </c>
      <c r="AV5" s="189" t="s">
        <v>38</v>
      </c>
      <c r="AW5" s="190" t="s">
        <v>39</v>
      </c>
    </row>
    <row r="6" spans="2:49" s="74" customFormat="1">
      <c r="B6" s="191">
        <v>1</v>
      </c>
      <c r="C6" s="19"/>
      <c r="D6" s="19"/>
      <c r="E6" s="39"/>
      <c r="F6" s="39"/>
      <c r="G6" s="40"/>
      <c r="H6" s="191">
        <v>1</v>
      </c>
      <c r="I6" s="19"/>
      <c r="J6" s="19"/>
      <c r="K6" s="39"/>
      <c r="L6" s="39"/>
      <c r="M6" s="40"/>
      <c r="N6" s="191">
        <v>1</v>
      </c>
      <c r="O6" s="19"/>
      <c r="P6" s="19"/>
      <c r="Q6" s="39"/>
      <c r="R6" s="39"/>
      <c r="S6" s="40"/>
      <c r="T6" s="191">
        <v>1</v>
      </c>
      <c r="U6" s="19"/>
      <c r="V6" s="19"/>
      <c r="W6" s="39"/>
      <c r="X6" s="39"/>
      <c r="Y6" s="40"/>
      <c r="Z6" s="191">
        <v>1</v>
      </c>
      <c r="AA6" s="19"/>
      <c r="AB6" s="19"/>
      <c r="AC6" s="39"/>
      <c r="AD6" s="39"/>
      <c r="AE6" s="40"/>
      <c r="AF6" s="191">
        <v>1</v>
      </c>
      <c r="AG6" s="19"/>
      <c r="AH6" s="19"/>
      <c r="AI6" s="39"/>
      <c r="AJ6" s="39"/>
      <c r="AK6" s="40"/>
      <c r="AL6" s="191">
        <v>1</v>
      </c>
      <c r="AM6" s="19"/>
      <c r="AN6" s="19"/>
      <c r="AO6" s="39"/>
      <c r="AP6" s="39"/>
      <c r="AQ6" s="40"/>
      <c r="AR6" s="191">
        <v>1</v>
      </c>
      <c r="AS6" s="19"/>
      <c r="AT6" s="19"/>
      <c r="AU6" s="39"/>
      <c r="AV6" s="39"/>
      <c r="AW6" s="40"/>
    </row>
    <row r="7" spans="2:49" s="74" customFormat="1">
      <c r="B7" s="193">
        <v>2</v>
      </c>
      <c r="C7" s="11"/>
      <c r="D7" s="11"/>
      <c r="E7" s="41"/>
      <c r="F7" s="41"/>
      <c r="G7" s="28"/>
      <c r="H7" s="193">
        <v>2</v>
      </c>
      <c r="I7" s="11"/>
      <c r="J7" s="11"/>
      <c r="K7" s="41"/>
      <c r="L7" s="41"/>
      <c r="M7" s="28"/>
      <c r="N7" s="193">
        <v>2</v>
      </c>
      <c r="O7" s="11"/>
      <c r="P7" s="11"/>
      <c r="Q7" s="41"/>
      <c r="R7" s="41"/>
      <c r="S7" s="28"/>
      <c r="T7" s="193">
        <v>2</v>
      </c>
      <c r="U7" s="11"/>
      <c r="V7" s="11"/>
      <c r="W7" s="41"/>
      <c r="X7" s="41"/>
      <c r="Y7" s="28"/>
      <c r="Z7" s="193">
        <v>2</v>
      </c>
      <c r="AA7" s="11"/>
      <c r="AB7" s="11"/>
      <c r="AC7" s="41"/>
      <c r="AD7" s="41"/>
      <c r="AE7" s="28"/>
      <c r="AF7" s="193">
        <v>2</v>
      </c>
      <c r="AG7" s="11"/>
      <c r="AH7" s="11"/>
      <c r="AI7" s="41"/>
      <c r="AJ7" s="41"/>
      <c r="AK7" s="28"/>
      <c r="AL7" s="193">
        <v>2</v>
      </c>
      <c r="AM7" s="11"/>
      <c r="AN7" s="11"/>
      <c r="AO7" s="41"/>
      <c r="AP7" s="41"/>
      <c r="AQ7" s="28"/>
      <c r="AR7" s="193">
        <v>2</v>
      </c>
      <c r="AS7" s="11"/>
      <c r="AT7" s="11"/>
      <c r="AU7" s="41"/>
      <c r="AV7" s="41"/>
      <c r="AW7" s="28"/>
    </row>
    <row r="8" spans="2:49" s="74" customFormat="1">
      <c r="B8" s="193">
        <v>3</v>
      </c>
      <c r="C8" s="11"/>
      <c r="D8" s="11"/>
      <c r="E8" s="41"/>
      <c r="F8" s="41"/>
      <c r="G8" s="28"/>
      <c r="H8" s="193">
        <v>3</v>
      </c>
      <c r="I8" s="11"/>
      <c r="J8" s="11"/>
      <c r="K8" s="41"/>
      <c r="L8" s="41"/>
      <c r="M8" s="28"/>
      <c r="N8" s="193">
        <v>3</v>
      </c>
      <c r="O8" s="11"/>
      <c r="P8" s="11"/>
      <c r="Q8" s="41"/>
      <c r="R8" s="41"/>
      <c r="S8" s="28"/>
      <c r="T8" s="193">
        <v>3</v>
      </c>
      <c r="U8" s="11"/>
      <c r="V8" s="11"/>
      <c r="W8" s="41"/>
      <c r="X8" s="41"/>
      <c r="Y8" s="28"/>
      <c r="Z8" s="193">
        <v>3</v>
      </c>
      <c r="AA8" s="11"/>
      <c r="AB8" s="11"/>
      <c r="AC8" s="41"/>
      <c r="AD8" s="41"/>
      <c r="AE8" s="28"/>
      <c r="AF8" s="193">
        <v>3</v>
      </c>
      <c r="AG8" s="11"/>
      <c r="AH8" s="11"/>
      <c r="AI8" s="41"/>
      <c r="AJ8" s="41"/>
      <c r="AK8" s="28"/>
      <c r="AL8" s="193">
        <v>3</v>
      </c>
      <c r="AM8" s="11"/>
      <c r="AN8" s="11"/>
      <c r="AO8" s="41"/>
      <c r="AP8" s="41"/>
      <c r="AQ8" s="28"/>
      <c r="AR8" s="193">
        <v>3</v>
      </c>
      <c r="AS8" s="11"/>
      <c r="AT8" s="11"/>
      <c r="AU8" s="41"/>
      <c r="AV8" s="41"/>
      <c r="AW8" s="28"/>
    </row>
    <row r="9" spans="2:49" s="74" customFormat="1">
      <c r="B9" s="193">
        <v>4</v>
      </c>
      <c r="C9" s="11"/>
      <c r="D9" s="11"/>
      <c r="E9" s="41"/>
      <c r="F9" s="41"/>
      <c r="G9" s="28"/>
      <c r="H9" s="193">
        <v>4</v>
      </c>
      <c r="I9" s="11"/>
      <c r="J9" s="11"/>
      <c r="K9" s="41"/>
      <c r="L9" s="41"/>
      <c r="M9" s="28"/>
      <c r="N9" s="193">
        <v>4</v>
      </c>
      <c r="O9" s="11"/>
      <c r="P9" s="11"/>
      <c r="Q9" s="41"/>
      <c r="R9" s="41"/>
      <c r="S9" s="28"/>
      <c r="T9" s="193">
        <v>4</v>
      </c>
      <c r="U9" s="11"/>
      <c r="V9" s="11"/>
      <c r="W9" s="41"/>
      <c r="X9" s="41"/>
      <c r="Y9" s="28"/>
      <c r="Z9" s="193">
        <v>4</v>
      </c>
      <c r="AA9" s="11"/>
      <c r="AB9" s="11"/>
      <c r="AC9" s="41"/>
      <c r="AD9" s="41"/>
      <c r="AE9" s="28"/>
      <c r="AF9" s="193">
        <v>4</v>
      </c>
      <c r="AG9" s="11"/>
      <c r="AH9" s="11"/>
      <c r="AI9" s="41"/>
      <c r="AJ9" s="41"/>
      <c r="AK9" s="28"/>
      <c r="AL9" s="193">
        <v>4</v>
      </c>
      <c r="AM9" s="11"/>
      <c r="AN9" s="11"/>
      <c r="AO9" s="41"/>
      <c r="AP9" s="41"/>
      <c r="AQ9" s="28"/>
      <c r="AR9" s="193">
        <v>4</v>
      </c>
      <c r="AS9" s="11"/>
      <c r="AT9" s="11"/>
      <c r="AU9" s="41"/>
      <c r="AV9" s="41"/>
      <c r="AW9" s="28"/>
    </row>
    <row r="10" spans="2:49" s="74" customFormat="1">
      <c r="B10" s="193">
        <v>5</v>
      </c>
      <c r="C10" s="11"/>
      <c r="D10" s="11"/>
      <c r="E10" s="41"/>
      <c r="F10" s="41"/>
      <c r="G10" s="28"/>
      <c r="H10" s="193">
        <v>5</v>
      </c>
      <c r="I10" s="11"/>
      <c r="J10" s="11"/>
      <c r="K10" s="41"/>
      <c r="L10" s="41"/>
      <c r="M10" s="28"/>
      <c r="N10" s="193">
        <v>5</v>
      </c>
      <c r="O10" s="11"/>
      <c r="P10" s="11"/>
      <c r="Q10" s="41"/>
      <c r="R10" s="41"/>
      <c r="S10" s="28"/>
      <c r="T10" s="193">
        <v>5</v>
      </c>
      <c r="U10" s="11"/>
      <c r="V10" s="11"/>
      <c r="W10" s="41"/>
      <c r="X10" s="41"/>
      <c r="Y10" s="28"/>
      <c r="Z10" s="193">
        <v>5</v>
      </c>
      <c r="AA10" s="11"/>
      <c r="AB10" s="11"/>
      <c r="AC10" s="41"/>
      <c r="AD10" s="41"/>
      <c r="AE10" s="28"/>
      <c r="AF10" s="193">
        <v>5</v>
      </c>
      <c r="AG10" s="11"/>
      <c r="AH10" s="11"/>
      <c r="AI10" s="41"/>
      <c r="AJ10" s="41"/>
      <c r="AK10" s="28"/>
      <c r="AL10" s="193">
        <v>5</v>
      </c>
      <c r="AM10" s="11"/>
      <c r="AN10" s="11"/>
      <c r="AO10" s="41"/>
      <c r="AP10" s="41"/>
      <c r="AQ10" s="28"/>
      <c r="AR10" s="193">
        <v>5</v>
      </c>
      <c r="AS10" s="11"/>
      <c r="AT10" s="11"/>
      <c r="AU10" s="41"/>
      <c r="AV10" s="41"/>
      <c r="AW10" s="28"/>
    </row>
    <row r="11" spans="2:49" s="74" customFormat="1">
      <c r="B11" s="193">
        <v>6</v>
      </c>
      <c r="C11" s="11"/>
      <c r="D11" s="11"/>
      <c r="E11" s="41"/>
      <c r="F11" s="41"/>
      <c r="G11" s="28"/>
      <c r="H11" s="193">
        <v>6</v>
      </c>
      <c r="I11" s="11"/>
      <c r="J11" s="11"/>
      <c r="K11" s="41"/>
      <c r="L11" s="41"/>
      <c r="M11" s="28"/>
      <c r="N11" s="193">
        <v>6</v>
      </c>
      <c r="O11" s="11"/>
      <c r="P11" s="11"/>
      <c r="Q11" s="41"/>
      <c r="R11" s="41"/>
      <c r="S11" s="28"/>
      <c r="T11" s="193">
        <v>6</v>
      </c>
      <c r="U11" s="11"/>
      <c r="V11" s="11"/>
      <c r="W11" s="41"/>
      <c r="X11" s="41"/>
      <c r="Y11" s="28"/>
      <c r="Z11" s="193">
        <v>6</v>
      </c>
      <c r="AA11" s="11"/>
      <c r="AB11" s="11"/>
      <c r="AC11" s="41"/>
      <c r="AD11" s="41"/>
      <c r="AE11" s="28"/>
      <c r="AF11" s="193">
        <v>6</v>
      </c>
      <c r="AG11" s="11"/>
      <c r="AH11" s="11"/>
      <c r="AI11" s="41"/>
      <c r="AJ11" s="41"/>
      <c r="AK11" s="28"/>
      <c r="AL11" s="193">
        <v>6</v>
      </c>
      <c r="AM11" s="11"/>
      <c r="AN11" s="11"/>
      <c r="AO11" s="41"/>
      <c r="AP11" s="41"/>
      <c r="AQ11" s="28"/>
      <c r="AR11" s="193">
        <v>6</v>
      </c>
      <c r="AS11" s="11"/>
      <c r="AT11" s="11"/>
      <c r="AU11" s="41"/>
      <c r="AV11" s="41"/>
      <c r="AW11" s="28"/>
    </row>
    <row r="12" spans="2:49" s="74" customFormat="1">
      <c r="B12" s="193">
        <v>7</v>
      </c>
      <c r="C12" s="11"/>
      <c r="D12" s="11"/>
      <c r="E12" s="41"/>
      <c r="F12" s="41"/>
      <c r="G12" s="28"/>
      <c r="H12" s="193">
        <v>7</v>
      </c>
      <c r="I12" s="11"/>
      <c r="J12" s="11"/>
      <c r="K12" s="41"/>
      <c r="L12" s="41"/>
      <c r="M12" s="28"/>
      <c r="N12" s="193">
        <v>7</v>
      </c>
      <c r="O12" s="11"/>
      <c r="P12" s="11"/>
      <c r="Q12" s="41"/>
      <c r="R12" s="41"/>
      <c r="S12" s="28"/>
      <c r="T12" s="193">
        <v>7</v>
      </c>
      <c r="U12" s="11"/>
      <c r="V12" s="11"/>
      <c r="W12" s="41"/>
      <c r="X12" s="41"/>
      <c r="Y12" s="28"/>
      <c r="Z12" s="193">
        <v>7</v>
      </c>
      <c r="AA12" s="11"/>
      <c r="AB12" s="11"/>
      <c r="AC12" s="41"/>
      <c r="AD12" s="41"/>
      <c r="AE12" s="28"/>
      <c r="AF12" s="193">
        <v>7</v>
      </c>
      <c r="AG12" s="11"/>
      <c r="AH12" s="11"/>
      <c r="AI12" s="41"/>
      <c r="AJ12" s="41"/>
      <c r="AK12" s="28"/>
      <c r="AL12" s="193">
        <v>7</v>
      </c>
      <c r="AM12" s="11"/>
      <c r="AN12" s="11"/>
      <c r="AO12" s="41"/>
      <c r="AP12" s="41"/>
      <c r="AQ12" s="28"/>
      <c r="AR12" s="193">
        <v>7</v>
      </c>
      <c r="AS12" s="11"/>
      <c r="AT12" s="11"/>
      <c r="AU12" s="41"/>
      <c r="AV12" s="41"/>
      <c r="AW12" s="28"/>
    </row>
    <row r="13" spans="2:49" s="74" customFormat="1">
      <c r="B13" s="193">
        <v>8</v>
      </c>
      <c r="C13" s="11"/>
      <c r="D13" s="11"/>
      <c r="E13" s="41"/>
      <c r="F13" s="41"/>
      <c r="G13" s="28"/>
      <c r="H13" s="193">
        <v>8</v>
      </c>
      <c r="I13" s="11"/>
      <c r="J13" s="11"/>
      <c r="K13" s="41"/>
      <c r="L13" s="41"/>
      <c r="M13" s="28"/>
      <c r="N13" s="193">
        <v>8</v>
      </c>
      <c r="O13" s="11"/>
      <c r="P13" s="11"/>
      <c r="Q13" s="41"/>
      <c r="R13" s="41"/>
      <c r="S13" s="28"/>
      <c r="T13" s="193">
        <v>8</v>
      </c>
      <c r="U13" s="11"/>
      <c r="V13" s="11"/>
      <c r="W13" s="41"/>
      <c r="X13" s="41"/>
      <c r="Y13" s="28"/>
      <c r="Z13" s="193">
        <v>8</v>
      </c>
      <c r="AA13" s="11"/>
      <c r="AB13" s="11"/>
      <c r="AC13" s="41"/>
      <c r="AD13" s="41"/>
      <c r="AE13" s="28"/>
      <c r="AF13" s="193">
        <v>8</v>
      </c>
      <c r="AG13" s="11"/>
      <c r="AH13" s="11"/>
      <c r="AI13" s="41"/>
      <c r="AJ13" s="41"/>
      <c r="AK13" s="28"/>
      <c r="AL13" s="193">
        <v>8</v>
      </c>
      <c r="AM13" s="11"/>
      <c r="AN13" s="11"/>
      <c r="AO13" s="41"/>
      <c r="AP13" s="41"/>
      <c r="AQ13" s="28"/>
      <c r="AR13" s="193">
        <v>8</v>
      </c>
      <c r="AS13" s="11"/>
      <c r="AT13" s="11"/>
      <c r="AU13" s="41"/>
      <c r="AV13" s="41"/>
      <c r="AW13" s="28"/>
    </row>
    <row r="14" spans="2:49" s="74" customFormat="1">
      <c r="B14" s="193">
        <v>9</v>
      </c>
      <c r="C14" s="11"/>
      <c r="D14" s="11"/>
      <c r="E14" s="41"/>
      <c r="F14" s="41"/>
      <c r="G14" s="28"/>
      <c r="H14" s="193">
        <v>9</v>
      </c>
      <c r="I14" s="11"/>
      <c r="J14" s="11"/>
      <c r="K14" s="41"/>
      <c r="L14" s="41"/>
      <c r="M14" s="28"/>
      <c r="N14" s="193">
        <v>9</v>
      </c>
      <c r="O14" s="11"/>
      <c r="P14" s="11"/>
      <c r="Q14" s="41"/>
      <c r="R14" s="41"/>
      <c r="S14" s="28"/>
      <c r="T14" s="193">
        <v>9</v>
      </c>
      <c r="U14" s="11"/>
      <c r="V14" s="11"/>
      <c r="W14" s="41"/>
      <c r="X14" s="41"/>
      <c r="Y14" s="28"/>
      <c r="Z14" s="193">
        <v>9</v>
      </c>
      <c r="AA14" s="11"/>
      <c r="AB14" s="11"/>
      <c r="AC14" s="41"/>
      <c r="AD14" s="41"/>
      <c r="AE14" s="28"/>
      <c r="AF14" s="193">
        <v>9</v>
      </c>
      <c r="AG14" s="11"/>
      <c r="AH14" s="11"/>
      <c r="AI14" s="41"/>
      <c r="AJ14" s="41"/>
      <c r="AK14" s="28"/>
      <c r="AL14" s="193">
        <v>9</v>
      </c>
      <c r="AM14" s="11"/>
      <c r="AN14" s="11"/>
      <c r="AO14" s="41"/>
      <c r="AP14" s="41"/>
      <c r="AQ14" s="28"/>
      <c r="AR14" s="193">
        <v>9</v>
      </c>
      <c r="AS14" s="11"/>
      <c r="AT14" s="11"/>
      <c r="AU14" s="41"/>
      <c r="AV14" s="41"/>
      <c r="AW14" s="28"/>
    </row>
    <row r="15" spans="2:49" s="74" customFormat="1" ht="15.95" thickBot="1">
      <c r="B15" s="195">
        <v>10</v>
      </c>
      <c r="C15" s="42"/>
      <c r="D15" s="42"/>
      <c r="E15" s="43"/>
      <c r="F15" s="43"/>
      <c r="G15" s="44"/>
      <c r="H15" s="195">
        <v>10</v>
      </c>
      <c r="I15" s="42"/>
      <c r="J15" s="42"/>
      <c r="K15" s="43"/>
      <c r="L15" s="43"/>
      <c r="M15" s="44"/>
      <c r="N15" s="195">
        <v>10</v>
      </c>
      <c r="O15" s="42"/>
      <c r="P15" s="42"/>
      <c r="Q15" s="43"/>
      <c r="R15" s="43"/>
      <c r="S15" s="44"/>
      <c r="T15" s="195">
        <v>10</v>
      </c>
      <c r="U15" s="42"/>
      <c r="V15" s="42"/>
      <c r="W15" s="43"/>
      <c r="X15" s="43"/>
      <c r="Y15" s="44"/>
      <c r="Z15" s="195">
        <v>10</v>
      </c>
      <c r="AA15" s="45"/>
      <c r="AB15" s="42"/>
      <c r="AC15" s="43"/>
      <c r="AD15" s="43"/>
      <c r="AE15" s="44"/>
      <c r="AF15" s="195">
        <v>10</v>
      </c>
      <c r="AG15" s="45"/>
      <c r="AH15" s="42"/>
      <c r="AI15" s="43"/>
      <c r="AJ15" s="43"/>
      <c r="AK15" s="44"/>
      <c r="AL15" s="195">
        <v>10</v>
      </c>
      <c r="AM15" s="45"/>
      <c r="AN15" s="42"/>
      <c r="AO15" s="43"/>
      <c r="AP15" s="43"/>
      <c r="AQ15" s="44"/>
      <c r="AR15" s="195">
        <v>10</v>
      </c>
      <c r="AS15" s="45"/>
      <c r="AT15" s="42"/>
      <c r="AU15" s="43"/>
      <c r="AV15" s="43"/>
      <c r="AW15" s="44"/>
    </row>
    <row r="16" spans="2:49" s="74" customFormat="1" ht="14.45" customHeight="1" thickBot="1">
      <c r="B16" s="198"/>
      <c r="C16" s="199"/>
      <c r="D16" s="200" t="s">
        <v>40</v>
      </c>
      <c r="E16" s="201">
        <f>SUM(E6:E15)</f>
        <v>0</v>
      </c>
      <c r="F16" s="202">
        <f>SUM(F6:F15)</f>
        <v>0</v>
      </c>
      <c r="G16" s="203"/>
      <c r="H16" s="204"/>
      <c r="I16" s="199"/>
      <c r="J16" s="200" t="s">
        <v>41</v>
      </c>
      <c r="K16" s="201">
        <f>SUM(K6:K15)</f>
        <v>0</v>
      </c>
      <c r="L16" s="202">
        <f>SUM(L6:L15)</f>
        <v>0</v>
      </c>
      <c r="M16" s="203"/>
      <c r="N16" s="204"/>
      <c r="O16" s="199"/>
      <c r="P16" s="200" t="s">
        <v>42</v>
      </c>
      <c r="Q16" s="201">
        <f>SUM(Q6:Q15)</f>
        <v>0</v>
      </c>
      <c r="R16" s="202">
        <f>SUM(R6:R15)</f>
        <v>0</v>
      </c>
      <c r="S16" s="203"/>
      <c r="T16" s="204"/>
      <c r="U16" s="204"/>
      <c r="V16" s="200" t="s">
        <v>43</v>
      </c>
      <c r="W16" s="201">
        <f>SUM(W6:W15)</f>
        <v>0</v>
      </c>
      <c r="X16" s="202">
        <f>SUM(X6:X15)</f>
        <v>0</v>
      </c>
      <c r="Y16" s="203"/>
      <c r="Z16" s="204"/>
      <c r="AA16" s="199"/>
      <c r="AB16" s="200" t="s">
        <v>44</v>
      </c>
      <c r="AC16" s="201">
        <f>SUM(AC6:AC15)</f>
        <v>0</v>
      </c>
      <c r="AD16" s="202">
        <f>SUM(AD6:AD15)</f>
        <v>0</v>
      </c>
      <c r="AE16" s="203"/>
      <c r="AF16" s="204"/>
      <c r="AG16" s="199"/>
      <c r="AH16" s="200" t="s">
        <v>45</v>
      </c>
      <c r="AI16" s="201">
        <f>SUM(AI6:AI15)</f>
        <v>0</v>
      </c>
      <c r="AJ16" s="202">
        <f>SUM(AJ6:AJ15)</f>
        <v>0</v>
      </c>
      <c r="AK16" s="203"/>
      <c r="AL16" s="204"/>
      <c r="AM16" s="199"/>
      <c r="AN16" s="200" t="s">
        <v>46</v>
      </c>
      <c r="AO16" s="201">
        <f>SUM(AO6:AO15)</f>
        <v>0</v>
      </c>
      <c r="AP16" s="202">
        <f>SUM(AP6:AP15)</f>
        <v>0</v>
      </c>
      <c r="AQ16" s="203"/>
      <c r="AR16" s="204"/>
      <c r="AS16" s="199"/>
      <c r="AT16" s="200" t="s">
        <v>47</v>
      </c>
      <c r="AU16" s="201">
        <f>SUM(AU6:AU15)</f>
        <v>0</v>
      </c>
      <c r="AV16" s="202">
        <f>SUM(AV6:AV15)</f>
        <v>0</v>
      </c>
      <c r="AW16" s="203"/>
    </row>
    <row r="17" spans="1:57" customFormat="1"/>
    <row r="18" spans="1:57" ht="26.45" customHeight="1">
      <c r="C18"/>
      <c r="D18"/>
      <c r="E18"/>
      <c r="F18"/>
      <c r="G18" s="1801" t="s">
        <v>48</v>
      </c>
      <c r="H18" s="1802"/>
      <c r="I18" s="1802"/>
      <c r="J18" s="1803"/>
      <c r="K18" s="205">
        <f>SUM(IF(F16=0,E16,F16),IF(L16=0,K16,L16),IF(R16=0,Q16,R16),IF(X16=0,W16,X16),IF(AD16=0,AC16,AD16),IF(AJ16=0,AI16,AJ16),IF(AP16=0,AO16,AP16),,IF(AV16=0,AU16,AV16))</f>
        <v>0</v>
      </c>
      <c r="L18"/>
      <c r="M18"/>
      <c r="N18"/>
      <c r="O18"/>
      <c r="P18"/>
      <c r="Q18"/>
      <c r="R18"/>
      <c r="S18"/>
      <c r="T18"/>
      <c r="U18"/>
      <c r="V18"/>
      <c r="W18"/>
      <c r="X18"/>
      <c r="Y18"/>
      <c r="Z18"/>
      <c r="AA18"/>
    </row>
    <row r="19" spans="1:57">
      <c r="O19" s="75"/>
      <c r="P19" s="75"/>
      <c r="Q19" s="75"/>
      <c r="R19" s="75"/>
      <c r="S19" s="75"/>
      <c r="T19" s="75"/>
      <c r="U19" s="75"/>
    </row>
    <row r="20" spans="1:57">
      <c r="O20" s="75"/>
      <c r="P20" s="75"/>
      <c r="Q20" s="75"/>
      <c r="R20" s="75"/>
      <c r="S20" s="75"/>
      <c r="T20" s="75"/>
      <c r="U20" s="75"/>
    </row>
    <row r="21" spans="1:57" s="74" customFormat="1" ht="52.5" hidden="1" customHeight="1" outlineLevel="1" thickBot="1">
      <c r="A21" s="185"/>
      <c r="B21" s="1798" t="s">
        <v>49</v>
      </c>
      <c r="C21" s="1799"/>
      <c r="D21" s="1799"/>
      <c r="E21" s="1799"/>
      <c r="F21" s="1799"/>
      <c r="G21" s="1799"/>
      <c r="H21" s="1799"/>
      <c r="I21" s="1799"/>
      <c r="J21" s="1799"/>
      <c r="K21" s="1799"/>
      <c r="L21" s="1799"/>
      <c r="M21" s="1799"/>
      <c r="N21" s="1799"/>
      <c r="O21" s="1799"/>
      <c r="P21" s="1799"/>
      <c r="Q21" s="1799"/>
      <c r="R21" s="1799"/>
      <c r="S21" s="1799"/>
      <c r="T21" s="1799"/>
      <c r="U21" s="1799"/>
      <c r="V21" s="1799"/>
      <c r="W21" s="1799"/>
      <c r="X21" s="1799"/>
      <c r="Y21" s="1799"/>
      <c r="Z21" s="1799"/>
      <c r="AA21" s="1799"/>
      <c r="AB21" s="1799"/>
      <c r="AC21" s="1799"/>
      <c r="AD21" s="1799"/>
      <c r="AE21" s="1799"/>
      <c r="AF21" s="1799"/>
      <c r="AG21" s="1799"/>
      <c r="AH21" s="1799"/>
      <c r="AI21" s="1799"/>
      <c r="AJ21" s="1799"/>
      <c r="AK21" s="1799"/>
      <c r="AL21" s="1799"/>
      <c r="AM21" s="1799"/>
      <c r="AN21" s="1799"/>
      <c r="AO21" s="1799"/>
      <c r="AP21" s="1799"/>
      <c r="AQ21" s="1799"/>
      <c r="AR21" s="1799"/>
      <c r="AS21" s="1799"/>
      <c r="AT21" s="1799"/>
      <c r="AU21" s="1799"/>
      <c r="AV21" s="1799"/>
      <c r="AW21" s="1799"/>
      <c r="AX21" s="1799"/>
      <c r="AY21" s="1799"/>
      <c r="AZ21" s="1799"/>
      <c r="BA21" s="1799"/>
      <c r="BB21" s="1799"/>
      <c r="BC21" s="1799"/>
      <c r="BD21" s="1799"/>
      <c r="BE21" s="1800"/>
    </row>
    <row r="22" spans="1:57" s="74" customFormat="1" ht="52.5" hidden="1" customHeight="1" outlineLevel="1">
      <c r="A22" s="185"/>
      <c r="B22" s="1808" t="s">
        <v>10</v>
      </c>
      <c r="C22" s="1809"/>
      <c r="D22" s="1809"/>
      <c r="E22" s="1809"/>
      <c r="F22" s="1809"/>
      <c r="G22" s="1809"/>
      <c r="H22" s="1810"/>
      <c r="I22" s="1795" t="s">
        <v>11</v>
      </c>
      <c r="J22" s="1796"/>
      <c r="K22" s="1796"/>
      <c r="L22" s="1796"/>
      <c r="M22" s="1796"/>
      <c r="N22" s="1796"/>
      <c r="O22" s="1797"/>
      <c r="P22" s="1795" t="s">
        <v>12</v>
      </c>
      <c r="Q22" s="1796"/>
      <c r="R22" s="1796"/>
      <c r="S22" s="1796"/>
      <c r="T22" s="1796"/>
      <c r="U22" s="1796"/>
      <c r="V22" s="1797"/>
      <c r="W22" s="1795" t="s">
        <v>13</v>
      </c>
      <c r="X22" s="1796"/>
      <c r="Y22" s="1796"/>
      <c r="Z22" s="1796"/>
      <c r="AA22" s="1796"/>
      <c r="AB22" s="1796"/>
      <c r="AC22" s="1797"/>
      <c r="AD22" s="1795" t="s">
        <v>14</v>
      </c>
      <c r="AE22" s="1796"/>
      <c r="AF22" s="1796"/>
      <c r="AG22" s="1796"/>
      <c r="AH22" s="1796"/>
      <c r="AI22" s="1796"/>
      <c r="AJ22" s="1797"/>
      <c r="AK22" s="1795" t="s">
        <v>15</v>
      </c>
      <c r="AL22" s="1796"/>
      <c r="AM22" s="1796"/>
      <c r="AN22" s="1796"/>
      <c r="AO22" s="1796"/>
      <c r="AP22" s="1796"/>
      <c r="AQ22" s="1797"/>
      <c r="AR22" s="1795" t="s">
        <v>16</v>
      </c>
      <c r="AS22" s="1796"/>
      <c r="AT22" s="1796"/>
      <c r="AU22" s="1796"/>
      <c r="AV22" s="1796"/>
      <c r="AW22" s="1796"/>
      <c r="AX22" s="1797"/>
      <c r="AY22" s="1795" t="s">
        <v>17</v>
      </c>
      <c r="AZ22" s="1796"/>
      <c r="BA22" s="1796"/>
      <c r="BB22" s="1796"/>
      <c r="BC22" s="1796"/>
      <c r="BD22" s="1796"/>
      <c r="BE22" s="1797"/>
    </row>
    <row r="23" spans="1:57" s="74" customFormat="1" ht="63.95" hidden="1" outlineLevel="1">
      <c r="A23" s="185"/>
      <c r="B23" s="206" t="s">
        <v>30</v>
      </c>
      <c r="C23" s="207" t="s">
        <v>31</v>
      </c>
      <c r="D23" s="207" t="s">
        <v>50</v>
      </c>
      <c r="E23" s="207" t="s">
        <v>51</v>
      </c>
      <c r="F23" s="207" t="s">
        <v>34</v>
      </c>
      <c r="G23" s="207" t="s">
        <v>52</v>
      </c>
      <c r="H23" s="208" t="s">
        <v>53</v>
      </c>
      <c r="I23" s="206" t="s">
        <v>30</v>
      </c>
      <c r="J23" s="207" t="s">
        <v>31</v>
      </c>
      <c r="K23" s="207" t="s">
        <v>50</v>
      </c>
      <c r="L23" s="207" t="s">
        <v>51</v>
      </c>
      <c r="M23" s="207" t="s">
        <v>34</v>
      </c>
      <c r="N23" s="207" t="s">
        <v>52</v>
      </c>
      <c r="O23" s="208" t="s">
        <v>53</v>
      </c>
      <c r="P23" s="206" t="s">
        <v>30</v>
      </c>
      <c r="Q23" s="207" t="s">
        <v>31</v>
      </c>
      <c r="R23" s="207" t="s">
        <v>50</v>
      </c>
      <c r="S23" s="207" t="s">
        <v>51</v>
      </c>
      <c r="T23" s="207" t="s">
        <v>34</v>
      </c>
      <c r="U23" s="207" t="s">
        <v>52</v>
      </c>
      <c r="V23" s="208" t="s">
        <v>53</v>
      </c>
      <c r="W23" s="206" t="s">
        <v>30</v>
      </c>
      <c r="X23" s="207" t="s">
        <v>31</v>
      </c>
      <c r="Y23" s="207" t="s">
        <v>50</v>
      </c>
      <c r="Z23" s="207" t="s">
        <v>51</v>
      </c>
      <c r="AA23" s="207" t="s">
        <v>34</v>
      </c>
      <c r="AB23" s="207" t="s">
        <v>52</v>
      </c>
      <c r="AC23" s="208" t="s">
        <v>53</v>
      </c>
      <c r="AD23" s="206" t="s">
        <v>30</v>
      </c>
      <c r="AE23" s="207" t="s">
        <v>31</v>
      </c>
      <c r="AF23" s="207" t="s">
        <v>50</v>
      </c>
      <c r="AG23" s="207" t="s">
        <v>51</v>
      </c>
      <c r="AH23" s="207" t="s">
        <v>34</v>
      </c>
      <c r="AI23" s="207" t="s">
        <v>52</v>
      </c>
      <c r="AJ23" s="208" t="s">
        <v>53</v>
      </c>
      <c r="AK23" s="206" t="s">
        <v>30</v>
      </c>
      <c r="AL23" s="207" t="s">
        <v>31</v>
      </c>
      <c r="AM23" s="207" t="s">
        <v>50</v>
      </c>
      <c r="AN23" s="207" t="s">
        <v>51</v>
      </c>
      <c r="AO23" s="207" t="s">
        <v>34</v>
      </c>
      <c r="AP23" s="207" t="s">
        <v>52</v>
      </c>
      <c r="AQ23" s="208" t="s">
        <v>53</v>
      </c>
      <c r="AR23" s="206" t="s">
        <v>30</v>
      </c>
      <c r="AS23" s="207" t="s">
        <v>31</v>
      </c>
      <c r="AT23" s="207" t="s">
        <v>50</v>
      </c>
      <c r="AU23" s="207" t="s">
        <v>51</v>
      </c>
      <c r="AV23" s="207" t="s">
        <v>34</v>
      </c>
      <c r="AW23" s="207" t="s">
        <v>52</v>
      </c>
      <c r="AX23" s="208" t="s">
        <v>53</v>
      </c>
      <c r="AY23" s="206" t="s">
        <v>30</v>
      </c>
      <c r="AZ23" s="207" t="s">
        <v>31</v>
      </c>
      <c r="BA23" s="207" t="s">
        <v>50</v>
      </c>
      <c r="BB23" s="207" t="s">
        <v>51</v>
      </c>
      <c r="BC23" s="207" t="s">
        <v>34</v>
      </c>
      <c r="BD23" s="207" t="s">
        <v>52</v>
      </c>
      <c r="BE23" s="208" t="s">
        <v>53</v>
      </c>
    </row>
    <row r="24" spans="1:57" s="74" customFormat="1" ht="174" hidden="1" customHeight="1" outlineLevel="1" thickBot="1">
      <c r="A24" s="185"/>
      <c r="B24" s="209" t="s">
        <v>54</v>
      </c>
      <c r="C24" s="210" t="s">
        <v>54</v>
      </c>
      <c r="D24" s="210" t="s">
        <v>54</v>
      </c>
      <c r="E24" s="210" t="s">
        <v>54</v>
      </c>
      <c r="F24" s="211" t="s">
        <v>55</v>
      </c>
      <c r="G24" s="211" t="s">
        <v>56</v>
      </c>
      <c r="H24" s="212" t="s">
        <v>57</v>
      </c>
      <c r="I24" s="210" t="s">
        <v>54</v>
      </c>
      <c r="J24" s="210" t="s">
        <v>54</v>
      </c>
      <c r="K24" s="210" t="s">
        <v>54</v>
      </c>
      <c r="L24" s="210" t="s">
        <v>54</v>
      </c>
      <c r="M24" s="211" t="s">
        <v>55</v>
      </c>
      <c r="N24" s="211" t="s">
        <v>56</v>
      </c>
      <c r="O24" s="212" t="s">
        <v>57</v>
      </c>
      <c r="P24" s="210" t="s">
        <v>54</v>
      </c>
      <c r="Q24" s="210" t="s">
        <v>54</v>
      </c>
      <c r="R24" s="210" t="s">
        <v>54</v>
      </c>
      <c r="S24" s="210" t="s">
        <v>54</v>
      </c>
      <c r="T24" s="211" t="s">
        <v>55</v>
      </c>
      <c r="U24" s="211" t="s">
        <v>56</v>
      </c>
      <c r="V24" s="212" t="s">
        <v>57</v>
      </c>
      <c r="W24" s="210" t="s">
        <v>54</v>
      </c>
      <c r="X24" s="210" t="s">
        <v>54</v>
      </c>
      <c r="Y24" s="210" t="s">
        <v>54</v>
      </c>
      <c r="Z24" s="210" t="s">
        <v>54</v>
      </c>
      <c r="AA24" s="211" t="s">
        <v>55</v>
      </c>
      <c r="AB24" s="211" t="s">
        <v>56</v>
      </c>
      <c r="AC24" s="212" t="s">
        <v>57</v>
      </c>
      <c r="AD24" s="210" t="s">
        <v>54</v>
      </c>
      <c r="AE24" s="210" t="s">
        <v>54</v>
      </c>
      <c r="AF24" s="210" t="s">
        <v>54</v>
      </c>
      <c r="AG24" s="210" t="s">
        <v>54</v>
      </c>
      <c r="AH24" s="211" t="s">
        <v>55</v>
      </c>
      <c r="AI24" s="211" t="s">
        <v>56</v>
      </c>
      <c r="AJ24" s="212" t="s">
        <v>57</v>
      </c>
      <c r="AK24" s="210" t="s">
        <v>54</v>
      </c>
      <c r="AL24" s="210" t="s">
        <v>54</v>
      </c>
      <c r="AM24" s="210" t="s">
        <v>54</v>
      </c>
      <c r="AN24" s="210" t="s">
        <v>54</v>
      </c>
      <c r="AO24" s="211" t="s">
        <v>55</v>
      </c>
      <c r="AP24" s="211" t="s">
        <v>56</v>
      </c>
      <c r="AQ24" s="212" t="s">
        <v>57</v>
      </c>
      <c r="AR24" s="210" t="s">
        <v>54</v>
      </c>
      <c r="AS24" s="210" t="s">
        <v>54</v>
      </c>
      <c r="AT24" s="210" t="s">
        <v>54</v>
      </c>
      <c r="AU24" s="210" t="s">
        <v>54</v>
      </c>
      <c r="AV24" s="211" t="s">
        <v>55</v>
      </c>
      <c r="AW24" s="211" t="s">
        <v>56</v>
      </c>
      <c r="AX24" s="212" t="s">
        <v>57</v>
      </c>
      <c r="AY24" s="210" t="s">
        <v>54</v>
      </c>
      <c r="AZ24" s="210" t="s">
        <v>54</v>
      </c>
      <c r="BA24" s="210" t="s">
        <v>54</v>
      </c>
      <c r="BB24" s="210" t="s">
        <v>54</v>
      </c>
      <c r="BC24" s="211" t="s">
        <v>55</v>
      </c>
      <c r="BD24" s="211" t="s">
        <v>56</v>
      </c>
      <c r="BE24" s="212" t="s">
        <v>57</v>
      </c>
    </row>
    <row r="25" spans="1:57" s="74" customFormat="1" ht="15.95" hidden="1" outlineLevel="1">
      <c r="A25" s="185"/>
      <c r="B25" s="213">
        <f t="shared" ref="B25:E26" si="0">C6</f>
        <v>0</v>
      </c>
      <c r="C25" s="165">
        <f t="shared" si="0"/>
        <v>0</v>
      </c>
      <c r="D25" s="76">
        <f t="shared" si="0"/>
        <v>0</v>
      </c>
      <c r="E25" s="76">
        <f t="shared" si="0"/>
        <v>0</v>
      </c>
      <c r="F25" s="192"/>
      <c r="G25" s="214" t="str" cm="1">
        <f t="array" ref="G25">_xlfn.IFS(OR(E25&gt;F6,D25&gt;E6),"KO : Le montant retenu est supérieur au montant présenté. Merci de revoir la ligne de recettes ou plafonner son montant.",E6=0,"",AND(D25=E6,E25=F6),"OK",OR(D25&lt;E6,E25&lt;F6),"Montant instruit inférieur au montant présenté.")</f>
        <v/>
      </c>
      <c r="H25" s="77">
        <f>IF(F6=0,E6-D25,F6-E25)</f>
        <v>0</v>
      </c>
      <c r="I25" s="213">
        <f t="shared" ref="I25:L34" si="1">I6</f>
        <v>0</v>
      </c>
      <c r="J25" s="165">
        <f t="shared" si="1"/>
        <v>0</v>
      </c>
      <c r="K25" s="76">
        <f t="shared" si="1"/>
        <v>0</v>
      </c>
      <c r="L25" s="76">
        <f t="shared" si="1"/>
        <v>0</v>
      </c>
      <c r="M25" s="192"/>
      <c r="N25" s="214" t="str" cm="1">
        <f t="array" ref="N25">_xlfn.IFS(OR(L25&gt;L6,K25&gt;K6),"KO : Le montant retenu est supérieur au montant présenté. Merci de revoir la ligne de recettes ou plafonner son montant.",K6=0,"",AND(K25=K6,L25=L6),"OK",OR(K25&lt;K6,L25&lt;L6),"Montant instruit inférieur au montant présenté.")</f>
        <v/>
      </c>
      <c r="O25" s="77">
        <f>IF(L6=0,K6-K25,L6-L25)</f>
        <v>0</v>
      </c>
      <c r="P25" s="213">
        <f t="shared" ref="P25:S34" si="2">O6</f>
        <v>0</v>
      </c>
      <c r="Q25" s="165">
        <f t="shared" si="2"/>
        <v>0</v>
      </c>
      <c r="R25" s="76">
        <f t="shared" si="2"/>
        <v>0</v>
      </c>
      <c r="S25" s="76">
        <f t="shared" si="2"/>
        <v>0</v>
      </c>
      <c r="T25" s="192"/>
      <c r="U25" s="214" t="str" cm="1">
        <f t="array" ref="U25">_xlfn.IFS(OR(S25&gt;R6,R25&gt;Q6),"KO : Le montant retenu est supérieur au montant présenté. Merci de revoir la ligne de recettes ou plafonner son montant.",Q6=0,"",AND(R25=Q6,S25=R6),"OK",OR(R25&lt;Q6,S25&lt;R6),"Montant instruit inférieur au montant présenté.")</f>
        <v/>
      </c>
      <c r="V25" s="77">
        <f>IF(R6=0,Q6-R25,R6-S25)</f>
        <v>0</v>
      </c>
      <c r="W25" s="213">
        <f t="shared" ref="W25:Z26" si="3">U6</f>
        <v>0</v>
      </c>
      <c r="X25" s="165">
        <f t="shared" si="3"/>
        <v>0</v>
      </c>
      <c r="Y25" s="76">
        <f t="shared" si="3"/>
        <v>0</v>
      </c>
      <c r="Z25" s="76">
        <f t="shared" si="3"/>
        <v>0</v>
      </c>
      <c r="AA25" s="192"/>
      <c r="AB25" s="214" t="str" cm="1">
        <f t="array" ref="AB25">_xlfn.IFS(OR(Z25&gt;X6,Y25&gt;W6),"KO : Le montant retenu est supérieur au montant présenté. Merci de revoir la ligne de recettes ou plafonner son montant.",W6=0,"",AND(Y25=W6,Z25=X6),"OK",OR(Y25&lt;W6,Z25&lt;X6),"Montant instruit inférieur au montant présenté.")</f>
        <v/>
      </c>
      <c r="AC25" s="77">
        <f>IF(X6=0,W6-Y25,X6-Z25)</f>
        <v>0</v>
      </c>
      <c r="AD25" s="213">
        <f t="shared" ref="AD25:AD34" si="4">AA6</f>
        <v>0</v>
      </c>
      <c r="AE25" s="165">
        <f t="shared" ref="AE25:AE34" si="5">AB6</f>
        <v>0</v>
      </c>
      <c r="AF25" s="76">
        <f t="shared" ref="AF25:AF34" si="6">AC6</f>
        <v>0</v>
      </c>
      <c r="AG25" s="76">
        <f t="shared" ref="AG25:AG34" si="7">AD6</f>
        <v>0</v>
      </c>
      <c r="AH25" s="192"/>
      <c r="AI25" s="214" t="str" cm="1">
        <f t="array" ref="AI25">_xlfn.IFS(OR(AG25&gt;AD6,AF25&gt;AC6),"KO : Le montant retenu est supérieur au montant présenté. Merci de revoir la ligne de recettes ou plafonner son montant.",AC6=0,"",AND(AF25=AC6,AG25=AD6),"OK",OR(AF25&lt;AC6,AG25&lt;AD6),"Montant instruit inférieur au montant présenté.")</f>
        <v/>
      </c>
      <c r="AJ25" s="77">
        <f>IF(AD6=0,AC6-AF25,AD6-AG25)</f>
        <v>0</v>
      </c>
      <c r="AK25" s="213">
        <f>AG6</f>
        <v>0</v>
      </c>
      <c r="AL25" s="165">
        <f>AH6</f>
        <v>0</v>
      </c>
      <c r="AM25" s="306">
        <f t="shared" ref="AM25:AN34" si="8">AI6</f>
        <v>0</v>
      </c>
      <c r="AN25" s="306">
        <f t="shared" si="8"/>
        <v>0</v>
      </c>
      <c r="AO25" s="192"/>
      <c r="AP25" s="214" t="str">
        <f>_xlfn.IFS(OR(AN25&gt;AJ6,AM25&gt;AI6),"KO : Le montant retenu est supérieur au montant présenté. Merci de revoir la ligne de recettes ou plafonner son montant.",AI6=0,"",AND(AM25=AI6,AN25=AJ6),"OK",OR(AM25&lt;AI6,AN25&lt;AJ6),"Montant instruit inférieur au montant présenté.")</f>
        <v/>
      </c>
      <c r="AQ25" s="77">
        <f>IF(AJ6=0,AI6-AM25,AJ6-AN25)</f>
        <v>0</v>
      </c>
      <c r="AR25" s="124">
        <f>AM6</f>
        <v>0</v>
      </c>
      <c r="AS25" s="94">
        <f>AN6</f>
        <v>0</v>
      </c>
      <c r="AT25" s="298">
        <f t="shared" ref="AT25:AU34" si="9">AO6</f>
        <v>0</v>
      </c>
      <c r="AU25" s="298">
        <f t="shared" si="9"/>
        <v>0</v>
      </c>
      <c r="AV25" s="192"/>
      <c r="AW25" s="214" t="str">
        <f>_xlfn.IFS(OR(AU25&gt;AP6,AT25&gt;AO6),"KO : Le montant retenu est supérieur au montant présenté. Merci de revoir la ligne de recettes ou plafonner son montant.",AO6=0,"",AND(AT25=AO6,AU25=AP6),"OK",OR(AT25&lt;AO6,AU25&lt;AP6),"Montant instruit inférieur au montant présenté.")</f>
        <v/>
      </c>
      <c r="AX25" s="77">
        <f>IF(AP6=0,AO6-AT25,AP6-AU25)</f>
        <v>0</v>
      </c>
      <c r="AY25" s="124">
        <f>AS6</f>
        <v>0</v>
      </c>
      <c r="AZ25" s="94">
        <f t="shared" ref="AZ25:BB34" si="10">AT6</f>
        <v>0</v>
      </c>
      <c r="BA25" s="94">
        <f t="shared" si="10"/>
        <v>0</v>
      </c>
      <c r="BB25" s="304">
        <f t="shared" si="10"/>
        <v>0</v>
      </c>
      <c r="BC25" s="192"/>
      <c r="BD25" s="214" t="str">
        <f>_xlfn.IFS(OR(BB25&gt;AV6,BA25&gt;AU6),"KO : Le montant retenu est supérieur au montant présenté. Merci de revoir la ligne de recettes ou plafonner son montant.",AU6=0,"",AND(BA25=AU6,BB25=AV6),"OK",OR(BA25&lt;AU6,BB25&lt;AV6),"Montant instruit inférieur au montant présenté.")</f>
        <v/>
      </c>
      <c r="BE25" s="77">
        <f>IF(AV6=0,AU6-BA25,AV6-BB25)</f>
        <v>0</v>
      </c>
    </row>
    <row r="26" spans="1:57" s="74" customFormat="1" ht="15.95" hidden="1" outlineLevel="1">
      <c r="A26" s="185"/>
      <c r="B26" s="215">
        <f t="shared" si="0"/>
        <v>0</v>
      </c>
      <c r="C26" s="57">
        <f t="shared" si="0"/>
        <v>0</v>
      </c>
      <c r="D26" s="78">
        <f t="shared" si="0"/>
        <v>0</v>
      </c>
      <c r="E26" s="78">
        <f t="shared" si="0"/>
        <v>0</v>
      </c>
      <c r="F26" s="194"/>
      <c r="G26" s="216" t="str" cm="1">
        <f t="array" ref="G26">_xlfn.IFS(OR(E26&gt;F7,D26&gt;E7),"KO : Le montant retenu est supérieur au montant présenté. Merci de revoir la ligne de recettes ou plafonner son montant.",E7=0,"",AND(D26=E7,E26=F7),"OK",OR(D26&lt;E7,E26&lt;F7),"Montant instruit inférieur au montant présenté.")</f>
        <v/>
      </c>
      <c r="H26" s="79">
        <f t="shared" ref="H26:H34" si="11">IF(F7=0,E7-D26,F7-E26)</f>
        <v>0</v>
      </c>
      <c r="I26" s="215">
        <f t="shared" si="1"/>
        <v>0</v>
      </c>
      <c r="J26" s="57">
        <f t="shared" si="1"/>
        <v>0</v>
      </c>
      <c r="K26" s="78">
        <f t="shared" si="1"/>
        <v>0</v>
      </c>
      <c r="L26" s="78">
        <f t="shared" si="1"/>
        <v>0</v>
      </c>
      <c r="M26" s="194"/>
      <c r="N26" s="216" t="str" cm="1">
        <f t="array" ref="N26">_xlfn.IFS(OR(L26&gt;L7,K26&gt;K7),"KO : Le montant retenu est supérieur au montant présenté. Merci de revoir la ligne de recettes ou plafonner son montant.",K7=0,"",AND(K26=K7,L26=L7),"OK",OR(K26&lt;K7,L26&lt;L7),"Montant instruit inférieur au montant présenté.")</f>
        <v/>
      </c>
      <c r="O26" s="79">
        <f>IF(L7=0,K7-K26,L7-L26)</f>
        <v>0</v>
      </c>
      <c r="P26" s="215">
        <f t="shared" si="2"/>
        <v>0</v>
      </c>
      <c r="Q26" s="57">
        <f t="shared" si="2"/>
        <v>0</v>
      </c>
      <c r="R26" s="78">
        <f t="shared" si="2"/>
        <v>0</v>
      </c>
      <c r="S26" s="78">
        <f t="shared" si="2"/>
        <v>0</v>
      </c>
      <c r="T26" s="194"/>
      <c r="U26" s="216" t="str" cm="1">
        <f t="array" ref="U26">_xlfn.IFS(OR(S26&gt;R7,R26&gt;Q7),"KO : Le montant retenu est supérieur au montant présenté. Merci de revoir la ligne de recettes ou plafonner son montant.",Q7=0,"",AND(R26=Q7,S26=R7),"OK",OR(R26&lt;Q7,S26&lt;R7),"Montant instruit inférieur au montant présenté.")</f>
        <v/>
      </c>
      <c r="V26" s="79">
        <f t="shared" ref="V26:V34" si="12">IF(R7=0,Q7-R26,R7-S26)</f>
        <v>0</v>
      </c>
      <c r="W26" s="215">
        <f t="shared" si="3"/>
        <v>0</v>
      </c>
      <c r="X26" s="57">
        <f t="shared" si="3"/>
        <v>0</v>
      </c>
      <c r="Y26" s="78">
        <f t="shared" si="3"/>
        <v>0</v>
      </c>
      <c r="Z26" s="78">
        <f t="shared" si="3"/>
        <v>0</v>
      </c>
      <c r="AA26" s="194"/>
      <c r="AB26" s="216" t="str" cm="1">
        <f t="array" ref="AB26">_xlfn.IFS(OR(Z26&gt;X7,Y26&gt;W7),"KO : Le montant retenu est supérieur au montant présenté. Merci de revoir la ligne de recettes ou plafonner son montant.",W7=0,"",AND(Y26=W7,Z26=X7),"OK",OR(Y26&lt;W7,Z26&lt;X7),"Montant instruit inférieur au montant présenté.")</f>
        <v/>
      </c>
      <c r="AC26" s="79">
        <f t="shared" ref="AC26:AC34" si="13">IF(X7=0,W7-Y26,X7-Z26)</f>
        <v>0</v>
      </c>
      <c r="AD26" s="215">
        <f t="shared" si="4"/>
        <v>0</v>
      </c>
      <c r="AE26" s="57">
        <f t="shared" si="5"/>
        <v>0</v>
      </c>
      <c r="AF26" s="78">
        <f t="shared" si="6"/>
        <v>0</v>
      </c>
      <c r="AG26" s="78">
        <f t="shared" si="7"/>
        <v>0</v>
      </c>
      <c r="AH26" s="194"/>
      <c r="AI26" s="216" t="str" cm="1">
        <f t="array" ref="AI26">_xlfn.IFS(OR(AG26&gt;AD7,AF26&gt;AC7),"KO : Le montant retenu est supérieur au montant présenté. Merci de revoir la ligne de recettes ou plafonner son montant.",AC7=0,"",AND(AF26=AC7,AG26=AD7),"OK",OR(AF26&lt;AC7,AG26&lt;AD7),"Montant instruit inférieur au montant présenté.")</f>
        <v/>
      </c>
      <c r="AJ26" s="79">
        <f t="shared" ref="AJ26:AJ34" si="14">IF(AD7=0,AC7-AF26,AD7-AG26)</f>
        <v>0</v>
      </c>
      <c r="AK26" s="213">
        <f t="shared" ref="AK26:AK34" si="15">AG7</f>
        <v>0</v>
      </c>
      <c r="AL26" s="165">
        <f t="shared" ref="AL26:AL34" si="16">AH7</f>
        <v>0</v>
      </c>
      <c r="AM26" s="306">
        <f t="shared" si="8"/>
        <v>0</v>
      </c>
      <c r="AN26" s="306">
        <f t="shared" si="8"/>
        <v>0</v>
      </c>
      <c r="AO26" s="194"/>
      <c r="AP26" s="214" t="str">
        <f t="shared" ref="AP26:AP34" si="17">_xlfn.IFS(OR(AN26&gt;AJ7,AM26&gt;AI7),"KO : Le montant retenu est supérieur au montant présenté. Merci de revoir la ligne de recettes ou plafonner son montant.",AI7=0,"",AND(AM26=AI7,AN26=AJ7),"OK",OR(AM26&lt;AI7,AN26&lt;AJ7),"Montant instruit inférieur au montant présenté.")</f>
        <v/>
      </c>
      <c r="AQ26" s="77">
        <f t="shared" ref="AQ26:AQ34" si="18">IF(AJ7=0,AI7-AM26,AJ7-AN26)</f>
        <v>0</v>
      </c>
      <c r="AR26" s="124">
        <f t="shared" ref="AR26:AS34" si="19">AM7</f>
        <v>0</v>
      </c>
      <c r="AS26" s="165">
        <f t="shared" si="19"/>
        <v>0</v>
      </c>
      <c r="AT26" s="306">
        <f t="shared" si="9"/>
        <v>0</v>
      </c>
      <c r="AU26" s="306">
        <f t="shared" si="9"/>
        <v>0</v>
      </c>
      <c r="AV26" s="194"/>
      <c r="AW26" s="214" t="str">
        <f t="shared" ref="AW26:AW34" si="20">_xlfn.IFS(OR(AU26&gt;AP7,AT26&gt;AO7),"KO : Le montant retenu est supérieur au montant présenté. Merci de revoir la ligne de recettes ou plafonner son montant.",AO7=0,"",AND(AT26=AO7,AU26=AP7),"OK",OR(AT26&lt;AO7,AU26&lt;AP7),"Montant instruit inférieur au montant présenté.")</f>
        <v/>
      </c>
      <c r="AX26" s="77">
        <f t="shared" ref="AX26:AX34" si="21">IF(AP7=0,AO7-AT26,AP7-AU26)</f>
        <v>0</v>
      </c>
      <c r="AY26" s="124">
        <f t="shared" ref="AY26:AY34" si="22">AS7</f>
        <v>0</v>
      </c>
      <c r="AZ26" s="165">
        <f t="shared" si="10"/>
        <v>0</v>
      </c>
      <c r="BA26" s="165">
        <f t="shared" si="10"/>
        <v>0</v>
      </c>
      <c r="BB26" s="304">
        <f t="shared" si="10"/>
        <v>0</v>
      </c>
      <c r="BC26" s="194"/>
      <c r="BD26" s="214" t="str">
        <f t="shared" ref="BD26:BD34" si="23">_xlfn.IFS(OR(BB26&gt;AV7,BA26&gt;AU7),"KO : Le montant retenu est supérieur au montant présenté. Merci de revoir la ligne de recettes ou plafonner son montant.",AU7=0,"",AND(BA26=AU7,BB26=AV7),"OK",OR(BA26&lt;AU7,BB26&lt;AV7),"Montant instruit inférieur au montant présenté.")</f>
        <v/>
      </c>
      <c r="BE26" s="77">
        <f t="shared" ref="BE26:BE34" si="24">IF(AV7=0,AU7-BA26,AV7-BB26)</f>
        <v>0</v>
      </c>
    </row>
    <row r="27" spans="1:57" s="74" customFormat="1" ht="15.95" hidden="1" outlineLevel="1">
      <c r="A27" s="185"/>
      <c r="B27" s="215">
        <f t="shared" ref="B27:D34" si="25">C8</f>
        <v>0</v>
      </c>
      <c r="C27" s="57">
        <f t="shared" si="25"/>
        <v>0</v>
      </c>
      <c r="D27" s="78">
        <f t="shared" si="25"/>
        <v>0</v>
      </c>
      <c r="E27" s="78">
        <f t="shared" ref="E27" si="26">F8</f>
        <v>0</v>
      </c>
      <c r="F27" s="194"/>
      <c r="G27" s="216" t="str" cm="1">
        <f t="array" ref="G27">_xlfn.IFS(OR(E27&gt;F8,D27&gt;E8),"KO : Le montant retenu est supérieur au montant présenté. Merci de revoir la ligne de recettes ou plafonner son montant.",E8=0,"",AND(D27=E8,E27=F8),"OK",OR(D27&lt;E8,E27&lt;F8),"Montant instruit inférieur au montant présenté.")</f>
        <v/>
      </c>
      <c r="H27" s="79">
        <f t="shared" si="11"/>
        <v>0</v>
      </c>
      <c r="I27" s="215">
        <f t="shared" si="1"/>
        <v>0</v>
      </c>
      <c r="J27" s="57">
        <f t="shared" si="1"/>
        <v>0</v>
      </c>
      <c r="K27" s="78">
        <f t="shared" si="1"/>
        <v>0</v>
      </c>
      <c r="L27" s="78">
        <f t="shared" si="1"/>
        <v>0</v>
      </c>
      <c r="M27" s="194"/>
      <c r="N27" s="216" t="str" cm="1">
        <f t="array" ref="N27">_xlfn.IFS(OR(L27&gt;L8,K27&gt;K8),"KO : Le montant retenu est supérieur au montant présenté. Merci de revoir la ligne de recettes ou plafonner son montant.",K8=0,"",AND(K27=K8,L27=L8),"OK",OR(K27&lt;K8,L27&lt;L8),"Montant instruit inférieur au montant présenté.")</f>
        <v/>
      </c>
      <c r="O27" s="79">
        <f t="shared" ref="O27:O34" si="27">IF(L8=0,K8-K27,L8-L27)</f>
        <v>0</v>
      </c>
      <c r="P27" s="215">
        <f t="shared" si="2"/>
        <v>0</v>
      </c>
      <c r="Q27" s="57">
        <f t="shared" si="2"/>
        <v>0</v>
      </c>
      <c r="R27" s="78">
        <f t="shared" si="2"/>
        <v>0</v>
      </c>
      <c r="S27" s="78">
        <f t="shared" si="2"/>
        <v>0</v>
      </c>
      <c r="T27" s="194"/>
      <c r="U27" s="216" t="str" cm="1">
        <f t="array" ref="U27">_xlfn.IFS(OR(S27&gt;R8,R27&gt;Q8),"KO : Le montant retenu est supérieur au montant présenté. Merci de revoir la ligne de recettes ou plafonner son montant.",Q8=0,"",AND(R27=Q8,S27=R8),"OK",OR(R27&lt;Q8,S27&lt;R8),"Montant instruit inférieur au montant présenté.")</f>
        <v/>
      </c>
      <c r="V27" s="79">
        <f t="shared" si="12"/>
        <v>0</v>
      </c>
      <c r="W27" s="215">
        <f t="shared" ref="W27:X34" si="28">U8</f>
        <v>0</v>
      </c>
      <c r="X27" s="57">
        <f t="shared" si="28"/>
        <v>0</v>
      </c>
      <c r="Y27" s="78">
        <f t="shared" ref="Y27:Y34" si="29">W8</f>
        <v>0</v>
      </c>
      <c r="Z27" s="78">
        <f t="shared" ref="Z27:Z34" si="30">X8</f>
        <v>0</v>
      </c>
      <c r="AA27" s="194"/>
      <c r="AB27" s="216" t="str" cm="1">
        <f t="array" ref="AB27">_xlfn.IFS(OR(Z27&gt;X8,Y27&gt;W8),"KO : Le montant retenu est supérieur au montant présenté. Merci de revoir la ligne de recettes ou plafonner son montant.",W8=0,"",AND(Y27=W8,Z27=X8),"OK",OR(Y27&lt;W8,Z27&lt;X8),"Montant instruit inférieur au montant présenté.")</f>
        <v/>
      </c>
      <c r="AC27" s="79">
        <f t="shared" si="13"/>
        <v>0</v>
      </c>
      <c r="AD27" s="215">
        <f t="shared" si="4"/>
        <v>0</v>
      </c>
      <c r="AE27" s="57">
        <f t="shared" si="5"/>
        <v>0</v>
      </c>
      <c r="AF27" s="78">
        <f t="shared" si="6"/>
        <v>0</v>
      </c>
      <c r="AG27" s="78">
        <f t="shared" si="7"/>
        <v>0</v>
      </c>
      <c r="AH27" s="194"/>
      <c r="AI27" s="216" t="str" cm="1">
        <f t="array" ref="AI27">_xlfn.IFS(OR(AG27&gt;AD8,AF27&gt;AC8),"KO : Le montant retenu est supérieur au montant présenté. Merci de revoir la ligne de recettes ou plafonner son montant.",AC8=0,"",AND(AF27=AC8,AG27=AD8),"OK",OR(AF27&lt;AC8,AG27&lt;AD8),"Montant instruit inférieur au montant présenté.")</f>
        <v/>
      </c>
      <c r="AJ27" s="79">
        <f>IF(AD8=0,AC8-AF27,AD8-AG27)</f>
        <v>0</v>
      </c>
      <c r="AK27" s="213">
        <f t="shared" si="15"/>
        <v>0</v>
      </c>
      <c r="AL27" s="165">
        <f t="shared" si="16"/>
        <v>0</v>
      </c>
      <c r="AM27" s="306">
        <f t="shared" si="8"/>
        <v>0</v>
      </c>
      <c r="AN27" s="306">
        <f t="shared" si="8"/>
        <v>0</v>
      </c>
      <c r="AO27" s="194"/>
      <c r="AP27" s="214" t="str">
        <f t="shared" si="17"/>
        <v/>
      </c>
      <c r="AQ27" s="77">
        <f t="shared" si="18"/>
        <v>0</v>
      </c>
      <c r="AR27" s="124">
        <f t="shared" si="19"/>
        <v>0</v>
      </c>
      <c r="AS27" s="165">
        <f t="shared" si="19"/>
        <v>0</v>
      </c>
      <c r="AT27" s="306">
        <f t="shared" si="9"/>
        <v>0</v>
      </c>
      <c r="AU27" s="306">
        <f t="shared" si="9"/>
        <v>0</v>
      </c>
      <c r="AV27" s="194"/>
      <c r="AW27" s="214" t="str">
        <f t="shared" si="20"/>
        <v/>
      </c>
      <c r="AX27" s="77">
        <f t="shared" si="21"/>
        <v>0</v>
      </c>
      <c r="AY27" s="124">
        <f t="shared" si="22"/>
        <v>0</v>
      </c>
      <c r="AZ27" s="165">
        <f t="shared" si="10"/>
        <v>0</v>
      </c>
      <c r="BA27" s="165">
        <f t="shared" si="10"/>
        <v>0</v>
      </c>
      <c r="BB27" s="304">
        <f t="shared" si="10"/>
        <v>0</v>
      </c>
      <c r="BC27" s="194"/>
      <c r="BD27" s="214" t="str">
        <f t="shared" si="23"/>
        <v/>
      </c>
      <c r="BE27" s="77">
        <f t="shared" si="24"/>
        <v>0</v>
      </c>
    </row>
    <row r="28" spans="1:57" s="74" customFormat="1" ht="15.95" hidden="1" outlineLevel="1">
      <c r="A28" s="185"/>
      <c r="B28" s="215">
        <f t="shared" si="25"/>
        <v>0</v>
      </c>
      <c r="C28" s="57">
        <f t="shared" si="25"/>
        <v>0</v>
      </c>
      <c r="D28" s="78">
        <f t="shared" si="25"/>
        <v>0</v>
      </c>
      <c r="E28" s="78">
        <f t="shared" ref="E28" si="31">F9</f>
        <v>0</v>
      </c>
      <c r="F28" s="194"/>
      <c r="G28" s="216" t="str" cm="1">
        <f t="array" ref="G28">_xlfn.IFS(OR(E28&gt;F9,D28&gt;E9),"KO : Le montant retenu est supérieur au montant présenté. Merci de revoir la ligne de recettes ou plafonner son montant.",E9=0,"",AND(D28=E9,E28=F9),"OK",OR(D28&lt;E9,E28&lt;F9),"Montant instruit inférieur au montant présenté.")</f>
        <v/>
      </c>
      <c r="H28" s="79">
        <f t="shared" si="11"/>
        <v>0</v>
      </c>
      <c r="I28" s="215">
        <f t="shared" si="1"/>
        <v>0</v>
      </c>
      <c r="J28" s="57">
        <f t="shared" si="1"/>
        <v>0</v>
      </c>
      <c r="K28" s="78">
        <f t="shared" si="1"/>
        <v>0</v>
      </c>
      <c r="L28" s="78">
        <f t="shared" si="1"/>
        <v>0</v>
      </c>
      <c r="M28" s="194"/>
      <c r="N28" s="216" t="str" cm="1">
        <f t="array" ref="N28">_xlfn.IFS(OR(L28&gt;L9,K28&gt;K9),"KO : Le montant retenu est supérieur au montant présenté. Merci de revoir la ligne de recettes ou plafonner son montant.",K9=0,"",AND(K28=K9,L28=L9),"OK",OR(K28&lt;K9,L28&lt;L9),"Montant instruit inférieur au montant présenté.")</f>
        <v/>
      </c>
      <c r="O28" s="79">
        <f t="shared" si="27"/>
        <v>0</v>
      </c>
      <c r="P28" s="215">
        <f t="shared" si="2"/>
        <v>0</v>
      </c>
      <c r="Q28" s="57">
        <f t="shared" si="2"/>
        <v>0</v>
      </c>
      <c r="R28" s="78">
        <f t="shared" si="2"/>
        <v>0</v>
      </c>
      <c r="S28" s="78">
        <f t="shared" si="2"/>
        <v>0</v>
      </c>
      <c r="T28" s="194"/>
      <c r="U28" s="216" t="str" cm="1">
        <f t="array" ref="U28">_xlfn.IFS(OR(S28&gt;R9,R28&gt;Q9),"KO : Le montant retenu est supérieur au montant présenté. Merci de revoir la ligne de recettes ou plafonner son montant.",Q9=0,"",AND(R28=Q9,S28=R9),"OK",OR(R28&lt;Q9,S28&lt;R9),"Montant instruit inférieur au montant présenté.")</f>
        <v/>
      </c>
      <c r="V28" s="79">
        <f t="shared" si="12"/>
        <v>0</v>
      </c>
      <c r="W28" s="215">
        <f t="shared" si="28"/>
        <v>0</v>
      </c>
      <c r="X28" s="57">
        <f t="shared" si="28"/>
        <v>0</v>
      </c>
      <c r="Y28" s="78">
        <f t="shared" si="29"/>
        <v>0</v>
      </c>
      <c r="Z28" s="78">
        <f t="shared" si="30"/>
        <v>0</v>
      </c>
      <c r="AA28" s="194"/>
      <c r="AB28" s="216" t="str" cm="1">
        <f t="array" ref="AB28">_xlfn.IFS(OR(Z28&gt;X9,Y28&gt;W9),"KO : Le montant retenu est supérieur au montant présenté. Merci de revoir la ligne de recettes ou plafonner son montant.",W9=0,"",AND(Y28=W9,Z28=X9),"OK",OR(Y28&lt;W9,Z28&lt;X9),"Montant instruit inférieur au montant présenté.")</f>
        <v/>
      </c>
      <c r="AC28" s="79">
        <f t="shared" si="13"/>
        <v>0</v>
      </c>
      <c r="AD28" s="215">
        <f t="shared" si="4"/>
        <v>0</v>
      </c>
      <c r="AE28" s="57">
        <f t="shared" si="5"/>
        <v>0</v>
      </c>
      <c r="AF28" s="78">
        <f t="shared" si="6"/>
        <v>0</v>
      </c>
      <c r="AG28" s="78">
        <f t="shared" si="7"/>
        <v>0</v>
      </c>
      <c r="AH28" s="194"/>
      <c r="AI28" s="216" t="str" cm="1">
        <f t="array" ref="AI28">_xlfn.IFS(OR(AG28&gt;AD9,AF28&gt;AC9),"KO : Le montant retenu est supérieur au montant présenté. Merci de revoir la ligne de recettes ou plafonner son montant.",AC9=0,"",AND(AF28=AC9,AG28=AD9),"OK",OR(AF28&lt;AC9,AG28&lt;AD9),"Montant instruit inférieur au montant présenté.")</f>
        <v/>
      </c>
      <c r="AJ28" s="79">
        <f>IF(AD9=0,AC9-AF28,AD9-AG28)</f>
        <v>0</v>
      </c>
      <c r="AK28" s="213">
        <f t="shared" si="15"/>
        <v>0</v>
      </c>
      <c r="AL28" s="165">
        <f t="shared" si="16"/>
        <v>0</v>
      </c>
      <c r="AM28" s="306">
        <f t="shared" si="8"/>
        <v>0</v>
      </c>
      <c r="AN28" s="306">
        <f t="shared" si="8"/>
        <v>0</v>
      </c>
      <c r="AO28" s="194"/>
      <c r="AP28" s="214" t="str">
        <f t="shared" si="17"/>
        <v/>
      </c>
      <c r="AQ28" s="77">
        <f t="shared" si="18"/>
        <v>0</v>
      </c>
      <c r="AR28" s="124">
        <f t="shared" si="19"/>
        <v>0</v>
      </c>
      <c r="AS28" s="165">
        <f t="shared" si="19"/>
        <v>0</v>
      </c>
      <c r="AT28" s="306">
        <f t="shared" si="9"/>
        <v>0</v>
      </c>
      <c r="AU28" s="306">
        <f t="shared" si="9"/>
        <v>0</v>
      </c>
      <c r="AV28" s="194"/>
      <c r="AW28" s="214" t="str">
        <f t="shared" si="20"/>
        <v/>
      </c>
      <c r="AX28" s="77">
        <f t="shared" si="21"/>
        <v>0</v>
      </c>
      <c r="AY28" s="124">
        <f t="shared" si="22"/>
        <v>0</v>
      </c>
      <c r="AZ28" s="165">
        <f t="shared" si="10"/>
        <v>0</v>
      </c>
      <c r="BA28" s="165">
        <f t="shared" si="10"/>
        <v>0</v>
      </c>
      <c r="BB28" s="304">
        <f t="shared" si="10"/>
        <v>0</v>
      </c>
      <c r="BC28" s="194"/>
      <c r="BD28" s="214" t="str">
        <f t="shared" si="23"/>
        <v/>
      </c>
      <c r="BE28" s="77">
        <f t="shared" si="24"/>
        <v>0</v>
      </c>
    </row>
    <row r="29" spans="1:57" s="74" customFormat="1" ht="15.95" hidden="1" outlineLevel="1">
      <c r="A29" s="185"/>
      <c r="B29" s="215">
        <f t="shared" si="25"/>
        <v>0</v>
      </c>
      <c r="C29" s="57">
        <f t="shared" si="25"/>
        <v>0</v>
      </c>
      <c r="D29" s="78">
        <f t="shared" si="25"/>
        <v>0</v>
      </c>
      <c r="E29" s="78">
        <f t="shared" ref="E29" si="32">F10</f>
        <v>0</v>
      </c>
      <c r="F29" s="194"/>
      <c r="G29" s="216" t="str" cm="1">
        <f t="array" ref="G29">_xlfn.IFS(OR(E29&gt;F10,D29&gt;E10),"KO : Le montant retenu est supérieur au montant présenté. Merci de revoir la ligne de recettes ou plafonner son montant.",E10=0,"",AND(D29=E10,E29=F10),"OK",OR(D29&lt;E10,E29&lt;F10),"Montant instruit inférieur au montant présenté.")</f>
        <v/>
      </c>
      <c r="H29" s="79">
        <f t="shared" si="11"/>
        <v>0</v>
      </c>
      <c r="I29" s="215">
        <f t="shared" si="1"/>
        <v>0</v>
      </c>
      <c r="J29" s="57">
        <f t="shared" si="1"/>
        <v>0</v>
      </c>
      <c r="K29" s="78">
        <f t="shared" si="1"/>
        <v>0</v>
      </c>
      <c r="L29" s="78">
        <f t="shared" si="1"/>
        <v>0</v>
      </c>
      <c r="M29" s="194"/>
      <c r="N29" s="216" t="str" cm="1">
        <f t="array" ref="N29">_xlfn.IFS(OR(L29&gt;L10,K29&gt;K10),"KO : Le montant retenu est supérieur au montant présenté. Merci de revoir la ligne de recettes ou plafonner son montant.",K10=0,"",AND(K29=K10,L29=L10),"OK",OR(K29&lt;K10,L29&lt;L10),"Montant instruit inférieur au montant présenté.")</f>
        <v/>
      </c>
      <c r="O29" s="79">
        <f t="shared" si="27"/>
        <v>0</v>
      </c>
      <c r="P29" s="215">
        <f t="shared" si="2"/>
        <v>0</v>
      </c>
      <c r="Q29" s="57">
        <f t="shared" si="2"/>
        <v>0</v>
      </c>
      <c r="R29" s="78">
        <f t="shared" si="2"/>
        <v>0</v>
      </c>
      <c r="S29" s="78">
        <f t="shared" si="2"/>
        <v>0</v>
      </c>
      <c r="T29" s="194"/>
      <c r="U29" s="216" t="str" cm="1">
        <f t="array" ref="U29">_xlfn.IFS(OR(S29&gt;R10,R29&gt;Q10),"KO : Le montant retenu est supérieur au montant présenté. Merci de revoir la ligne de recettes ou plafonner son montant.",Q10=0,"",AND(R29=Q10,S29=R10),"OK",OR(R29&lt;Q10,S29&lt;R10),"Montant instruit inférieur au montant présenté.")</f>
        <v/>
      </c>
      <c r="V29" s="79">
        <f t="shared" si="12"/>
        <v>0</v>
      </c>
      <c r="W29" s="215">
        <f t="shared" si="28"/>
        <v>0</v>
      </c>
      <c r="X29" s="57">
        <f t="shared" si="28"/>
        <v>0</v>
      </c>
      <c r="Y29" s="78">
        <f t="shared" si="29"/>
        <v>0</v>
      </c>
      <c r="Z29" s="78">
        <f t="shared" si="30"/>
        <v>0</v>
      </c>
      <c r="AA29" s="194"/>
      <c r="AB29" s="216" t="str" cm="1">
        <f t="array" ref="AB29">_xlfn.IFS(OR(Z29&gt;X10,Y29&gt;W10),"KO : Le montant retenu est supérieur au montant présenté. Merci de revoir la ligne de recettes ou plafonner son montant.",W10=0,"",AND(Y29=W10,Z29=X10),"OK",OR(Y29&lt;W10,Z29&lt;X10),"Montant instruit inférieur au montant présenté.")</f>
        <v/>
      </c>
      <c r="AC29" s="79">
        <f t="shared" si="13"/>
        <v>0</v>
      </c>
      <c r="AD29" s="215">
        <f t="shared" si="4"/>
        <v>0</v>
      </c>
      <c r="AE29" s="57">
        <f t="shared" si="5"/>
        <v>0</v>
      </c>
      <c r="AF29" s="78">
        <f t="shared" si="6"/>
        <v>0</v>
      </c>
      <c r="AG29" s="78">
        <f t="shared" si="7"/>
        <v>0</v>
      </c>
      <c r="AH29" s="194"/>
      <c r="AI29" s="216" t="str" cm="1">
        <f t="array" ref="AI29">_xlfn.IFS(OR(AG29&gt;AD10,AF29&gt;AC10),"KO : Le montant retenu est supérieur au montant présenté. Merci de revoir la ligne de recettes ou plafonner son montant.",AC10=0,"",AND(AF29=AC10,AG29=AD10),"OK",OR(AF29&lt;AC10,AG29&lt;AD10),"Montant instruit inférieur au montant présenté.")</f>
        <v/>
      </c>
      <c r="AJ29" s="79">
        <f t="shared" si="14"/>
        <v>0</v>
      </c>
      <c r="AK29" s="213">
        <f t="shared" si="15"/>
        <v>0</v>
      </c>
      <c r="AL29" s="165">
        <f t="shared" si="16"/>
        <v>0</v>
      </c>
      <c r="AM29" s="306">
        <f t="shared" si="8"/>
        <v>0</v>
      </c>
      <c r="AN29" s="306">
        <f t="shared" si="8"/>
        <v>0</v>
      </c>
      <c r="AO29" s="194"/>
      <c r="AP29" s="214" t="str">
        <f t="shared" si="17"/>
        <v/>
      </c>
      <c r="AQ29" s="77">
        <f t="shared" si="18"/>
        <v>0</v>
      </c>
      <c r="AR29" s="124">
        <f t="shared" si="19"/>
        <v>0</v>
      </c>
      <c r="AS29" s="165">
        <f t="shared" si="19"/>
        <v>0</v>
      </c>
      <c r="AT29" s="306">
        <f t="shared" si="9"/>
        <v>0</v>
      </c>
      <c r="AU29" s="306">
        <f t="shared" si="9"/>
        <v>0</v>
      </c>
      <c r="AV29" s="194"/>
      <c r="AW29" s="214" t="str">
        <f t="shared" si="20"/>
        <v/>
      </c>
      <c r="AX29" s="77">
        <f t="shared" si="21"/>
        <v>0</v>
      </c>
      <c r="AY29" s="124">
        <f t="shared" si="22"/>
        <v>0</v>
      </c>
      <c r="AZ29" s="165">
        <f t="shared" si="10"/>
        <v>0</v>
      </c>
      <c r="BA29" s="165">
        <f t="shared" si="10"/>
        <v>0</v>
      </c>
      <c r="BB29" s="304">
        <f t="shared" si="10"/>
        <v>0</v>
      </c>
      <c r="BC29" s="194"/>
      <c r="BD29" s="214" t="str">
        <f t="shared" si="23"/>
        <v/>
      </c>
      <c r="BE29" s="77">
        <f t="shared" si="24"/>
        <v>0</v>
      </c>
    </row>
    <row r="30" spans="1:57" s="74" customFormat="1" ht="15.95" hidden="1" outlineLevel="1">
      <c r="A30" s="185"/>
      <c r="B30" s="215">
        <f t="shared" si="25"/>
        <v>0</v>
      </c>
      <c r="C30" s="57">
        <f t="shared" si="25"/>
        <v>0</v>
      </c>
      <c r="D30" s="78">
        <f t="shared" si="25"/>
        <v>0</v>
      </c>
      <c r="E30" s="78">
        <f t="shared" ref="E30" si="33">F11</f>
        <v>0</v>
      </c>
      <c r="F30" s="194"/>
      <c r="G30" s="216" t="str" cm="1">
        <f t="array" ref="G30">_xlfn.IFS(OR(E30&gt;F11,D30&gt;E11),"KO : Le montant retenu est supérieur au montant présenté. Merci de revoir la ligne de recettes ou plafonner son montant.",E11=0,"",AND(D30=E11,E30=F11),"OK",OR(D30&lt;E11,E30&lt;F11),"Montant instruit inférieur au montant présenté.")</f>
        <v/>
      </c>
      <c r="H30" s="79">
        <f t="shared" si="11"/>
        <v>0</v>
      </c>
      <c r="I30" s="215">
        <f t="shared" si="1"/>
        <v>0</v>
      </c>
      <c r="J30" s="57">
        <f t="shared" si="1"/>
        <v>0</v>
      </c>
      <c r="K30" s="78">
        <f t="shared" si="1"/>
        <v>0</v>
      </c>
      <c r="L30" s="78">
        <f t="shared" si="1"/>
        <v>0</v>
      </c>
      <c r="M30" s="194"/>
      <c r="N30" s="216" t="str" cm="1">
        <f t="array" ref="N30">_xlfn.IFS(OR(L30&gt;L11,K30&gt;K11),"KO : Le montant retenu est supérieur au montant présenté. Merci de revoir la ligne de recettes ou plafonner son montant.",K11=0,"",AND(K30=K11,L30=L11),"OK",OR(K30&lt;K11,L30&lt;L11),"Montant instruit inférieur au montant présenté.")</f>
        <v/>
      </c>
      <c r="O30" s="79">
        <f t="shared" si="27"/>
        <v>0</v>
      </c>
      <c r="P30" s="215">
        <f t="shared" si="2"/>
        <v>0</v>
      </c>
      <c r="Q30" s="57">
        <f t="shared" si="2"/>
        <v>0</v>
      </c>
      <c r="R30" s="78">
        <f t="shared" si="2"/>
        <v>0</v>
      </c>
      <c r="S30" s="78">
        <f t="shared" si="2"/>
        <v>0</v>
      </c>
      <c r="T30" s="194"/>
      <c r="U30" s="216" t="str" cm="1">
        <f t="array" ref="U30">_xlfn.IFS(OR(S30&gt;R11,R30&gt;Q11),"KO : Le montant retenu est supérieur au montant présenté. Merci de revoir la ligne de recettes ou plafonner son montant.",Q11=0,"",AND(R30=Q11,S30=R11),"OK",OR(R30&lt;Q11,S30&lt;R11),"Montant instruit inférieur au montant présenté.")</f>
        <v/>
      </c>
      <c r="V30" s="79">
        <f t="shared" si="12"/>
        <v>0</v>
      </c>
      <c r="W30" s="215">
        <f t="shared" si="28"/>
        <v>0</v>
      </c>
      <c r="X30" s="57">
        <f t="shared" si="28"/>
        <v>0</v>
      </c>
      <c r="Y30" s="78">
        <f t="shared" si="29"/>
        <v>0</v>
      </c>
      <c r="Z30" s="78">
        <f t="shared" si="30"/>
        <v>0</v>
      </c>
      <c r="AA30" s="194"/>
      <c r="AB30" s="216" t="str" cm="1">
        <f t="array" ref="AB30">_xlfn.IFS(OR(Z30&gt;X11,Y30&gt;W11),"KO : Le montant retenu est supérieur au montant présenté. Merci de revoir la ligne de recettes ou plafonner son montant.",W11=0,"",AND(Y30=W11,Z30=X11),"OK",OR(Y30&lt;W11,Z30&lt;X11),"Montant instruit inférieur au montant présenté.")</f>
        <v/>
      </c>
      <c r="AC30" s="79">
        <f t="shared" si="13"/>
        <v>0</v>
      </c>
      <c r="AD30" s="215">
        <f t="shared" si="4"/>
        <v>0</v>
      </c>
      <c r="AE30" s="57">
        <f t="shared" si="5"/>
        <v>0</v>
      </c>
      <c r="AF30" s="78">
        <f t="shared" si="6"/>
        <v>0</v>
      </c>
      <c r="AG30" s="78">
        <f t="shared" si="7"/>
        <v>0</v>
      </c>
      <c r="AH30" s="194"/>
      <c r="AI30" s="216" t="str" cm="1">
        <f t="array" ref="AI30">_xlfn.IFS(OR(AG30&gt;AD11,AF30&gt;AC11),"KO : Le montant retenu est supérieur au montant présenté. Merci de revoir la ligne de recettes ou plafonner son montant.",AC11=0,"",AND(AF30=AC11,AG30=AD11),"OK",OR(AF30&lt;AC11,AG30&lt;AD11),"Montant instruit inférieur au montant présenté.")</f>
        <v/>
      </c>
      <c r="AJ30" s="79">
        <f t="shared" si="14"/>
        <v>0</v>
      </c>
      <c r="AK30" s="213">
        <f t="shared" si="15"/>
        <v>0</v>
      </c>
      <c r="AL30" s="165">
        <f t="shared" si="16"/>
        <v>0</v>
      </c>
      <c r="AM30" s="306">
        <f t="shared" si="8"/>
        <v>0</v>
      </c>
      <c r="AN30" s="306">
        <f t="shared" si="8"/>
        <v>0</v>
      </c>
      <c r="AO30" s="194"/>
      <c r="AP30" s="214" t="str">
        <f t="shared" si="17"/>
        <v/>
      </c>
      <c r="AQ30" s="77">
        <f t="shared" si="18"/>
        <v>0</v>
      </c>
      <c r="AR30" s="124">
        <f t="shared" si="19"/>
        <v>0</v>
      </c>
      <c r="AS30" s="165">
        <f t="shared" si="19"/>
        <v>0</v>
      </c>
      <c r="AT30" s="306">
        <f t="shared" si="9"/>
        <v>0</v>
      </c>
      <c r="AU30" s="306">
        <f t="shared" si="9"/>
        <v>0</v>
      </c>
      <c r="AV30" s="194"/>
      <c r="AW30" s="214" t="str">
        <f t="shared" si="20"/>
        <v/>
      </c>
      <c r="AX30" s="77">
        <f t="shared" si="21"/>
        <v>0</v>
      </c>
      <c r="AY30" s="124">
        <f t="shared" si="22"/>
        <v>0</v>
      </c>
      <c r="AZ30" s="165">
        <f t="shared" si="10"/>
        <v>0</v>
      </c>
      <c r="BA30" s="165">
        <f t="shared" si="10"/>
        <v>0</v>
      </c>
      <c r="BB30" s="304">
        <f t="shared" si="10"/>
        <v>0</v>
      </c>
      <c r="BC30" s="194"/>
      <c r="BD30" s="214" t="str">
        <f t="shared" si="23"/>
        <v/>
      </c>
      <c r="BE30" s="77">
        <f t="shared" si="24"/>
        <v>0</v>
      </c>
    </row>
    <row r="31" spans="1:57" s="74" customFormat="1" ht="15.95" hidden="1" outlineLevel="1">
      <c r="A31" s="185"/>
      <c r="B31" s="215">
        <f t="shared" si="25"/>
        <v>0</v>
      </c>
      <c r="C31" s="57">
        <f t="shared" si="25"/>
        <v>0</v>
      </c>
      <c r="D31" s="78">
        <f t="shared" si="25"/>
        <v>0</v>
      </c>
      <c r="E31" s="78">
        <f t="shared" ref="E31" si="34">F12</f>
        <v>0</v>
      </c>
      <c r="F31" s="194"/>
      <c r="G31" s="216" t="str" cm="1">
        <f t="array" ref="G31">_xlfn.IFS(OR(E31&gt;F12,D31&gt;E12),"KO : Le montant retenu est supérieur au montant présenté. Merci de revoir la ligne de recettes ou plafonner son montant.",E12=0,"",AND(D31=E12,E31=F12),"OK",OR(D31&lt;E12,E31&lt;F12),"Montant instruit inférieur au montant présenté.")</f>
        <v/>
      </c>
      <c r="H31" s="79">
        <f t="shared" si="11"/>
        <v>0</v>
      </c>
      <c r="I31" s="215">
        <f t="shared" si="1"/>
        <v>0</v>
      </c>
      <c r="J31" s="57">
        <f t="shared" si="1"/>
        <v>0</v>
      </c>
      <c r="K31" s="78">
        <f t="shared" si="1"/>
        <v>0</v>
      </c>
      <c r="L31" s="78">
        <f t="shared" si="1"/>
        <v>0</v>
      </c>
      <c r="M31" s="194"/>
      <c r="N31" s="216" t="str" cm="1">
        <f t="array" ref="N31">_xlfn.IFS(OR(L31&gt;L12,K31&gt;K12),"KO : Le montant retenu est supérieur au montant présenté. Merci de revoir la ligne de recettes ou plafonner son montant.",K12=0,"",AND(K31=K12,L31=L12),"OK",OR(K31&lt;K12,L31&lt;L12),"Montant instruit inférieur au montant présenté.")</f>
        <v/>
      </c>
      <c r="O31" s="79">
        <f t="shared" si="27"/>
        <v>0</v>
      </c>
      <c r="P31" s="215">
        <f t="shared" si="2"/>
        <v>0</v>
      </c>
      <c r="Q31" s="57">
        <f t="shared" si="2"/>
        <v>0</v>
      </c>
      <c r="R31" s="78">
        <f t="shared" si="2"/>
        <v>0</v>
      </c>
      <c r="S31" s="78">
        <f t="shared" si="2"/>
        <v>0</v>
      </c>
      <c r="T31" s="194"/>
      <c r="U31" s="216" t="str" cm="1">
        <f t="array" ref="U31">_xlfn.IFS(OR(S31&gt;R12,R31&gt;Q12),"KO : Le montant retenu est supérieur au montant présenté. Merci de revoir la ligne de recettes ou plafonner son montant.",Q12=0,"",AND(R31=Q12,S31=R12),"OK",OR(R31&lt;Q12,S31&lt;R12),"Montant instruit inférieur au montant présenté.")</f>
        <v/>
      </c>
      <c r="V31" s="79">
        <f t="shared" si="12"/>
        <v>0</v>
      </c>
      <c r="W31" s="215">
        <f t="shared" si="28"/>
        <v>0</v>
      </c>
      <c r="X31" s="57">
        <f t="shared" si="28"/>
        <v>0</v>
      </c>
      <c r="Y31" s="78">
        <f t="shared" si="29"/>
        <v>0</v>
      </c>
      <c r="Z31" s="78">
        <f t="shared" si="30"/>
        <v>0</v>
      </c>
      <c r="AA31" s="194"/>
      <c r="AB31" s="216" t="str" cm="1">
        <f t="array" ref="AB31">_xlfn.IFS(OR(Z31&gt;X12,Y31&gt;W12),"KO : Le montant retenu est supérieur au montant présenté. Merci de revoir la ligne de recettes ou plafonner son montant.",W12=0,"",AND(Y31=W12,Z31=X12),"OK",OR(Y31&lt;W12,Z31&lt;X12),"Montant instruit inférieur au montant présenté.")</f>
        <v/>
      </c>
      <c r="AC31" s="79">
        <f t="shared" si="13"/>
        <v>0</v>
      </c>
      <c r="AD31" s="215">
        <f t="shared" si="4"/>
        <v>0</v>
      </c>
      <c r="AE31" s="57">
        <f t="shared" si="5"/>
        <v>0</v>
      </c>
      <c r="AF31" s="78">
        <f t="shared" si="6"/>
        <v>0</v>
      </c>
      <c r="AG31" s="78">
        <f t="shared" si="7"/>
        <v>0</v>
      </c>
      <c r="AH31" s="194"/>
      <c r="AI31" s="216" t="str" cm="1">
        <f t="array" ref="AI31">_xlfn.IFS(OR(AG31&gt;AD12,AF31&gt;AC12),"KO : Le montant retenu est supérieur au montant présenté. Merci de revoir la ligne de recettes ou plafonner son montant.",AC12=0,"",AND(AF31=AC12,AG31=AD12),"OK",OR(AF31&lt;AC12,AG31&lt;AD12),"Montant instruit inférieur au montant présenté.")</f>
        <v/>
      </c>
      <c r="AJ31" s="79">
        <f t="shared" si="14"/>
        <v>0</v>
      </c>
      <c r="AK31" s="213">
        <f t="shared" si="15"/>
        <v>0</v>
      </c>
      <c r="AL31" s="165">
        <f t="shared" si="16"/>
        <v>0</v>
      </c>
      <c r="AM31" s="306">
        <f t="shared" si="8"/>
        <v>0</v>
      </c>
      <c r="AN31" s="306">
        <f t="shared" si="8"/>
        <v>0</v>
      </c>
      <c r="AO31" s="194"/>
      <c r="AP31" s="214" t="str">
        <f t="shared" si="17"/>
        <v/>
      </c>
      <c r="AQ31" s="77">
        <f>IF(AJ12=0,AI12-AM31,AJ12-AN31)</f>
        <v>0</v>
      </c>
      <c r="AR31" s="124">
        <f t="shared" si="19"/>
        <v>0</v>
      </c>
      <c r="AS31" s="165">
        <f t="shared" si="19"/>
        <v>0</v>
      </c>
      <c r="AT31" s="306">
        <f t="shared" si="9"/>
        <v>0</v>
      </c>
      <c r="AU31" s="306">
        <f t="shared" si="9"/>
        <v>0</v>
      </c>
      <c r="AV31" s="194"/>
      <c r="AW31" s="214" t="str">
        <f t="shared" si="20"/>
        <v/>
      </c>
      <c r="AX31" s="77">
        <f t="shared" si="21"/>
        <v>0</v>
      </c>
      <c r="AY31" s="124">
        <f t="shared" si="22"/>
        <v>0</v>
      </c>
      <c r="AZ31" s="165">
        <f t="shared" si="10"/>
        <v>0</v>
      </c>
      <c r="BA31" s="165">
        <f t="shared" si="10"/>
        <v>0</v>
      </c>
      <c r="BB31" s="304">
        <f t="shared" si="10"/>
        <v>0</v>
      </c>
      <c r="BC31" s="194"/>
      <c r="BD31" s="214" t="str">
        <f t="shared" si="23"/>
        <v/>
      </c>
      <c r="BE31" s="77">
        <f t="shared" si="24"/>
        <v>0</v>
      </c>
    </row>
    <row r="32" spans="1:57" s="74" customFormat="1" ht="15.95" hidden="1" outlineLevel="1">
      <c r="A32" s="185"/>
      <c r="B32" s="215">
        <f t="shared" si="25"/>
        <v>0</v>
      </c>
      <c r="C32" s="57">
        <f t="shared" si="25"/>
        <v>0</v>
      </c>
      <c r="D32" s="78">
        <f t="shared" si="25"/>
        <v>0</v>
      </c>
      <c r="E32" s="78">
        <f t="shared" ref="E32" si="35">F13</f>
        <v>0</v>
      </c>
      <c r="F32" s="194"/>
      <c r="G32" s="216" t="str" cm="1">
        <f t="array" ref="G32">_xlfn.IFS(OR(E32&gt;F13,D32&gt;E13),"KO : Le montant retenu est supérieur au montant présenté. Merci de revoir la ligne de recettes ou plafonner son montant.",E13=0,"",AND(D32=E13,E32=F13),"OK",OR(D32&lt;E13,E32&lt;F13),"Montant instruit inférieur au montant présenté.")</f>
        <v/>
      </c>
      <c r="H32" s="79">
        <f t="shared" si="11"/>
        <v>0</v>
      </c>
      <c r="I32" s="215">
        <f t="shared" si="1"/>
        <v>0</v>
      </c>
      <c r="J32" s="57">
        <f t="shared" si="1"/>
        <v>0</v>
      </c>
      <c r="K32" s="78">
        <f t="shared" si="1"/>
        <v>0</v>
      </c>
      <c r="L32" s="78">
        <f t="shared" si="1"/>
        <v>0</v>
      </c>
      <c r="M32" s="194"/>
      <c r="N32" s="216" t="str" cm="1">
        <f t="array" ref="N32">_xlfn.IFS(OR(L32&gt;L13,K32&gt;K13),"KO : Le montant retenu est supérieur au montant présenté. Merci de revoir la ligne de recettes ou plafonner son montant.",K13=0,"",AND(K32=K13,L32=L13),"OK",OR(K32&lt;K13,L32&lt;L13),"Montant instruit inférieur au montant présenté.")</f>
        <v/>
      </c>
      <c r="O32" s="79">
        <f t="shared" si="27"/>
        <v>0</v>
      </c>
      <c r="P32" s="215">
        <f t="shared" si="2"/>
        <v>0</v>
      </c>
      <c r="Q32" s="57">
        <f t="shared" si="2"/>
        <v>0</v>
      </c>
      <c r="R32" s="78">
        <f t="shared" si="2"/>
        <v>0</v>
      </c>
      <c r="S32" s="78">
        <f t="shared" si="2"/>
        <v>0</v>
      </c>
      <c r="T32" s="194"/>
      <c r="U32" s="216" t="str" cm="1">
        <f t="array" ref="U32">_xlfn.IFS(OR(S32&gt;R13,R32&gt;Q13),"KO : Le montant retenu est supérieur au montant présenté. Merci de revoir la ligne de recettes ou plafonner son montant.",Q13=0,"",AND(R32=Q13,S32=R13),"OK",OR(R32&lt;Q13,S32&lt;R13),"Montant instruit inférieur au montant présenté.")</f>
        <v/>
      </c>
      <c r="V32" s="79">
        <f t="shared" si="12"/>
        <v>0</v>
      </c>
      <c r="W32" s="215">
        <f t="shared" si="28"/>
        <v>0</v>
      </c>
      <c r="X32" s="57">
        <f t="shared" si="28"/>
        <v>0</v>
      </c>
      <c r="Y32" s="78">
        <f t="shared" si="29"/>
        <v>0</v>
      </c>
      <c r="Z32" s="78">
        <f t="shared" si="30"/>
        <v>0</v>
      </c>
      <c r="AA32" s="194"/>
      <c r="AB32" s="216" t="str" cm="1">
        <f t="array" ref="AB32">_xlfn.IFS(OR(Z32&gt;X13,Y32&gt;W13),"KO : Le montant retenu est supérieur au montant présenté. Merci de revoir la ligne de recettes ou plafonner son montant.",W13=0,"",AND(Y32=W13,Z32=X13),"OK",OR(Y32&lt;W13,Z32&lt;X13),"Montant instruit inférieur au montant présenté.")</f>
        <v/>
      </c>
      <c r="AC32" s="79">
        <f t="shared" si="13"/>
        <v>0</v>
      </c>
      <c r="AD32" s="215">
        <f t="shared" si="4"/>
        <v>0</v>
      </c>
      <c r="AE32" s="57">
        <f t="shared" si="5"/>
        <v>0</v>
      </c>
      <c r="AF32" s="78">
        <f t="shared" si="6"/>
        <v>0</v>
      </c>
      <c r="AG32" s="78">
        <f t="shared" si="7"/>
        <v>0</v>
      </c>
      <c r="AH32" s="194"/>
      <c r="AI32" s="216" t="str" cm="1">
        <f t="array" ref="AI32">_xlfn.IFS(OR(AG32&gt;AD13,AF32&gt;AC13),"KO : Le montant retenu est supérieur au montant présenté. Merci de revoir la ligne de recettes ou plafonner son montant.",AC13=0,"",AND(AF32=AC13,AG32=AD13),"OK",OR(AF32&lt;AC13,AG32&lt;AD13),"Montant instruit inférieur au montant présenté.")</f>
        <v/>
      </c>
      <c r="AJ32" s="79">
        <f t="shared" si="14"/>
        <v>0</v>
      </c>
      <c r="AK32" s="213">
        <f t="shared" si="15"/>
        <v>0</v>
      </c>
      <c r="AL32" s="165">
        <f t="shared" si="16"/>
        <v>0</v>
      </c>
      <c r="AM32" s="306">
        <f t="shared" si="8"/>
        <v>0</v>
      </c>
      <c r="AN32" s="306">
        <f t="shared" si="8"/>
        <v>0</v>
      </c>
      <c r="AO32" s="194"/>
      <c r="AP32" s="214" t="str">
        <f t="shared" si="17"/>
        <v/>
      </c>
      <c r="AQ32" s="77">
        <f t="shared" si="18"/>
        <v>0</v>
      </c>
      <c r="AR32" s="124">
        <f t="shared" si="19"/>
        <v>0</v>
      </c>
      <c r="AS32" s="165">
        <f t="shared" si="19"/>
        <v>0</v>
      </c>
      <c r="AT32" s="306">
        <f t="shared" si="9"/>
        <v>0</v>
      </c>
      <c r="AU32" s="306">
        <f t="shared" si="9"/>
        <v>0</v>
      </c>
      <c r="AV32" s="194"/>
      <c r="AW32" s="214" t="str">
        <f t="shared" si="20"/>
        <v/>
      </c>
      <c r="AX32" s="77">
        <f t="shared" si="21"/>
        <v>0</v>
      </c>
      <c r="AY32" s="124">
        <f t="shared" si="22"/>
        <v>0</v>
      </c>
      <c r="AZ32" s="165">
        <f t="shared" si="10"/>
        <v>0</v>
      </c>
      <c r="BA32" s="165">
        <f t="shared" si="10"/>
        <v>0</v>
      </c>
      <c r="BB32" s="304">
        <f t="shared" si="10"/>
        <v>0</v>
      </c>
      <c r="BC32" s="194"/>
      <c r="BD32" s="214" t="str">
        <f t="shared" si="23"/>
        <v/>
      </c>
      <c r="BE32" s="77">
        <f t="shared" si="24"/>
        <v>0</v>
      </c>
    </row>
    <row r="33" spans="1:57" s="74" customFormat="1" ht="15.95" hidden="1" outlineLevel="1">
      <c r="A33" s="185"/>
      <c r="B33" s="215">
        <f t="shared" si="25"/>
        <v>0</v>
      </c>
      <c r="C33" s="57">
        <f t="shared" si="25"/>
        <v>0</v>
      </c>
      <c r="D33" s="78">
        <f t="shared" si="25"/>
        <v>0</v>
      </c>
      <c r="E33" s="78">
        <f t="shared" ref="E33" si="36">F14</f>
        <v>0</v>
      </c>
      <c r="F33" s="194"/>
      <c r="G33" s="216" t="str" cm="1">
        <f t="array" ref="G33">_xlfn.IFS(OR(E33&gt;F14,D33&gt;E14),"KO : Le montant retenu est supérieur au montant présenté. Merci de revoir la ligne de recettes ou plafonner son montant.",E14=0,"",AND(D33=E14,E33=F14),"OK",OR(D33&lt;E14,E33&lt;F14),"Montant instruit inférieur au montant présenté.")</f>
        <v/>
      </c>
      <c r="H33" s="79">
        <f t="shared" si="11"/>
        <v>0</v>
      </c>
      <c r="I33" s="215">
        <f t="shared" si="1"/>
        <v>0</v>
      </c>
      <c r="J33" s="57">
        <f t="shared" si="1"/>
        <v>0</v>
      </c>
      <c r="K33" s="78">
        <f t="shared" si="1"/>
        <v>0</v>
      </c>
      <c r="L33" s="78">
        <f t="shared" si="1"/>
        <v>0</v>
      </c>
      <c r="M33" s="194"/>
      <c r="N33" s="216" t="str" cm="1">
        <f t="array" ref="N33">_xlfn.IFS(OR(L33&gt;L14,K33&gt;K14),"KO : Le montant retenu est supérieur au montant présenté. Merci de revoir la ligne de recettes ou plafonner son montant.",K14=0,"",AND(K33=K14,L33=L14),"OK",OR(K33&lt;K14,L33&lt;L14),"Montant instruit inférieur au montant présenté.")</f>
        <v/>
      </c>
      <c r="O33" s="79">
        <f t="shared" si="27"/>
        <v>0</v>
      </c>
      <c r="P33" s="215">
        <f t="shared" si="2"/>
        <v>0</v>
      </c>
      <c r="Q33" s="57">
        <f t="shared" si="2"/>
        <v>0</v>
      </c>
      <c r="R33" s="78">
        <f t="shared" si="2"/>
        <v>0</v>
      </c>
      <c r="S33" s="78">
        <f t="shared" si="2"/>
        <v>0</v>
      </c>
      <c r="T33" s="194"/>
      <c r="U33" s="216" t="str" cm="1">
        <f t="array" ref="U33">_xlfn.IFS(OR(S33&gt;R14,R33&gt;Q14),"KO : Le montant retenu est supérieur au montant présenté. Merci de revoir la ligne de recettes ou plafonner son montant.",Q14=0,"",AND(R33=Q14,S33=R14),"OK",OR(R33&lt;Q14,S33&lt;R14),"Montant instruit inférieur au montant présenté.")</f>
        <v/>
      </c>
      <c r="V33" s="79">
        <f t="shared" si="12"/>
        <v>0</v>
      </c>
      <c r="W33" s="215">
        <f t="shared" si="28"/>
        <v>0</v>
      </c>
      <c r="X33" s="57">
        <f t="shared" si="28"/>
        <v>0</v>
      </c>
      <c r="Y33" s="78">
        <f t="shared" si="29"/>
        <v>0</v>
      </c>
      <c r="Z33" s="78">
        <f t="shared" si="30"/>
        <v>0</v>
      </c>
      <c r="AA33" s="194"/>
      <c r="AB33" s="216" t="str" cm="1">
        <f t="array" ref="AB33">_xlfn.IFS(OR(Z33&gt;X14,Y33&gt;W14),"KO : Le montant retenu est supérieur au montant présenté. Merci de revoir la ligne de recettes ou plafonner son montant.",W14=0,"",AND(Y33=W14,Z33=X14),"OK",OR(Y33&lt;W14,Z33&lt;X14),"Montant instruit inférieur au montant présenté.")</f>
        <v/>
      </c>
      <c r="AC33" s="79">
        <f t="shared" si="13"/>
        <v>0</v>
      </c>
      <c r="AD33" s="215">
        <f t="shared" si="4"/>
        <v>0</v>
      </c>
      <c r="AE33" s="57">
        <f t="shared" si="5"/>
        <v>0</v>
      </c>
      <c r="AF33" s="78">
        <f t="shared" si="6"/>
        <v>0</v>
      </c>
      <c r="AG33" s="78">
        <f t="shared" si="7"/>
        <v>0</v>
      </c>
      <c r="AH33" s="194"/>
      <c r="AI33" s="216" t="str" cm="1">
        <f t="array" ref="AI33">_xlfn.IFS(OR(AG33&gt;AD14,AF33&gt;AC14),"KO : Le montant retenu est supérieur au montant présenté. Merci de revoir la ligne de recettes ou plafonner son montant.",AC14=0,"",AND(AF33=AC14,AG33=AD14),"OK",OR(AF33&lt;AC14,AG33&lt;AD14),"Montant instruit inférieur au montant présenté.")</f>
        <v/>
      </c>
      <c r="AJ33" s="79">
        <f t="shared" si="14"/>
        <v>0</v>
      </c>
      <c r="AK33" s="213">
        <f t="shared" si="15"/>
        <v>0</v>
      </c>
      <c r="AL33" s="165">
        <f t="shared" si="16"/>
        <v>0</v>
      </c>
      <c r="AM33" s="306">
        <f t="shared" si="8"/>
        <v>0</v>
      </c>
      <c r="AN33" s="306">
        <f t="shared" si="8"/>
        <v>0</v>
      </c>
      <c r="AO33" s="194"/>
      <c r="AP33" s="214" t="str">
        <f t="shared" si="17"/>
        <v/>
      </c>
      <c r="AQ33" s="77">
        <f t="shared" si="18"/>
        <v>0</v>
      </c>
      <c r="AR33" s="124">
        <f t="shared" si="19"/>
        <v>0</v>
      </c>
      <c r="AS33" s="165">
        <f t="shared" si="19"/>
        <v>0</v>
      </c>
      <c r="AT33" s="306">
        <f t="shared" si="9"/>
        <v>0</v>
      </c>
      <c r="AU33" s="306">
        <f t="shared" si="9"/>
        <v>0</v>
      </c>
      <c r="AV33" s="194"/>
      <c r="AW33" s="214" t="str">
        <f t="shared" si="20"/>
        <v/>
      </c>
      <c r="AX33" s="77">
        <f t="shared" si="21"/>
        <v>0</v>
      </c>
      <c r="AY33" s="124">
        <f t="shared" si="22"/>
        <v>0</v>
      </c>
      <c r="AZ33" s="165">
        <f t="shared" si="10"/>
        <v>0</v>
      </c>
      <c r="BA33" s="165">
        <f t="shared" si="10"/>
        <v>0</v>
      </c>
      <c r="BB33" s="304">
        <f t="shared" si="10"/>
        <v>0</v>
      </c>
      <c r="BC33" s="194"/>
      <c r="BD33" s="214" t="str">
        <f t="shared" si="23"/>
        <v/>
      </c>
      <c r="BE33" s="77">
        <f t="shared" si="24"/>
        <v>0</v>
      </c>
    </row>
    <row r="34" spans="1:57" s="74" customFormat="1" ht="17.100000000000001" hidden="1" outlineLevel="1" thickBot="1">
      <c r="A34" s="185"/>
      <c r="B34" s="217">
        <f t="shared" si="25"/>
        <v>0</v>
      </c>
      <c r="C34" s="218">
        <f t="shared" si="25"/>
        <v>0</v>
      </c>
      <c r="D34" s="80">
        <f t="shared" si="25"/>
        <v>0</v>
      </c>
      <c r="E34" s="80">
        <f t="shared" ref="E34" si="37">F15</f>
        <v>0</v>
      </c>
      <c r="F34" s="196"/>
      <c r="G34" s="219" t="str" cm="1">
        <f t="array" ref="G34">_xlfn.IFS(OR(E34&gt;F15,D34&gt;E15),"KO : Le montant retenu est supérieur au montant présenté. Merci de revoir la ligne de recettes ou plafonner son montant.",E15=0,"",AND(D34=E15,E34=F15),"OK",OR(D34&lt;E15,E34&lt;F15),"Montant instruit inférieur au montant présenté.")</f>
        <v/>
      </c>
      <c r="H34" s="81">
        <f t="shared" si="11"/>
        <v>0</v>
      </c>
      <c r="I34" s="217">
        <f t="shared" si="1"/>
        <v>0</v>
      </c>
      <c r="J34" s="218">
        <f t="shared" si="1"/>
        <v>0</v>
      </c>
      <c r="K34" s="80">
        <f t="shared" si="1"/>
        <v>0</v>
      </c>
      <c r="L34" s="80">
        <f t="shared" si="1"/>
        <v>0</v>
      </c>
      <c r="M34" s="196"/>
      <c r="N34" s="219" t="str" cm="1">
        <f t="array" ref="N34">_xlfn.IFS(OR(L34&gt;L15,K34&gt;K15),"KO : Le montant retenu est supérieur au montant présenté. Merci de revoir la ligne de recettes ou plafonner son montant.",K15=0,"",AND(K34=K15,L34=L15),"OK",OR(K34&lt;K15,L34&lt;L15),"Montant instruit inférieur au montant présenté.")</f>
        <v/>
      </c>
      <c r="O34" s="81">
        <f t="shared" si="27"/>
        <v>0</v>
      </c>
      <c r="P34" s="217">
        <f t="shared" si="2"/>
        <v>0</v>
      </c>
      <c r="Q34" s="218">
        <f t="shared" si="2"/>
        <v>0</v>
      </c>
      <c r="R34" s="80">
        <f t="shared" si="2"/>
        <v>0</v>
      </c>
      <c r="S34" s="80">
        <f t="shared" si="2"/>
        <v>0</v>
      </c>
      <c r="T34" s="196"/>
      <c r="U34" s="219" t="str" cm="1">
        <f t="array" ref="U34">_xlfn.IFS(OR(S34&gt;R15,R34&gt;Q15),"KO : Le montant retenu est supérieur au montant présenté. Merci de revoir la ligne de recettes ou plafonner son montant.",Q15=0,"",AND(R34=Q15,S34=R15),"OK",OR(R34&lt;Q15,S34&lt;R15),"Montant instruit inférieur au montant présenté.")</f>
        <v/>
      </c>
      <c r="V34" s="81">
        <f t="shared" si="12"/>
        <v>0</v>
      </c>
      <c r="W34" s="217">
        <f t="shared" si="28"/>
        <v>0</v>
      </c>
      <c r="X34" s="218">
        <f t="shared" si="28"/>
        <v>0</v>
      </c>
      <c r="Y34" s="80">
        <f t="shared" si="29"/>
        <v>0</v>
      </c>
      <c r="Z34" s="80">
        <f t="shared" si="30"/>
        <v>0</v>
      </c>
      <c r="AA34" s="197"/>
      <c r="AB34" s="219" t="str" cm="1">
        <f t="array" ref="AB34">_xlfn.IFS(OR(Z34&gt;X15,Y34&gt;W15),"KO : Le montant retenu est supérieur au montant présenté. Merci de revoir la ligne de recettes ou plafonner son montant.",W15=0,"",AND(Y34=W15,Z34=X15),"OK",OR(Y34&lt;W15,Z34&lt;X15),"Montant instruit inférieur au montant présenté.")</f>
        <v/>
      </c>
      <c r="AC34" s="81">
        <f t="shared" si="13"/>
        <v>0</v>
      </c>
      <c r="AD34" s="217">
        <f t="shared" si="4"/>
        <v>0</v>
      </c>
      <c r="AE34" s="218">
        <f t="shared" si="5"/>
        <v>0</v>
      </c>
      <c r="AF34" s="80">
        <f t="shared" si="6"/>
        <v>0</v>
      </c>
      <c r="AG34" s="80">
        <f t="shared" si="7"/>
        <v>0</v>
      </c>
      <c r="AH34" s="196"/>
      <c r="AI34" s="219" t="str" cm="1">
        <f t="array" ref="AI34">_xlfn.IFS(OR(AG34&gt;AD15,AF34&gt;AC15),"KO : Le montant retenu est supérieur au montant présenté. Merci de revoir la ligne de recettes ou plafonner son montant.",AC15=0,"",AND(AF34=AC15,AG34=AD15),"OK",OR(AF34&lt;AC15,AG34&lt;AD15),"Montant instruit inférieur au montant présenté.")</f>
        <v/>
      </c>
      <c r="AJ34" s="81">
        <f t="shared" si="14"/>
        <v>0</v>
      </c>
      <c r="AK34" s="213">
        <f t="shared" si="15"/>
        <v>0</v>
      </c>
      <c r="AL34" s="165">
        <f t="shared" si="16"/>
        <v>0</v>
      </c>
      <c r="AM34" s="306">
        <f t="shared" si="8"/>
        <v>0</v>
      </c>
      <c r="AN34" s="306">
        <f t="shared" si="8"/>
        <v>0</v>
      </c>
      <c r="AO34" s="196"/>
      <c r="AP34" s="214" t="str">
        <f t="shared" si="17"/>
        <v/>
      </c>
      <c r="AQ34" s="77">
        <f t="shared" si="18"/>
        <v>0</v>
      </c>
      <c r="AR34" s="124">
        <f t="shared" si="19"/>
        <v>0</v>
      </c>
      <c r="AS34" s="244">
        <f t="shared" si="19"/>
        <v>0</v>
      </c>
      <c r="AT34" s="352">
        <f t="shared" si="9"/>
        <v>0</v>
      </c>
      <c r="AU34" s="352">
        <f t="shared" si="9"/>
        <v>0</v>
      </c>
      <c r="AV34" s="196"/>
      <c r="AW34" s="214" t="str">
        <f t="shared" si="20"/>
        <v/>
      </c>
      <c r="AX34" s="77">
        <f t="shared" si="21"/>
        <v>0</v>
      </c>
      <c r="AY34" s="124">
        <f t="shared" si="22"/>
        <v>0</v>
      </c>
      <c r="AZ34" s="244">
        <f t="shared" si="10"/>
        <v>0</v>
      </c>
      <c r="BA34" s="244">
        <f t="shared" si="10"/>
        <v>0</v>
      </c>
      <c r="BB34" s="304">
        <f t="shared" si="10"/>
        <v>0</v>
      </c>
      <c r="BC34" s="196"/>
      <c r="BD34" s="214" t="str">
        <f t="shared" si="23"/>
        <v/>
      </c>
      <c r="BE34" s="77">
        <f t="shared" si="24"/>
        <v>0</v>
      </c>
    </row>
    <row r="35" spans="1:57" s="74" customFormat="1" ht="33" hidden="1" outlineLevel="1" thickBot="1">
      <c r="A35" s="185"/>
      <c r="B35" s="199"/>
      <c r="C35" s="200" t="s">
        <v>58</v>
      </c>
      <c r="D35" s="201">
        <f>SUM(D25:D34)</f>
        <v>0</v>
      </c>
      <c r="E35" s="202">
        <f>SUM(E25:E34)</f>
        <v>0</v>
      </c>
      <c r="F35" s="220"/>
      <c r="G35" s="221" t="s">
        <v>59</v>
      </c>
      <c r="H35" s="82">
        <f>SUM(H25:H34)</f>
        <v>0</v>
      </c>
      <c r="I35" s="222"/>
      <c r="J35" s="200" t="s">
        <v>60</v>
      </c>
      <c r="K35" s="83">
        <f>SUM(K25:K34)</f>
        <v>0</v>
      </c>
      <c r="L35" s="82">
        <f>SUM(L25:L34)</f>
        <v>0</v>
      </c>
      <c r="M35" s="220"/>
      <c r="N35" s="221" t="s">
        <v>61</v>
      </c>
      <c r="O35" s="82">
        <f>SUM(O25:O34)</f>
        <v>0</v>
      </c>
      <c r="P35" s="222"/>
      <c r="Q35" s="200" t="s">
        <v>62</v>
      </c>
      <c r="R35" s="83">
        <f>SUM(R25:R34)</f>
        <v>0</v>
      </c>
      <c r="S35" s="82">
        <f>SUM(S25:S34)</f>
        <v>0</v>
      </c>
      <c r="T35" s="220"/>
      <c r="U35" s="221" t="s">
        <v>63</v>
      </c>
      <c r="V35" s="82">
        <f>SUM(V25:V34)</f>
        <v>0</v>
      </c>
      <c r="W35" s="222"/>
      <c r="X35" s="200" t="s">
        <v>64</v>
      </c>
      <c r="Y35" s="83">
        <f>SUM(Y25:Y34)</f>
        <v>0</v>
      </c>
      <c r="Z35" s="82">
        <f>SUM(Z25:Z34)</f>
        <v>0</v>
      </c>
      <c r="AA35" s="220"/>
      <c r="AB35" s="221" t="s">
        <v>65</v>
      </c>
      <c r="AC35" s="82">
        <f>SUM(AC25:AC34)</f>
        <v>0</v>
      </c>
      <c r="AD35" s="222"/>
      <c r="AE35" s="200" t="s">
        <v>66</v>
      </c>
      <c r="AF35" s="83">
        <f>SUM(AF25:AF34)</f>
        <v>0</v>
      </c>
      <c r="AG35" s="82">
        <f>SUM(AG25:AG34)</f>
        <v>0</v>
      </c>
      <c r="AH35" s="220"/>
      <c r="AI35" s="221" t="s">
        <v>67</v>
      </c>
      <c r="AJ35" s="82">
        <f>SUM(AJ25:AJ34)</f>
        <v>0</v>
      </c>
      <c r="AK35" s="222"/>
      <c r="AL35" s="200" t="s">
        <v>68</v>
      </c>
      <c r="AM35" s="83">
        <f>SUM(AM25:AM34)</f>
        <v>0</v>
      </c>
      <c r="AN35" s="82">
        <f>SUM(AN25:AN34)</f>
        <v>0</v>
      </c>
      <c r="AO35" s="220"/>
      <c r="AP35" s="221" t="s">
        <v>69</v>
      </c>
      <c r="AQ35" s="82">
        <f>SUM(AQ25:AQ34)</f>
        <v>0</v>
      </c>
      <c r="AR35" s="222"/>
      <c r="AS35" s="200" t="s">
        <v>70</v>
      </c>
      <c r="AT35" s="83">
        <f>SUM(AT25:AT34)</f>
        <v>0</v>
      </c>
      <c r="AU35" s="82">
        <f>SUM(AU25:AU34)</f>
        <v>0</v>
      </c>
      <c r="AV35" s="220"/>
      <c r="AW35" s="221" t="s">
        <v>71</v>
      </c>
      <c r="AX35" s="82">
        <f>SUM(AX25:AX34)</f>
        <v>0</v>
      </c>
      <c r="AY35" s="222"/>
      <c r="AZ35" s="200" t="s">
        <v>72</v>
      </c>
      <c r="BA35" s="83">
        <f>SUM(BA25:BA34)</f>
        <v>0</v>
      </c>
      <c r="BB35" s="82">
        <f>SUM(BB25:BB34)</f>
        <v>0</v>
      </c>
      <c r="BC35" s="220"/>
      <c r="BD35" s="221" t="s">
        <v>73</v>
      </c>
      <c r="BE35" s="82">
        <f>SUM(BE25:BE34)</f>
        <v>0</v>
      </c>
    </row>
    <row r="36" spans="1:57" hidden="1" outlineLevel="1">
      <c r="O36" s="75"/>
      <c r="P36" s="75"/>
      <c r="Q36" s="75"/>
      <c r="R36" s="75"/>
      <c r="S36" s="75"/>
      <c r="T36" s="75"/>
      <c r="U36" s="75"/>
    </row>
    <row r="37" spans="1:57" hidden="1" outlineLevel="1">
      <c r="O37" s="75"/>
      <c r="P37" s="75"/>
      <c r="Q37" s="75"/>
      <c r="R37" s="75"/>
      <c r="S37" s="75"/>
      <c r="T37" s="75"/>
      <c r="U37" s="75"/>
    </row>
    <row r="38" spans="1:57" ht="26.1" hidden="1" outlineLevel="1">
      <c r="I38" s="1804" t="s">
        <v>74</v>
      </c>
      <c r="J38" s="1805"/>
      <c r="K38" s="1805"/>
      <c r="L38" s="1806"/>
      <c r="M38" s="223">
        <f>SUM(IF(E35=0,D35,E35),IF(L35=0,K35,L35),IF(S35=0,R35,S35),IF(Z35=0,Y35,Z35),IF(AG35=0,AF35,AG35),IF(AN35=0,AM35,AN35),IF(AU35=0,AT35,AU35),IF(BB35=0,BA35,BB35))</f>
        <v>0</v>
      </c>
      <c r="O38" s="75"/>
      <c r="P38" s="75"/>
      <c r="Q38" s="75"/>
      <c r="R38" s="75"/>
      <c r="S38" s="75"/>
      <c r="T38" s="75"/>
      <c r="U38" s="75"/>
    </row>
    <row r="39" spans="1:57" ht="26.1" hidden="1" outlineLevel="1">
      <c r="I39" s="1807" t="s">
        <v>75</v>
      </c>
      <c r="J39" s="1807"/>
      <c r="K39" s="1807"/>
      <c r="L39" s="1807"/>
      <c r="M39" s="224">
        <f>SUM(H35,O35,V35,AC35,AJ35,AQ35,AX35,BE35)</f>
        <v>0</v>
      </c>
      <c r="O39" s="75"/>
      <c r="P39" s="75"/>
      <c r="Q39" s="75"/>
      <c r="R39" s="75"/>
      <c r="S39" s="75"/>
      <c r="T39" s="75"/>
      <c r="U39" s="75"/>
    </row>
    <row r="40" spans="1:57" collapsed="1">
      <c r="O40" s="75"/>
      <c r="P40" s="75"/>
      <c r="Q40" s="75"/>
      <c r="R40" s="75"/>
      <c r="S40" s="75"/>
      <c r="T40" s="75"/>
      <c r="U40" s="75"/>
    </row>
  </sheetData>
  <sheetProtection formatCells="0" formatColumns="0" formatRows="0" insertColumns="0" insertRows="0" insertHyperlinks="0" deleteColumns="0" deleteRows="0" sort="0" autoFilter="0" pivotTables="0"/>
  <mergeCells count="29">
    <mergeCell ref="I38:L38"/>
    <mergeCell ref="I39:L39"/>
    <mergeCell ref="B22:H22"/>
    <mergeCell ref="I22:O22"/>
    <mergeCell ref="P22:V22"/>
    <mergeCell ref="Z4:Z5"/>
    <mergeCell ref="H4:H5"/>
    <mergeCell ref="B4:B5"/>
    <mergeCell ref="Z3:AE3"/>
    <mergeCell ref="H3:M3"/>
    <mergeCell ref="N3:S3"/>
    <mergeCell ref="T3:Y3"/>
    <mergeCell ref="B3:G3"/>
    <mergeCell ref="AR3:AW3"/>
    <mergeCell ref="AR4:AR5"/>
    <mergeCell ref="B2:AW2"/>
    <mergeCell ref="AY22:BE22"/>
    <mergeCell ref="B21:BE21"/>
    <mergeCell ref="AD22:AJ22"/>
    <mergeCell ref="G18:J18"/>
    <mergeCell ref="AK22:AQ22"/>
    <mergeCell ref="AR22:AX22"/>
    <mergeCell ref="W22:AC22"/>
    <mergeCell ref="AF3:AK3"/>
    <mergeCell ref="AF4:AF5"/>
    <mergeCell ref="AL3:AQ3"/>
    <mergeCell ref="AL4:AL5"/>
    <mergeCell ref="N4:N5"/>
    <mergeCell ref="T4:T5"/>
  </mergeCells>
  <conditionalFormatting sqref="G25:G34 N25:N34 U25:U34 AB25:AB34 AI25:AI34">
    <cfRule type="containsText" dxfId="63" priority="53" operator="containsText" text="OK">
      <formula>NOT(ISERROR(SEARCH("OK",G25)))</formula>
    </cfRule>
    <cfRule type="containsText" dxfId="62" priority="54" operator="containsText" text="KO">
      <formula>NOT(ISERROR(SEARCH("KO",G25)))</formula>
    </cfRule>
    <cfRule type="containsText" dxfId="61" priority="55" operator="containsText" text="Attention">
      <formula>NOT(ISERROR(SEARCH("Attention",G25)))</formula>
    </cfRule>
  </conditionalFormatting>
  <conditionalFormatting sqref="AP25:AP34">
    <cfRule type="containsText" dxfId="60" priority="4" operator="containsText" text="OK">
      <formula>NOT(ISERROR(SEARCH("OK",AP25)))</formula>
    </cfRule>
    <cfRule type="containsText" dxfId="59" priority="5" operator="containsText" text="KO">
      <formula>NOT(ISERROR(SEARCH("KO",AP25)))</formula>
    </cfRule>
    <cfRule type="containsText" dxfId="58" priority="6" operator="containsText" text="Attention">
      <formula>NOT(ISERROR(SEARCH("Attention",AP25)))</formula>
    </cfRule>
  </conditionalFormatting>
  <conditionalFormatting sqref="AW25:AW34">
    <cfRule type="containsText" dxfId="57" priority="1" operator="containsText" text="OK">
      <formula>NOT(ISERROR(SEARCH("OK",AW25)))</formula>
    </cfRule>
    <cfRule type="containsText" dxfId="56" priority="2" operator="containsText" text="KO">
      <formula>NOT(ISERROR(SEARCH("KO",AW25)))</formula>
    </cfRule>
    <cfRule type="containsText" dxfId="55" priority="3" operator="containsText" text="Attention">
      <formula>NOT(ISERROR(SEARCH("Attention",AW25)))</formula>
    </cfRule>
  </conditionalFormatting>
  <conditionalFormatting sqref="BD25:BD34">
    <cfRule type="containsText" dxfId="54" priority="7" operator="containsText" text="OK">
      <formula>NOT(ISERROR(SEARCH("OK",BD25)))</formula>
    </cfRule>
    <cfRule type="containsText" dxfId="53" priority="8" operator="containsText" text="KO">
      <formula>NOT(ISERROR(SEARCH("KO",BD25)))</formula>
    </cfRule>
    <cfRule type="containsText" dxfId="52" priority="9" operator="containsText" text="Attention">
      <formula>NOT(ISERROR(SEARCH("Attention",BD25)))</formula>
    </cfRule>
  </conditionalFormatting>
  <pageMargins left="0.7" right="0.7" top="0.75" bottom="0.75" header="0.3" footer="0.3"/>
  <pageSetup paperSize="9"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F16BE-4A3F-48C6-893D-5658A749C2C3}">
  <sheetPr codeName="Feuil3">
    <tabColor theme="9" tint="-0.249977111117893"/>
  </sheetPr>
  <dimension ref="A1:F114"/>
  <sheetViews>
    <sheetView showGridLines="0" zoomScale="71" zoomScaleNormal="90" workbookViewId="0">
      <selection activeCell="O28" sqref="O28"/>
    </sheetView>
  </sheetViews>
  <sheetFormatPr defaultColWidth="11.42578125" defaultRowHeight="15"/>
  <cols>
    <col min="1" max="1" width="6.140625" style="225" customWidth="1"/>
    <col min="2" max="2" width="17.42578125" bestFit="1" customWidth="1"/>
    <col min="3" max="3" width="19.140625" customWidth="1"/>
    <col min="4" max="4" width="46" customWidth="1"/>
    <col min="5" max="5" width="20.42578125" bestFit="1" customWidth="1"/>
    <col min="6" max="6" width="25.42578125" customWidth="1"/>
    <col min="8" max="8" width="11.42578125" customWidth="1"/>
  </cols>
  <sheetData>
    <row r="1" spans="2:6" ht="15.95" thickBot="1"/>
    <row r="2" spans="2:6" ht="50.1" customHeight="1">
      <c r="C2" s="226"/>
      <c r="D2" s="1821" t="s">
        <v>76</v>
      </c>
      <c r="E2" s="1822"/>
      <c r="F2" s="1823"/>
    </row>
    <row r="3" spans="2:6" ht="67.5" customHeight="1" thickBot="1">
      <c r="C3" s="227"/>
      <c r="D3" s="228" t="s">
        <v>77</v>
      </c>
      <c r="E3" s="229" t="s">
        <v>78</v>
      </c>
      <c r="F3" s="230" t="s">
        <v>79</v>
      </c>
    </row>
    <row r="4" spans="2:6" ht="63.95">
      <c r="B4" s="1815" t="s">
        <v>80</v>
      </c>
      <c r="C4" s="1816"/>
      <c r="D4" s="231" t="s">
        <v>81</v>
      </c>
      <c r="E4" s="232" t="str">
        <f t="shared" ref="E4:E14" si="0">_xlfn.IFS(F4="","",F4="5 - Coût participation agri","OCS",F4="7 - OCS","OCS",F4&lt;&gt;"5 - Coût participation agri","Au réel",F4&lt;&gt;"7 - OCS","Au réel")</f>
        <v/>
      </c>
      <c r="F4" s="233"/>
    </row>
    <row r="5" spans="2:6" ht="32.1">
      <c r="B5" s="1817"/>
      <c r="C5" s="1818"/>
      <c r="D5" s="234" t="s">
        <v>82</v>
      </c>
      <c r="E5" s="235" t="str">
        <f t="shared" si="0"/>
        <v/>
      </c>
      <c r="F5" s="236"/>
    </row>
    <row r="6" spans="2:6" ht="48.95" thickBot="1">
      <c r="B6" s="1819"/>
      <c r="C6" s="1820"/>
      <c r="D6" s="237" t="s">
        <v>83</v>
      </c>
      <c r="E6" s="238" t="str">
        <f t="shared" si="0"/>
        <v/>
      </c>
      <c r="F6" s="239"/>
    </row>
    <row r="7" spans="2:6" ht="14.45" customHeight="1">
      <c r="B7" s="1811" t="s">
        <v>84</v>
      </c>
      <c r="C7" s="240" t="s">
        <v>10</v>
      </c>
      <c r="D7" s="240" t="s">
        <v>85</v>
      </c>
      <c r="E7" s="232" t="str">
        <f t="shared" si="0"/>
        <v>Au réel</v>
      </c>
      <c r="F7" s="233" t="s">
        <v>86</v>
      </c>
    </row>
    <row r="8" spans="2:6" ht="32.1">
      <c r="B8" s="1811"/>
      <c r="C8" s="234" t="s">
        <v>10</v>
      </c>
      <c r="D8" s="234" t="s">
        <v>85</v>
      </c>
      <c r="E8" s="241" t="str">
        <f t="shared" si="0"/>
        <v>Au réel</v>
      </c>
      <c r="F8" s="236" t="s">
        <v>87</v>
      </c>
    </row>
    <row r="9" spans="2:6" ht="15.95">
      <c r="B9" s="1811"/>
      <c r="C9" s="242" t="s">
        <v>10</v>
      </c>
      <c r="D9" s="242" t="s">
        <v>88</v>
      </c>
      <c r="E9" s="241" t="str">
        <f t="shared" si="0"/>
        <v>Au réel</v>
      </c>
      <c r="F9" s="236" t="s">
        <v>89</v>
      </c>
    </row>
    <row r="10" spans="2:6" ht="15.95">
      <c r="B10" s="1811"/>
      <c r="C10" s="242" t="s">
        <v>10</v>
      </c>
      <c r="D10" s="242" t="s">
        <v>85</v>
      </c>
      <c r="E10" s="241" t="str">
        <f t="shared" si="0"/>
        <v>OCS</v>
      </c>
      <c r="F10" s="236" t="s">
        <v>90</v>
      </c>
    </row>
    <row r="11" spans="2:6" ht="15.95">
      <c r="B11" s="1811"/>
      <c r="C11" s="242" t="s">
        <v>10</v>
      </c>
      <c r="D11" s="242" t="s">
        <v>88</v>
      </c>
      <c r="E11" s="241" t="str">
        <f t="shared" si="0"/>
        <v>OCS</v>
      </c>
      <c r="F11" s="236" t="s">
        <v>90</v>
      </c>
    </row>
    <row r="12" spans="2:6" ht="15.95">
      <c r="B12" s="1811"/>
      <c r="C12" s="242" t="s">
        <v>11</v>
      </c>
      <c r="D12" s="242" t="s">
        <v>85</v>
      </c>
      <c r="E12" s="241" t="str">
        <f t="shared" si="0"/>
        <v>Au réel</v>
      </c>
      <c r="F12" s="236" t="s">
        <v>86</v>
      </c>
    </row>
    <row r="13" spans="2:6" ht="15.95">
      <c r="B13" s="1811"/>
      <c r="C13" s="242" t="s">
        <v>12</v>
      </c>
      <c r="D13" s="242" t="s">
        <v>88</v>
      </c>
      <c r="E13" s="241" t="str">
        <f t="shared" si="0"/>
        <v>Au réel</v>
      </c>
      <c r="F13" s="236" t="s">
        <v>89</v>
      </c>
    </row>
    <row r="14" spans="2:6" ht="17.100000000000001" thickBot="1">
      <c r="B14" s="1812"/>
      <c r="C14" s="237" t="s">
        <v>12</v>
      </c>
      <c r="D14" s="237" t="s">
        <v>91</v>
      </c>
      <c r="E14" s="243" t="str">
        <f t="shared" si="0"/>
        <v>Au réel</v>
      </c>
      <c r="F14" s="239" t="s">
        <v>86</v>
      </c>
    </row>
    <row r="15" spans="2:6" ht="14.45" customHeight="1">
      <c r="B15" s="1813" t="s">
        <v>92</v>
      </c>
      <c r="C15" s="46"/>
      <c r="D15" s="46"/>
      <c r="E15" s="165" t="str">
        <f t="shared" ref="E15:E79" si="1">_xlfn.IFS(F15="","",F15="5 - Coût participation agri","OCS",F15="7 - OCS","OCS",F15&lt;&gt;"5 - Coût participation agri","Au réel",F15&lt;&gt;"7 - OCS","Au réel")</f>
        <v/>
      </c>
      <c r="F15" s="49"/>
    </row>
    <row r="16" spans="2:6" ht="15.95">
      <c r="B16" s="1813"/>
      <c r="C16" s="47"/>
      <c r="D16" s="46"/>
      <c r="E16" s="165" t="str">
        <f t="shared" si="1"/>
        <v/>
      </c>
      <c r="F16" s="50"/>
    </row>
    <row r="17" spans="2:6" ht="15.95">
      <c r="B17" s="1813"/>
      <c r="C17" s="47"/>
      <c r="D17" s="46"/>
      <c r="E17" s="165" t="str">
        <f t="shared" si="1"/>
        <v/>
      </c>
      <c r="F17" s="50"/>
    </row>
    <row r="18" spans="2:6" ht="15.95">
      <c r="B18" s="1813"/>
      <c r="C18" s="47"/>
      <c r="D18" s="46"/>
      <c r="E18" s="165" t="str">
        <f t="shared" si="1"/>
        <v/>
      </c>
      <c r="F18" s="50"/>
    </row>
    <row r="19" spans="2:6" ht="15.95">
      <c r="B19" s="1813"/>
      <c r="C19" s="47"/>
      <c r="D19" s="46"/>
      <c r="E19" s="165" t="str">
        <f t="shared" si="1"/>
        <v/>
      </c>
      <c r="F19" s="50"/>
    </row>
    <row r="20" spans="2:6" ht="15.95">
      <c r="B20" s="1813"/>
      <c r="C20" s="47"/>
      <c r="D20" s="46"/>
      <c r="E20" s="165" t="str">
        <f t="shared" si="1"/>
        <v/>
      </c>
      <c r="F20" s="50"/>
    </row>
    <row r="21" spans="2:6" ht="15.95">
      <c r="B21" s="1813"/>
      <c r="C21" s="47"/>
      <c r="D21" s="47"/>
      <c r="E21" s="165" t="str">
        <f t="shared" si="1"/>
        <v/>
      </c>
      <c r="F21" s="50"/>
    </row>
    <row r="22" spans="2:6" ht="15.95">
      <c r="B22" s="1813"/>
      <c r="C22" s="47"/>
      <c r="D22" s="46"/>
      <c r="E22" s="165" t="str">
        <f t="shared" si="1"/>
        <v/>
      </c>
      <c r="F22" s="50"/>
    </row>
    <row r="23" spans="2:6" ht="15.95">
      <c r="B23" s="1813"/>
      <c r="C23" s="47"/>
      <c r="D23" s="47"/>
      <c r="E23" s="165" t="str">
        <f t="shared" si="1"/>
        <v/>
      </c>
      <c r="F23" s="50"/>
    </row>
    <row r="24" spans="2:6" ht="15.95">
      <c r="B24" s="1813"/>
      <c r="C24" s="47"/>
      <c r="D24" s="47"/>
      <c r="E24" s="165" t="str">
        <f t="shared" si="1"/>
        <v/>
      </c>
      <c r="F24" s="50"/>
    </row>
    <row r="25" spans="2:6" ht="15.95">
      <c r="B25" s="1813"/>
      <c r="C25" s="47"/>
      <c r="D25" s="47"/>
      <c r="E25" s="165" t="str">
        <f t="shared" si="1"/>
        <v/>
      </c>
      <c r="F25" s="50"/>
    </row>
    <row r="26" spans="2:6" ht="15.95">
      <c r="B26" s="1813"/>
      <c r="C26" s="47"/>
      <c r="D26" s="47"/>
      <c r="E26" s="165" t="str">
        <f t="shared" si="1"/>
        <v/>
      </c>
      <c r="F26" s="50"/>
    </row>
    <row r="27" spans="2:6" ht="15.95">
      <c r="B27" s="1813"/>
      <c r="C27" s="47"/>
      <c r="D27" s="47"/>
      <c r="E27" s="165" t="str">
        <f t="shared" si="1"/>
        <v/>
      </c>
      <c r="F27" s="50"/>
    </row>
    <row r="28" spans="2:6" ht="15.95">
      <c r="B28" s="1813"/>
      <c r="C28" s="47"/>
      <c r="D28" s="47"/>
      <c r="E28" s="165" t="str">
        <f t="shared" si="1"/>
        <v/>
      </c>
      <c r="F28" s="50"/>
    </row>
    <row r="29" spans="2:6" ht="15.95">
      <c r="B29" s="1813"/>
      <c r="C29" s="47"/>
      <c r="D29" s="47"/>
      <c r="E29" s="165" t="str">
        <f t="shared" si="1"/>
        <v/>
      </c>
      <c r="F29" s="50"/>
    </row>
    <row r="30" spans="2:6" ht="15.95">
      <c r="B30" s="1813"/>
      <c r="C30" s="47"/>
      <c r="D30" s="47"/>
      <c r="E30" s="165" t="str">
        <f t="shared" si="1"/>
        <v/>
      </c>
      <c r="F30" s="50"/>
    </row>
    <row r="31" spans="2:6" ht="15.95">
      <c r="B31" s="1813"/>
      <c r="C31" s="47"/>
      <c r="D31" s="47"/>
      <c r="E31" s="165" t="str">
        <f t="shared" si="1"/>
        <v/>
      </c>
      <c r="F31" s="50"/>
    </row>
    <row r="32" spans="2:6" ht="15.95">
      <c r="B32" s="1813"/>
      <c r="C32" s="47"/>
      <c r="D32" s="47"/>
      <c r="E32" s="165" t="str">
        <f t="shared" si="1"/>
        <v/>
      </c>
      <c r="F32" s="50"/>
    </row>
    <row r="33" spans="2:6" ht="15.95">
      <c r="B33" s="1813"/>
      <c r="C33" s="47"/>
      <c r="D33" s="47"/>
      <c r="E33" s="165" t="str">
        <f t="shared" si="1"/>
        <v/>
      </c>
      <c r="F33" s="50"/>
    </row>
    <row r="34" spans="2:6" ht="15.95">
      <c r="B34" s="1813"/>
      <c r="C34" s="47"/>
      <c r="D34" s="47"/>
      <c r="E34" s="165" t="str">
        <f t="shared" si="1"/>
        <v/>
      </c>
      <c r="F34" s="50"/>
    </row>
    <row r="35" spans="2:6" ht="15.95">
      <c r="B35" s="1813"/>
      <c r="C35" s="47"/>
      <c r="D35" s="47"/>
      <c r="E35" s="165" t="str">
        <f t="shared" si="1"/>
        <v/>
      </c>
      <c r="F35" s="50"/>
    </row>
    <row r="36" spans="2:6" ht="15.95">
      <c r="B36" s="1813"/>
      <c r="C36" s="47"/>
      <c r="D36" s="47"/>
      <c r="E36" s="165" t="str">
        <f t="shared" si="1"/>
        <v/>
      </c>
      <c r="F36" s="50"/>
    </row>
    <row r="37" spans="2:6" ht="15.95">
      <c r="B37" s="1813"/>
      <c r="C37" s="47"/>
      <c r="D37" s="47"/>
      <c r="E37" s="165" t="str">
        <f t="shared" si="1"/>
        <v/>
      </c>
      <c r="F37" s="50"/>
    </row>
    <row r="38" spans="2:6" ht="15.95">
      <c r="B38" s="1813"/>
      <c r="C38" s="47"/>
      <c r="D38" s="47"/>
      <c r="E38" s="165" t="str">
        <f t="shared" si="1"/>
        <v/>
      </c>
      <c r="F38" s="50"/>
    </row>
    <row r="39" spans="2:6" ht="15.95">
      <c r="B39" s="1813"/>
      <c r="C39" s="47"/>
      <c r="D39" s="47"/>
      <c r="E39" s="165" t="str">
        <f t="shared" si="1"/>
        <v/>
      </c>
      <c r="F39" s="50"/>
    </row>
    <row r="40" spans="2:6" ht="15.95">
      <c r="B40" s="1813"/>
      <c r="C40" s="47"/>
      <c r="D40" s="47"/>
      <c r="E40" s="165" t="str">
        <f t="shared" si="1"/>
        <v/>
      </c>
      <c r="F40" s="50"/>
    </row>
    <row r="41" spans="2:6" ht="15.95">
      <c r="B41" s="1813"/>
      <c r="C41" s="47"/>
      <c r="D41" s="47"/>
      <c r="E41" s="165" t="str">
        <f t="shared" si="1"/>
        <v/>
      </c>
      <c r="F41" s="50"/>
    </row>
    <row r="42" spans="2:6" ht="15.95">
      <c r="B42" s="1813"/>
      <c r="C42" s="47"/>
      <c r="D42" s="47"/>
      <c r="E42" s="165" t="str">
        <f t="shared" si="1"/>
        <v/>
      </c>
      <c r="F42" s="50"/>
    </row>
    <row r="43" spans="2:6" ht="15.95">
      <c r="B43" s="1813"/>
      <c r="C43" s="47"/>
      <c r="D43" s="47"/>
      <c r="E43" s="165" t="str">
        <f t="shared" si="1"/>
        <v/>
      </c>
      <c r="F43" s="50"/>
    </row>
    <row r="44" spans="2:6" ht="15.95">
      <c r="B44" s="1813"/>
      <c r="C44" s="47"/>
      <c r="D44" s="47"/>
      <c r="E44" s="165" t="str">
        <f t="shared" si="1"/>
        <v/>
      </c>
      <c r="F44" s="50"/>
    </row>
    <row r="45" spans="2:6" ht="15.95">
      <c r="B45" s="1813"/>
      <c r="C45" s="47"/>
      <c r="D45" s="47"/>
      <c r="E45" s="165" t="str">
        <f t="shared" si="1"/>
        <v/>
      </c>
      <c r="F45" s="50"/>
    </row>
    <row r="46" spans="2:6" ht="15.95">
      <c r="B46" s="1813"/>
      <c r="C46" s="47"/>
      <c r="D46" s="47"/>
      <c r="E46" s="165" t="str">
        <f t="shared" si="1"/>
        <v/>
      </c>
      <c r="F46" s="50"/>
    </row>
    <row r="47" spans="2:6" ht="15.95">
      <c r="B47" s="1813"/>
      <c r="C47" s="47"/>
      <c r="D47" s="47"/>
      <c r="E47" s="165" t="str">
        <f t="shared" si="1"/>
        <v/>
      </c>
      <c r="F47" s="50"/>
    </row>
    <row r="48" spans="2:6" ht="15.95">
      <c r="B48" s="1813"/>
      <c r="C48" s="47"/>
      <c r="D48" s="47"/>
      <c r="E48" s="165" t="str">
        <f t="shared" si="1"/>
        <v/>
      </c>
      <c r="F48" s="50"/>
    </row>
    <row r="49" spans="2:6" ht="15.95">
      <c r="B49" s="1813"/>
      <c r="C49" s="47"/>
      <c r="D49" s="47"/>
      <c r="E49" s="165" t="str">
        <f t="shared" si="1"/>
        <v/>
      </c>
      <c r="F49" s="50"/>
    </row>
    <row r="50" spans="2:6" ht="15.95">
      <c r="B50" s="1813"/>
      <c r="C50" s="47"/>
      <c r="D50" s="47"/>
      <c r="E50" s="165" t="str">
        <f t="shared" si="1"/>
        <v/>
      </c>
      <c r="F50" s="50"/>
    </row>
    <row r="51" spans="2:6" ht="15.95">
      <c r="B51" s="1813"/>
      <c r="C51" s="47"/>
      <c r="D51" s="47"/>
      <c r="E51" s="165" t="str">
        <f t="shared" si="1"/>
        <v/>
      </c>
      <c r="F51" s="50"/>
    </row>
    <row r="52" spans="2:6" ht="15.95">
      <c r="B52" s="1813"/>
      <c r="C52" s="47"/>
      <c r="D52" s="47"/>
      <c r="E52" s="165" t="str">
        <f t="shared" si="1"/>
        <v/>
      </c>
      <c r="F52" s="50"/>
    </row>
    <row r="53" spans="2:6" ht="15.95">
      <c r="B53" s="1813"/>
      <c r="C53" s="47"/>
      <c r="D53" s="47"/>
      <c r="E53" s="165" t="str">
        <f t="shared" si="1"/>
        <v/>
      </c>
      <c r="F53" s="50"/>
    </row>
    <row r="54" spans="2:6" ht="15.95">
      <c r="B54" s="1813"/>
      <c r="C54" s="47"/>
      <c r="D54" s="47"/>
      <c r="E54" s="165" t="str">
        <f t="shared" si="1"/>
        <v/>
      </c>
      <c r="F54" s="50"/>
    </row>
    <row r="55" spans="2:6" ht="15.95">
      <c r="B55" s="1813"/>
      <c r="C55" s="47"/>
      <c r="D55" s="47"/>
      <c r="E55" s="165" t="str">
        <f t="shared" si="1"/>
        <v/>
      </c>
      <c r="F55" s="50"/>
    </row>
    <row r="56" spans="2:6" ht="15.95">
      <c r="B56" s="1813"/>
      <c r="C56" s="47"/>
      <c r="D56" s="47"/>
      <c r="E56" s="165" t="str">
        <f t="shared" si="1"/>
        <v/>
      </c>
      <c r="F56" s="50"/>
    </row>
    <row r="57" spans="2:6" ht="15.95">
      <c r="B57" s="1813"/>
      <c r="C57" s="47"/>
      <c r="D57" s="47"/>
      <c r="E57" s="165" t="str">
        <f t="shared" si="1"/>
        <v/>
      </c>
      <c r="F57" s="50"/>
    </row>
    <row r="58" spans="2:6" ht="15.95">
      <c r="B58" s="1813"/>
      <c r="C58" s="47"/>
      <c r="D58" s="47"/>
      <c r="E58" s="165" t="str">
        <f t="shared" si="1"/>
        <v/>
      </c>
      <c r="F58" s="50"/>
    </row>
    <row r="59" spans="2:6" ht="15.95">
      <c r="B59" s="1813"/>
      <c r="C59" s="47"/>
      <c r="D59" s="47"/>
      <c r="E59" s="165" t="str">
        <f t="shared" si="1"/>
        <v/>
      </c>
      <c r="F59" s="50"/>
    </row>
    <row r="60" spans="2:6" ht="15.95">
      <c r="B60" s="1813"/>
      <c r="C60" s="47"/>
      <c r="D60" s="47"/>
      <c r="E60" s="165" t="str">
        <f t="shared" si="1"/>
        <v/>
      </c>
      <c r="F60" s="50"/>
    </row>
    <row r="61" spans="2:6" ht="15.95">
      <c r="B61" s="1813"/>
      <c r="C61" s="47"/>
      <c r="D61" s="47"/>
      <c r="E61" s="165" t="str">
        <f t="shared" si="1"/>
        <v/>
      </c>
      <c r="F61" s="50"/>
    </row>
    <row r="62" spans="2:6" ht="15.95">
      <c r="B62" s="1813"/>
      <c r="C62" s="47"/>
      <c r="D62" s="47"/>
      <c r="E62" s="165" t="str">
        <f t="shared" si="1"/>
        <v/>
      </c>
      <c r="F62" s="50"/>
    </row>
    <row r="63" spans="2:6" ht="15.95">
      <c r="B63" s="1813"/>
      <c r="C63" s="47"/>
      <c r="D63" s="47"/>
      <c r="E63" s="165" t="str">
        <f t="shared" si="1"/>
        <v/>
      </c>
      <c r="F63" s="50"/>
    </row>
    <row r="64" spans="2:6" ht="15.95">
      <c r="B64" s="1813"/>
      <c r="C64" s="47"/>
      <c r="D64" s="47"/>
      <c r="E64" s="165" t="str">
        <f t="shared" si="1"/>
        <v/>
      </c>
      <c r="F64" s="50"/>
    </row>
    <row r="65" spans="2:6" ht="15.95">
      <c r="B65" s="1813"/>
      <c r="C65" s="47"/>
      <c r="D65" s="47"/>
      <c r="E65" s="165" t="str">
        <f t="shared" si="1"/>
        <v/>
      </c>
      <c r="F65" s="50"/>
    </row>
    <row r="66" spans="2:6" ht="15.95">
      <c r="B66" s="1813"/>
      <c r="C66" s="47"/>
      <c r="D66" s="47"/>
      <c r="E66" s="165" t="str">
        <f t="shared" si="1"/>
        <v/>
      </c>
      <c r="F66" s="50"/>
    </row>
    <row r="67" spans="2:6" ht="15.95">
      <c r="B67" s="1813"/>
      <c r="C67" s="47"/>
      <c r="D67" s="47"/>
      <c r="E67" s="165" t="str">
        <f t="shared" si="1"/>
        <v/>
      </c>
      <c r="F67" s="50"/>
    </row>
    <row r="68" spans="2:6" ht="15.95">
      <c r="B68" s="1813"/>
      <c r="C68" s="47"/>
      <c r="D68" s="47"/>
      <c r="E68" s="165" t="str">
        <f t="shared" si="1"/>
        <v/>
      </c>
      <c r="F68" s="50"/>
    </row>
    <row r="69" spans="2:6" ht="15.95">
      <c r="B69" s="1813"/>
      <c r="C69" s="47"/>
      <c r="D69" s="47"/>
      <c r="E69" s="165" t="str">
        <f t="shared" si="1"/>
        <v/>
      </c>
      <c r="F69" s="50"/>
    </row>
    <row r="70" spans="2:6" ht="15.95">
      <c r="B70" s="1813"/>
      <c r="C70" s="47"/>
      <c r="D70" s="47"/>
      <c r="E70" s="165" t="str">
        <f t="shared" si="1"/>
        <v/>
      </c>
      <c r="F70" s="50"/>
    </row>
    <row r="71" spans="2:6" ht="15.95">
      <c r="B71" s="1813"/>
      <c r="C71" s="47"/>
      <c r="D71" s="47"/>
      <c r="E71" s="165" t="str">
        <f t="shared" si="1"/>
        <v/>
      </c>
      <c r="F71" s="50"/>
    </row>
    <row r="72" spans="2:6" ht="15.95">
      <c r="B72" s="1813"/>
      <c r="C72" s="47"/>
      <c r="D72" s="47"/>
      <c r="E72" s="165" t="str">
        <f t="shared" si="1"/>
        <v/>
      </c>
      <c r="F72" s="50"/>
    </row>
    <row r="73" spans="2:6" ht="15.95">
      <c r="B73" s="1813"/>
      <c r="C73" s="47"/>
      <c r="D73" s="47"/>
      <c r="E73" s="165" t="str">
        <f t="shared" si="1"/>
        <v/>
      </c>
      <c r="F73" s="50"/>
    </row>
    <row r="74" spans="2:6" ht="15.95">
      <c r="B74" s="1813"/>
      <c r="C74" s="47"/>
      <c r="D74" s="47"/>
      <c r="E74" s="165" t="str">
        <f t="shared" si="1"/>
        <v/>
      </c>
      <c r="F74" s="50"/>
    </row>
    <row r="75" spans="2:6" ht="15.95">
      <c r="B75" s="1813"/>
      <c r="C75" s="47"/>
      <c r="D75" s="47"/>
      <c r="E75" s="165" t="str">
        <f t="shared" si="1"/>
        <v/>
      </c>
      <c r="F75" s="50"/>
    </row>
    <row r="76" spans="2:6" ht="15.95">
      <c r="B76" s="1813"/>
      <c r="C76" s="47"/>
      <c r="D76" s="47"/>
      <c r="E76" s="165" t="str">
        <f t="shared" si="1"/>
        <v/>
      </c>
      <c r="F76" s="50"/>
    </row>
    <row r="77" spans="2:6" ht="15.95">
      <c r="B77" s="1813"/>
      <c r="C77" s="47"/>
      <c r="D77" s="47"/>
      <c r="E77" s="165" t="str">
        <f t="shared" si="1"/>
        <v/>
      </c>
      <c r="F77" s="50"/>
    </row>
    <row r="78" spans="2:6" ht="15.95">
      <c r="B78" s="1813"/>
      <c r="C78" s="47"/>
      <c r="D78" s="47"/>
      <c r="E78" s="165" t="str">
        <f t="shared" si="1"/>
        <v/>
      </c>
      <c r="F78" s="50"/>
    </row>
    <row r="79" spans="2:6" ht="15.95">
      <c r="B79" s="1813"/>
      <c r="C79" s="47"/>
      <c r="D79" s="47"/>
      <c r="E79" s="165" t="str">
        <f t="shared" si="1"/>
        <v/>
      </c>
      <c r="F79" s="50"/>
    </row>
    <row r="80" spans="2:6" ht="15.95">
      <c r="B80" s="1813"/>
      <c r="C80" s="47"/>
      <c r="D80" s="47"/>
      <c r="E80" s="165" t="str">
        <f t="shared" ref="E80:E114" si="2">_xlfn.IFS(F80="","",F80="5 - Coût participation agri","OCS",F80="7 - OCS","OCS",F80&lt;&gt;"5 - Coût participation agri","Au réel",F80&lt;&gt;"7 - OCS","Au réel")</f>
        <v/>
      </c>
      <c r="F80" s="50"/>
    </row>
    <row r="81" spans="2:6" ht="15.95">
      <c r="B81" s="1813"/>
      <c r="C81" s="47"/>
      <c r="D81" s="47"/>
      <c r="E81" s="165" t="str">
        <f t="shared" si="2"/>
        <v/>
      </c>
      <c r="F81" s="50"/>
    </row>
    <row r="82" spans="2:6" ht="15.95">
      <c r="B82" s="1813"/>
      <c r="C82" s="47"/>
      <c r="D82" s="47"/>
      <c r="E82" s="165" t="str">
        <f t="shared" si="2"/>
        <v/>
      </c>
      <c r="F82" s="50"/>
    </row>
    <row r="83" spans="2:6" ht="15.95">
      <c r="B83" s="1813"/>
      <c r="C83" s="47"/>
      <c r="D83" s="47"/>
      <c r="E83" s="165" t="str">
        <f t="shared" si="2"/>
        <v/>
      </c>
      <c r="F83" s="50"/>
    </row>
    <row r="84" spans="2:6" ht="15.95">
      <c r="B84" s="1813"/>
      <c r="C84" s="47"/>
      <c r="D84" s="47"/>
      <c r="E84" s="165" t="str">
        <f t="shared" si="2"/>
        <v/>
      </c>
      <c r="F84" s="50"/>
    </row>
    <row r="85" spans="2:6" ht="15.95">
      <c r="B85" s="1813"/>
      <c r="C85" s="47"/>
      <c r="D85" s="47"/>
      <c r="E85" s="165" t="str">
        <f t="shared" si="2"/>
        <v/>
      </c>
      <c r="F85" s="50"/>
    </row>
    <row r="86" spans="2:6" ht="15.95">
      <c r="B86" s="1813"/>
      <c r="C86" s="47"/>
      <c r="D86" s="47"/>
      <c r="E86" s="165" t="str">
        <f t="shared" si="2"/>
        <v/>
      </c>
      <c r="F86" s="50"/>
    </row>
    <row r="87" spans="2:6" ht="15.95">
      <c r="B87" s="1813"/>
      <c r="C87" s="47"/>
      <c r="D87" s="47"/>
      <c r="E87" s="165" t="str">
        <f t="shared" si="2"/>
        <v/>
      </c>
      <c r="F87" s="50"/>
    </row>
    <row r="88" spans="2:6" ht="15.95">
      <c r="B88" s="1813"/>
      <c r="C88" s="47"/>
      <c r="D88" s="47"/>
      <c r="E88" s="165" t="str">
        <f t="shared" si="2"/>
        <v/>
      </c>
      <c r="F88" s="50"/>
    </row>
    <row r="89" spans="2:6" ht="15.95">
      <c r="B89" s="1813"/>
      <c r="C89" s="47"/>
      <c r="D89" s="47"/>
      <c r="E89" s="165" t="str">
        <f t="shared" si="2"/>
        <v/>
      </c>
      <c r="F89" s="50"/>
    </row>
    <row r="90" spans="2:6" ht="15.95">
      <c r="B90" s="1813"/>
      <c r="C90" s="47"/>
      <c r="D90" s="47"/>
      <c r="E90" s="165" t="str">
        <f t="shared" si="2"/>
        <v/>
      </c>
      <c r="F90" s="50"/>
    </row>
    <row r="91" spans="2:6" ht="15.95">
      <c r="B91" s="1813"/>
      <c r="C91" s="47"/>
      <c r="D91" s="47"/>
      <c r="E91" s="165" t="str">
        <f t="shared" si="2"/>
        <v/>
      </c>
      <c r="F91" s="50"/>
    </row>
    <row r="92" spans="2:6" ht="15.95">
      <c r="B92" s="1813"/>
      <c r="C92" s="47"/>
      <c r="D92" s="47"/>
      <c r="E92" s="165" t="str">
        <f t="shared" si="2"/>
        <v/>
      </c>
      <c r="F92" s="50"/>
    </row>
    <row r="93" spans="2:6" ht="15.95">
      <c r="B93" s="1813"/>
      <c r="C93" s="47"/>
      <c r="D93" s="47"/>
      <c r="E93" s="165" t="str">
        <f t="shared" si="2"/>
        <v/>
      </c>
      <c r="F93" s="50"/>
    </row>
    <row r="94" spans="2:6" ht="15.95">
      <c r="B94" s="1813"/>
      <c r="C94" s="47"/>
      <c r="D94" s="47"/>
      <c r="E94" s="165" t="str">
        <f t="shared" si="2"/>
        <v/>
      </c>
      <c r="F94" s="50"/>
    </row>
    <row r="95" spans="2:6" ht="15.95">
      <c r="B95" s="1813"/>
      <c r="C95" s="47"/>
      <c r="D95" s="47"/>
      <c r="E95" s="165" t="str">
        <f t="shared" si="2"/>
        <v/>
      </c>
      <c r="F95" s="50"/>
    </row>
    <row r="96" spans="2:6" ht="15.95">
      <c r="B96" s="1813"/>
      <c r="C96" s="47"/>
      <c r="D96" s="47"/>
      <c r="E96" s="165" t="str">
        <f t="shared" si="2"/>
        <v/>
      </c>
      <c r="F96" s="50"/>
    </row>
    <row r="97" spans="2:6" ht="15.95">
      <c r="B97" s="1813"/>
      <c r="C97" s="47"/>
      <c r="D97" s="47"/>
      <c r="E97" s="165" t="str">
        <f t="shared" si="2"/>
        <v/>
      </c>
      <c r="F97" s="50"/>
    </row>
    <row r="98" spans="2:6" ht="15.95">
      <c r="B98" s="1813"/>
      <c r="C98" s="47"/>
      <c r="D98" s="47"/>
      <c r="E98" s="165" t="str">
        <f t="shared" si="2"/>
        <v/>
      </c>
      <c r="F98" s="50"/>
    </row>
    <row r="99" spans="2:6" ht="15.95">
      <c r="B99" s="1813"/>
      <c r="C99" s="47"/>
      <c r="D99" s="47"/>
      <c r="E99" s="165" t="str">
        <f t="shared" si="2"/>
        <v/>
      </c>
      <c r="F99" s="50"/>
    </row>
    <row r="100" spans="2:6" ht="15.95">
      <c r="B100" s="1813"/>
      <c r="C100" s="47"/>
      <c r="D100" s="47"/>
      <c r="E100" s="165" t="str">
        <f t="shared" si="2"/>
        <v/>
      </c>
      <c r="F100" s="50"/>
    </row>
    <row r="101" spans="2:6" ht="15.95">
      <c r="B101" s="1813"/>
      <c r="C101" s="47"/>
      <c r="D101" s="47"/>
      <c r="E101" s="165" t="str">
        <f t="shared" si="2"/>
        <v/>
      </c>
      <c r="F101" s="50"/>
    </row>
    <row r="102" spans="2:6" ht="15.95">
      <c r="B102" s="1813"/>
      <c r="C102" s="47"/>
      <c r="D102" s="47"/>
      <c r="E102" s="165" t="str">
        <f t="shared" si="2"/>
        <v/>
      </c>
      <c r="F102" s="50"/>
    </row>
    <row r="103" spans="2:6" ht="15.95">
      <c r="B103" s="1813"/>
      <c r="C103" s="47"/>
      <c r="D103" s="47"/>
      <c r="E103" s="165" t="str">
        <f t="shared" si="2"/>
        <v/>
      </c>
      <c r="F103" s="50"/>
    </row>
    <row r="104" spans="2:6" ht="15.95">
      <c r="B104" s="1813"/>
      <c r="C104" s="47"/>
      <c r="D104" s="47"/>
      <c r="E104" s="165" t="str">
        <f t="shared" si="2"/>
        <v/>
      </c>
      <c r="F104" s="50"/>
    </row>
    <row r="105" spans="2:6" ht="15.95">
      <c r="B105" s="1813"/>
      <c r="C105" s="47"/>
      <c r="D105" s="47"/>
      <c r="E105" s="165" t="str">
        <f t="shared" si="2"/>
        <v/>
      </c>
      <c r="F105" s="50"/>
    </row>
    <row r="106" spans="2:6" ht="15.95">
      <c r="B106" s="1813"/>
      <c r="C106" s="47"/>
      <c r="D106" s="47"/>
      <c r="E106" s="165" t="str">
        <f t="shared" si="2"/>
        <v/>
      </c>
      <c r="F106" s="50"/>
    </row>
    <row r="107" spans="2:6" ht="15.95">
      <c r="B107" s="1813"/>
      <c r="C107" s="47"/>
      <c r="D107" s="47"/>
      <c r="E107" s="165" t="str">
        <f t="shared" si="2"/>
        <v/>
      </c>
      <c r="F107" s="50"/>
    </row>
    <row r="108" spans="2:6" ht="15.95">
      <c r="B108" s="1813"/>
      <c r="C108" s="47"/>
      <c r="D108" s="47"/>
      <c r="E108" s="165" t="str">
        <f t="shared" si="2"/>
        <v/>
      </c>
      <c r="F108" s="50"/>
    </row>
    <row r="109" spans="2:6" ht="15.95">
      <c r="B109" s="1813"/>
      <c r="C109" s="47"/>
      <c r="D109" s="47"/>
      <c r="E109" s="165" t="str">
        <f t="shared" si="2"/>
        <v/>
      </c>
      <c r="F109" s="50"/>
    </row>
    <row r="110" spans="2:6" ht="15.95">
      <c r="B110" s="1813"/>
      <c r="C110" s="47"/>
      <c r="D110" s="47"/>
      <c r="E110" s="165" t="str">
        <f t="shared" si="2"/>
        <v/>
      </c>
      <c r="F110" s="50"/>
    </row>
    <row r="111" spans="2:6" ht="15.95">
      <c r="B111" s="1813"/>
      <c r="C111" s="47"/>
      <c r="D111" s="47"/>
      <c r="E111" s="165" t="str">
        <f t="shared" si="2"/>
        <v/>
      </c>
      <c r="F111" s="50"/>
    </row>
    <row r="112" spans="2:6" ht="15.95">
      <c r="B112" s="1813"/>
      <c r="C112" s="47"/>
      <c r="D112" s="47"/>
      <c r="E112" s="165" t="str">
        <f t="shared" si="2"/>
        <v/>
      </c>
      <c r="F112" s="50"/>
    </row>
    <row r="113" spans="2:6" ht="15.95">
      <c r="B113" s="1813"/>
      <c r="C113" s="47"/>
      <c r="D113" s="47"/>
      <c r="E113" s="165" t="str">
        <f t="shared" si="2"/>
        <v/>
      </c>
      <c r="F113" s="50"/>
    </row>
    <row r="114" spans="2:6" ht="17.100000000000001" thickBot="1">
      <c r="B114" s="1814"/>
      <c r="C114" s="48"/>
      <c r="D114" s="48"/>
      <c r="E114" s="244" t="str">
        <f t="shared" si="2"/>
        <v/>
      </c>
      <c r="F114" s="51"/>
    </row>
  </sheetData>
  <sheetProtection algorithmName="SHA-512" hashValue="ZfgOGhf7apzYZ4mZUEiQDIA/qK7Y9Ga0iDdLavP11F8bq7f0Ik3g4iMHQB5ygM0/IiNr5P4ZQl537/AwQFpqFw==" saltValue="2QjNwsvYVk+TNEzWZtRLxg==" spinCount="100000" sheet="1" formatCells="0" formatColumns="0" formatRows="0" insertColumns="0" insertRows="0" insertHyperlinks="0" deleteColumns="0" deleteRows="0" sort="0" autoFilter="0" pivotTables="0"/>
  <mergeCells count="4">
    <mergeCell ref="B7:B14"/>
    <mergeCell ref="B15:B114"/>
    <mergeCell ref="B4:C6"/>
    <mergeCell ref="D2:F2"/>
  </mergeCells>
  <dataValidations count="3">
    <dataValidation type="list" allowBlank="1" showInputMessage="1" showErrorMessage="1" sqref="D7:D114" xr:uid="{D43329BC-62FE-4A61-BCA1-A9CAB13E522A}">
      <formula1>"Création groupes opérationnels, Projets groupes opérationnels, Diffusion résultats"</formula1>
    </dataValidation>
    <dataValidation type="list" allowBlank="1" showInputMessage="1" showErrorMessage="1" sqref="F4:F114" xr:uid="{57F44B62-E3C4-4FEA-B366-8D0428E183E3}">
      <formula1>"1 - Frais personnel,2 - Achat &amp; prestation,3 - Déplacement &amp; hébergement,4 - Contribution en nature,5 - Coût participation agri,6 - Amortissement,7 - OCS"</formula1>
    </dataValidation>
    <dataValidation type="list" allowBlank="1" showInputMessage="1" showErrorMessage="1" sqref="C7:C114" xr:uid="{735E2059-D3D2-44D4-A71F-2D45D5602677}">
      <formula1>"Chef de file,Partenaire 1,Partenaire 2, Partenaire 3,Partenaire 4, Partenaire 5,Partenaire 6,Partenaire 7"</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4">
    <tabColor theme="8" tint="0.59999389629810485"/>
  </sheetPr>
  <dimension ref="A1:AL81"/>
  <sheetViews>
    <sheetView showGridLines="0" zoomScale="50" zoomScaleNormal="100" workbookViewId="0">
      <selection activeCell="U17" sqref="U17"/>
    </sheetView>
  </sheetViews>
  <sheetFormatPr defaultColWidth="11.42578125" defaultRowHeight="15" outlineLevelCol="1"/>
  <cols>
    <col min="1" max="1" width="5.42578125" style="245" customWidth="1"/>
    <col min="2" max="2" width="10.42578125" style="245" customWidth="1"/>
    <col min="3" max="3" width="22.85546875" style="245" customWidth="1"/>
    <col min="4" max="4" width="24.42578125" style="245" customWidth="1"/>
    <col min="5" max="5" width="30.42578125" style="245" customWidth="1"/>
    <col min="6" max="7" width="44.42578125" style="245" customWidth="1"/>
    <col min="8" max="8" width="34.140625" style="245" customWidth="1"/>
    <col min="9" max="10" width="18.42578125" style="245" customWidth="1"/>
    <col min="11" max="12" width="17.42578125" style="245" customWidth="1"/>
    <col min="13" max="14" width="21.42578125" style="245" customWidth="1"/>
    <col min="15" max="16" width="21.85546875" style="245" customWidth="1"/>
    <col min="17" max="17" width="20.42578125" style="245" customWidth="1"/>
    <col min="18" max="18" width="31.140625" style="245" customWidth="1"/>
    <col min="19" max="28" width="20.42578125" style="245" customWidth="1" outlineLevel="1"/>
    <col min="29" max="30" width="28" style="245" customWidth="1" outlineLevel="1"/>
    <col min="31" max="31" width="20.42578125" style="1173" customWidth="1" outlineLevel="1"/>
    <col min="32" max="35" width="20.42578125" style="245" customWidth="1" outlineLevel="1"/>
    <col min="36" max="37" width="31.140625" style="245" customWidth="1" outlineLevel="1"/>
    <col min="38" max="38" width="20.42578125" style="245" customWidth="1" outlineLevel="1"/>
    <col min="39" max="16384" width="11.42578125" style="245"/>
  </cols>
  <sheetData>
    <row r="1" spans="1:38" ht="15.95" thickBot="1"/>
    <row r="2" spans="1:38" ht="31.7" customHeight="1">
      <c r="D2" s="1824" t="s">
        <v>93</v>
      </c>
      <c r="E2" s="1825"/>
      <c r="F2" s="1825"/>
      <c r="G2" s="1825"/>
      <c r="H2" s="1825"/>
      <c r="I2" s="1826"/>
    </row>
    <row r="3" spans="1:38" ht="168" customHeight="1" thickBot="1">
      <c r="D3" s="1827" t="s">
        <v>94</v>
      </c>
      <c r="E3" s="1828"/>
      <c r="F3" s="1828"/>
      <c r="G3" s="1828"/>
      <c r="H3" s="1828"/>
      <c r="I3" s="1829"/>
      <c r="J3" s="246"/>
    </row>
    <row r="4" spans="1:38" ht="35.1" customHeight="1" thickBot="1">
      <c r="C4" s="1834"/>
      <c r="D4" s="1834"/>
      <c r="E4" s="247"/>
      <c r="F4" s="247"/>
      <c r="G4" s="247"/>
      <c r="H4" s="248"/>
      <c r="I4" s="248"/>
      <c r="J4" s="248"/>
      <c r="K4" s="249"/>
      <c r="L4" s="250"/>
      <c r="M4" s="250"/>
      <c r="N4" s="250"/>
      <c r="O4" s="249"/>
      <c r="P4" s="249"/>
      <c r="Q4" s="251"/>
    </row>
    <row r="5" spans="1:38" ht="35.1" customHeight="1" thickBot="1">
      <c r="B5" s="1841" t="s">
        <v>95</v>
      </c>
      <c r="C5" s="1842"/>
      <c r="D5" s="1842"/>
      <c r="E5" s="1842"/>
      <c r="F5" s="1842"/>
      <c r="G5" s="1842"/>
      <c r="H5" s="1842"/>
      <c r="I5" s="1842"/>
      <c r="J5" s="1842"/>
      <c r="K5" s="1842"/>
      <c r="L5" s="1842"/>
      <c r="M5" s="1842"/>
      <c r="N5" s="1842"/>
      <c r="O5" s="1842"/>
      <c r="P5" s="1842"/>
      <c r="Q5" s="1842"/>
      <c r="R5" s="1843"/>
      <c r="S5" s="1830" t="s">
        <v>96</v>
      </c>
      <c r="T5" s="1831"/>
      <c r="U5" s="1831"/>
      <c r="V5" s="1831"/>
      <c r="W5" s="1831"/>
      <c r="X5" s="1831"/>
      <c r="Y5" s="1831"/>
      <c r="Z5" s="1831"/>
      <c r="AA5" s="1831"/>
      <c r="AB5" s="1831"/>
      <c r="AC5" s="1831"/>
      <c r="AD5" s="1831"/>
      <c r="AE5" s="1831"/>
      <c r="AF5" s="1831"/>
      <c r="AG5" s="1831"/>
      <c r="AH5" s="1831"/>
      <c r="AI5" s="1831"/>
      <c r="AJ5" s="1831"/>
      <c r="AK5" s="1831"/>
      <c r="AL5" s="1832"/>
    </row>
    <row r="6" spans="1:38" s="252" customFormat="1" ht="75" customHeight="1">
      <c r="B6" s="1793" t="s">
        <v>97</v>
      </c>
      <c r="C6" s="399" t="s">
        <v>98</v>
      </c>
      <c r="D6" s="400" t="s">
        <v>77</v>
      </c>
      <c r="E6" s="400" t="s">
        <v>99</v>
      </c>
      <c r="F6" s="400" t="s">
        <v>100</v>
      </c>
      <c r="G6" s="400" t="s">
        <v>101</v>
      </c>
      <c r="H6" s="400" t="s">
        <v>102</v>
      </c>
      <c r="I6" s="400" t="s">
        <v>103</v>
      </c>
      <c r="J6" s="400" t="s">
        <v>104</v>
      </c>
      <c r="K6" s="1835" t="s">
        <v>105</v>
      </c>
      <c r="L6" s="1836"/>
      <c r="M6" s="1837"/>
      <c r="N6" s="400" t="s">
        <v>106</v>
      </c>
      <c r="O6" s="400" t="s">
        <v>107</v>
      </c>
      <c r="P6" s="401" t="s">
        <v>108</v>
      </c>
      <c r="Q6" s="400" t="s">
        <v>109</v>
      </c>
      <c r="R6" s="402" t="s">
        <v>34</v>
      </c>
      <c r="S6" s="393" t="s">
        <v>98</v>
      </c>
      <c r="T6" s="394" t="s">
        <v>77</v>
      </c>
      <c r="U6" s="394" t="s">
        <v>99</v>
      </c>
      <c r="V6" s="394" t="s">
        <v>110</v>
      </c>
      <c r="W6" s="394" t="s">
        <v>101</v>
      </c>
      <c r="X6" s="394" t="s">
        <v>102</v>
      </c>
      <c r="Y6" s="394" t="s">
        <v>103</v>
      </c>
      <c r="Z6" s="394" t="s">
        <v>104</v>
      </c>
      <c r="AA6" s="1838" t="s">
        <v>111</v>
      </c>
      <c r="AB6" s="1839"/>
      <c r="AC6" s="1840"/>
      <c r="AD6" s="394" t="s">
        <v>112</v>
      </c>
      <c r="AE6" s="1174" t="s">
        <v>107</v>
      </c>
      <c r="AF6" s="395" t="s">
        <v>108</v>
      </c>
      <c r="AG6" s="394" t="s">
        <v>113</v>
      </c>
      <c r="AH6" s="87" t="s">
        <v>114</v>
      </c>
      <c r="AI6" s="394" t="s">
        <v>115</v>
      </c>
      <c r="AJ6" s="394" t="s">
        <v>116</v>
      </c>
      <c r="AK6" s="394" t="s">
        <v>52</v>
      </c>
      <c r="AL6" s="396" t="s">
        <v>53</v>
      </c>
    </row>
    <row r="7" spans="1:38" s="253" customFormat="1" ht="204" customHeight="1">
      <c r="B7" s="1844"/>
      <c r="C7" s="156" t="s">
        <v>117</v>
      </c>
      <c r="D7" s="53" t="s">
        <v>118</v>
      </c>
      <c r="E7" s="53"/>
      <c r="F7" s="53" t="s">
        <v>119</v>
      </c>
      <c r="G7" s="588" t="s">
        <v>120</v>
      </c>
      <c r="H7" s="254" t="s">
        <v>121</v>
      </c>
      <c r="I7" s="53" t="s">
        <v>122</v>
      </c>
      <c r="J7" s="53" t="s">
        <v>123</v>
      </c>
      <c r="K7" s="255" t="s">
        <v>124</v>
      </c>
      <c r="L7" s="255" t="s">
        <v>125</v>
      </c>
      <c r="M7" s="255" t="s">
        <v>126</v>
      </c>
      <c r="N7" s="255" t="s">
        <v>127</v>
      </c>
      <c r="O7" s="255" t="s">
        <v>128</v>
      </c>
      <c r="P7" s="256" t="s">
        <v>129</v>
      </c>
      <c r="Q7" s="254" t="s">
        <v>130</v>
      </c>
      <c r="R7" s="257" t="s">
        <v>131</v>
      </c>
      <c r="S7" s="54" t="s">
        <v>57</v>
      </c>
      <c r="T7" s="55" t="s">
        <v>57</v>
      </c>
      <c r="U7" s="55" t="s">
        <v>54</v>
      </c>
      <c r="V7" s="55" t="s">
        <v>54</v>
      </c>
      <c r="W7" s="590" t="s">
        <v>120</v>
      </c>
      <c r="X7" s="55" t="s">
        <v>54</v>
      </c>
      <c r="Y7" s="55" t="s">
        <v>54</v>
      </c>
      <c r="Z7" s="55" t="s">
        <v>54</v>
      </c>
      <c r="AA7" s="55" t="s">
        <v>132</v>
      </c>
      <c r="AB7" s="55" t="s">
        <v>133</v>
      </c>
      <c r="AC7" s="55" t="s">
        <v>134</v>
      </c>
      <c r="AD7" s="55" t="s">
        <v>135</v>
      </c>
      <c r="AE7" s="1175" t="s">
        <v>54</v>
      </c>
      <c r="AF7" s="55" t="s">
        <v>54</v>
      </c>
      <c r="AG7" s="55" t="s">
        <v>54</v>
      </c>
      <c r="AH7" s="55" t="s">
        <v>136</v>
      </c>
      <c r="AI7" s="55" t="s">
        <v>54</v>
      </c>
      <c r="AJ7" s="55" t="s">
        <v>55</v>
      </c>
      <c r="AK7" s="55" t="s">
        <v>56</v>
      </c>
      <c r="AL7" s="56" t="s">
        <v>57</v>
      </c>
    </row>
    <row r="8" spans="1:38" s="259" customFormat="1" ht="33" thickBot="1">
      <c r="A8" s="1833"/>
      <c r="B8" s="380" t="s">
        <v>84</v>
      </c>
      <c r="C8" s="361" t="s">
        <v>10</v>
      </c>
      <c r="D8" s="362" t="s">
        <v>88</v>
      </c>
      <c r="E8" s="362" t="s">
        <v>137</v>
      </c>
      <c r="F8" s="362" t="s">
        <v>138</v>
      </c>
      <c r="G8" s="362" t="s">
        <v>139</v>
      </c>
      <c r="H8" s="362" t="s">
        <v>140</v>
      </c>
      <c r="I8" s="362" t="s">
        <v>141</v>
      </c>
      <c r="J8" s="362" t="s">
        <v>142</v>
      </c>
      <c r="K8" s="363">
        <v>40000</v>
      </c>
      <c r="L8" s="354">
        <v>10000</v>
      </c>
      <c r="M8" s="354">
        <v>50000</v>
      </c>
      <c r="N8" s="1168">
        <v>2</v>
      </c>
      <c r="O8" s="364">
        <v>0.5</v>
      </c>
      <c r="P8" s="365" t="s">
        <v>143</v>
      </c>
      <c r="Q8" s="357">
        <v>25000</v>
      </c>
      <c r="R8" s="366" t="s">
        <v>144</v>
      </c>
      <c r="S8" s="397" t="s">
        <v>10</v>
      </c>
      <c r="T8" s="367" t="s">
        <v>88</v>
      </c>
      <c r="U8" s="368" t="s">
        <v>137</v>
      </c>
      <c r="V8" s="368" t="s">
        <v>138</v>
      </c>
      <c r="W8" s="362" t="s">
        <v>139</v>
      </c>
      <c r="X8" s="368" t="s">
        <v>140</v>
      </c>
      <c r="Y8" s="362" t="s">
        <v>141</v>
      </c>
      <c r="Z8" s="362" t="s">
        <v>145</v>
      </c>
      <c r="AA8" s="343">
        <v>40000</v>
      </c>
      <c r="AB8" s="343">
        <v>10000</v>
      </c>
      <c r="AC8" s="343">
        <v>50000</v>
      </c>
      <c r="AD8" s="1171">
        <v>2</v>
      </c>
      <c r="AE8" s="364">
        <v>0.5</v>
      </c>
      <c r="AF8" s="362" t="s">
        <v>143</v>
      </c>
      <c r="AG8" s="343">
        <v>25000</v>
      </c>
      <c r="AH8" s="369" t="s">
        <v>141</v>
      </c>
      <c r="AI8" s="370">
        <v>25000</v>
      </c>
      <c r="AJ8" s="371"/>
      <c r="AK8" s="487" t="str" cm="1">
        <f t="array" ref="AK8">_xlfn.IFS(Q8="","",(IFERROR(VALUE(TRIM(SUBSTITUTE(AI8,CHAR(160),""))),0))=0,"Attention : montant présenté entièrement écarté",ROUND(AE8,2)&lt;ROUND(15%,2),"Attention : Montant temps d’affectation inférieur à 15%. La dépense doit être rejetée, ou vérifier que le personnel est affecté sur un autre type d'action",ROUND(AI8,2)&gt;ROUND(Q8,2),"KO : Le montant retenu est supérieur au montant présenté. Merci de revoir la ligne de dépense ou plafonner son montant.",Q8=0,"",ROUND(AI8,2)=ROUND(Q8,2),"OK",ROUND(AI8,2)&lt;ROUND(Q8,2),"Attention : Montant présenté partiellement écarté",TRUE,"")</f>
        <v>OK</v>
      </c>
      <c r="AL8" s="372">
        <v>0</v>
      </c>
    </row>
    <row r="9" spans="1:38" ht="15.95">
      <c r="A9" s="1833"/>
      <c r="B9" s="359">
        <v>1</v>
      </c>
      <c r="C9" s="1392"/>
      <c r="D9" s="682"/>
      <c r="E9" s="1392"/>
      <c r="F9" s="1392"/>
      <c r="G9" s="1392"/>
      <c r="H9" s="1392"/>
      <c r="I9" s="1392"/>
      <c r="J9" s="1392"/>
      <c r="K9" s="1393"/>
      <c r="L9" s="1394"/>
      <c r="M9" s="589" t="str">
        <f>IF(OR(K9="",L9=""),"",MIN(IFERROR(VALUE(TRIM(SUBSTITUTE(K9,CHAR(160),""))),0)+IFERROR(VALUE(TRIM(SUBSTITUTE(L9,CHAR(160),""))),0),IF(G9="Oui, directeur chercheur",92000,IF(G9="Oui, ingénieur",61000,IF(G9="Oui, technicien",49000,IFERROR(VALUE(TRIM(SUBSTITUTE(K9,CHAR(160),""))),0)+IFERROR(VALUE(TRIM(SUBSTITUTE(L9,CHAR(160),""))),0))))))</f>
        <v/>
      </c>
      <c r="N9" s="1395"/>
      <c r="O9" s="1396"/>
      <c r="P9" s="1397"/>
      <c r="Q9" s="1169" t="str">
        <f>IF(M9="","",IF(M9=0,"",M9*O9))</f>
        <v/>
      </c>
      <c r="R9" s="1403"/>
      <c r="S9" s="297" t="str">
        <f t="shared" ref="S9:AA12" si="0">IF(C9="","",C9)</f>
        <v/>
      </c>
      <c r="T9" s="490" t="str">
        <f t="shared" si="0"/>
        <v/>
      </c>
      <c r="U9" s="94" t="str">
        <f t="shared" si="0"/>
        <v/>
      </c>
      <c r="V9" s="690" t="str">
        <f t="shared" si="0"/>
        <v/>
      </c>
      <c r="W9" s="418" t="str">
        <f t="shared" si="0"/>
        <v/>
      </c>
      <c r="X9" s="813" t="str">
        <f t="shared" si="0"/>
        <v/>
      </c>
      <c r="Y9" s="94" t="str">
        <f t="shared" si="0"/>
        <v/>
      </c>
      <c r="Z9" s="94" t="str">
        <f t="shared" si="0"/>
        <v/>
      </c>
      <c r="AA9" s="379" t="str">
        <f t="shared" si="0"/>
        <v/>
      </c>
      <c r="AB9" s="808" t="str">
        <f t="shared" ref="AB9" si="1">IF(L9="","",L9)</f>
        <v/>
      </c>
      <c r="AC9" s="811" t="str">
        <f>IF(OR(AA9="",AB9=""),"",MIN(IFERROR(VALUE(TRIM(SUBSTITUTE(AA9,CHAR(160),""))),0)+IFERROR(VALUE(TRIM(SUBSTITUTE(AB9,CHAR(160),""))),0),IF(W9="directeur chercheur",92000,IF(W9="ingénieur",61000,IF(W9="technicien",49000,IFERROR(VALUE(TRIM(SUBSTITUTE(AA9,CHAR(160),""))),0)+IFERROR(VALUE(TRIM(SUBSTITUTE(AB9,CHAR(160),""))),0))))))</f>
        <v/>
      </c>
      <c r="AD9" s="1170" t="str">
        <f>IF(N9="","",N9)</f>
        <v/>
      </c>
      <c r="AE9" s="1172" t="str">
        <f t="shared" ref="AE9:AF9" si="2">IF(O9="","",O9)</f>
        <v/>
      </c>
      <c r="AF9" s="1170" t="str">
        <f t="shared" si="2"/>
        <v/>
      </c>
      <c r="AG9" s="1178" t="str">
        <f>IF(AC9="","",AC9*AE9)</f>
        <v/>
      </c>
      <c r="AH9" s="1407"/>
      <c r="AI9" s="404" t="str">
        <f>IF(AH9="Oui",AG9,IF(AH9="Non",0,""))</f>
        <v/>
      </c>
      <c r="AJ9" s="481"/>
      <c r="AK9" s="1179" t="str" cm="1">
        <f t="array" ref="AK9">_xlfn.IFS(Q9="","",(IFERROR(VALUE(TRIM(SUBSTITUTE(AI9,CHAR(160),""))),0))=0,"Attention : montant présenté entièrement écarté",ROUND(AE9,2)&lt;ROUND(15%,2),"Attention : Montant temps d’affectation inférieur à 15%. La dépense doit être rejetée, ou vérifier que le personnel est affecté sur un autre type d'action",ROUND(AI9,2)&gt;ROUND(Q9,2),"KO : Le montant retenu est supérieur au montant présenté. Merci de revoir la ligne de dépense ou plafonner son montant.",Q9=0,"",ROUND(AI9,2)=ROUND(Q9,2),"OK",ROUND(AI9,2)&lt;ROUND(Q9,2),"Attention : Montant présenté partiellement écarté",TRUE,"")</f>
        <v/>
      </c>
      <c r="AL9" s="484" t="str">
        <f>IF(OR(Q9="",AI9=""),"",(IFERROR(VALUE(TRIM(SUBSTITUTE(Q9,CHAR(160),""))),0))-(IFERROR(VALUE(TRIM(SUBSTITUTE(AI9,CHAR(160),""))),0)))</f>
        <v/>
      </c>
    </row>
    <row r="10" spans="1:38" ht="15.95">
      <c r="A10" s="1833"/>
      <c r="B10" s="360">
        <v>2</v>
      </c>
      <c r="C10" s="35"/>
      <c r="D10" s="11"/>
      <c r="E10" s="35"/>
      <c r="F10" s="35"/>
      <c r="G10" s="35"/>
      <c r="H10" s="35"/>
      <c r="I10" s="35"/>
      <c r="J10" s="35"/>
      <c r="K10" s="3"/>
      <c r="L10" s="4"/>
      <c r="M10" s="356" t="str">
        <f t="shared" ref="M10:M68" si="3">IF(OR(K10="",L10=""),"",MIN(IFERROR(VALUE(TRIM(SUBSTITUTE(K10,CHAR(160),""))),0)+IFERROR(VALUE(TRIM(SUBSTITUTE(L10,CHAR(160),""))),0),IF(G10="Oui, directeur chercheur",92000,IF(G10="Oui, ingénieur",61000,IF(G10="Oui, technicien",49000,IFERROR(VALUE(TRIM(SUBSTITUTE(K10,CHAR(160),""))),0)+IFERROR(VALUE(TRIM(SUBSTITUTE(L10,CHAR(160),""))),0))))))</f>
        <v/>
      </c>
      <c r="N10" s="1195"/>
      <c r="O10" s="820"/>
      <c r="P10" s="37"/>
      <c r="Q10" s="1404" t="str">
        <f t="shared" ref="Q10:Q68" si="4">IF(M10="","",IF(M10=0,"",M10*O10))</f>
        <v/>
      </c>
      <c r="R10" s="11"/>
      <c r="S10" s="1402" t="str">
        <f t="shared" ref="S10:S68" si="5">IF(C10="","",C10)</f>
        <v/>
      </c>
      <c r="T10" s="57" t="str">
        <f t="shared" ref="T10:T41" si="6">IF(D10="","",D10)</f>
        <v/>
      </c>
      <c r="U10" s="814" t="str">
        <f t="shared" ref="U10:U68" si="7">IF(E10="","",E10)</f>
        <v/>
      </c>
      <c r="V10" s="691" t="str">
        <f t="shared" ref="V10:V68" si="8">IF(F10="","",F10)</f>
        <v/>
      </c>
      <c r="W10" s="418" t="str">
        <f t="shared" si="0"/>
        <v/>
      </c>
      <c r="X10" s="814" t="str">
        <f t="shared" ref="X10:X68" si="9">IF(H10="","",H10)</f>
        <v/>
      </c>
      <c r="Y10" s="57" t="str">
        <f t="shared" ref="Y10:Y68" si="10">IF(I10="","",I10)</f>
        <v/>
      </c>
      <c r="Z10" s="57" t="str">
        <f t="shared" ref="Z10:Z68" si="11">IF(J10="","",J10)</f>
        <v/>
      </c>
      <c r="AA10" s="379" t="str">
        <f t="shared" ref="AA10:AA68" si="12">IF(K10="","",K10)</f>
        <v/>
      </c>
      <c r="AB10" s="809" t="str">
        <f t="shared" ref="AB10:AB68" si="13">IF(L10="","",L10)</f>
        <v/>
      </c>
      <c r="AC10" s="811" t="str">
        <f t="shared" ref="AC10:AC68" si="14">IF(OR(AA10="",AB10=""),"",MIN(IFERROR(VALUE(TRIM(SUBSTITUTE(AA10,CHAR(160),""))),0)+IFERROR(VALUE(TRIM(SUBSTITUTE(AB10,CHAR(160),""))),0),IF(W10="directeur chercheur",92000,IF(W10="ingénieur",61000,IF(W10="technicien",49000,IFERROR(VALUE(TRIM(SUBSTITUTE(AA10,CHAR(160),""))),0)+IFERROR(VALUE(TRIM(SUBSTITUTE(AB10,CHAR(160),""))),0))))))</f>
        <v/>
      </c>
      <c r="AD10" s="1170" t="str">
        <f t="shared" ref="AD10:AD68" si="15">IF(N10="","",N10)</f>
        <v/>
      </c>
      <c r="AE10" s="1172" t="str">
        <f t="shared" ref="AE10:AE68" si="16">IF(O10="","",O10)</f>
        <v/>
      </c>
      <c r="AF10" s="1406" t="str">
        <f t="shared" ref="AF10:AF68" si="17">IF(P10="","",P10)</f>
        <v/>
      </c>
      <c r="AG10" s="1408" t="str">
        <f t="shared" ref="AG10:AG68" si="18">IF(AC10="","",AC10*AE10)</f>
        <v/>
      </c>
      <c r="AH10" s="1407"/>
      <c r="AI10" s="822" t="str">
        <f t="shared" ref="AI10:AI68" si="19">IF(AH10="Oui",AG10,IF(AH10="Non",0,""))</f>
        <v/>
      </c>
      <c r="AJ10" s="482"/>
      <c r="AK10" s="1180" t="str" cm="1">
        <f t="array" ref="AK10">_xlfn.IFS(Q10="","",(IFERROR(VALUE(TRIM(SUBSTITUTE(AI10,CHAR(160),""))),0))=0,"Attention : montant présenté entièrement écarté",ROUND(AE10,2)&lt;ROUND(15%,2),"Attention : Montant temps d’affectation inférieur à 15%. La dépense doit être rejetée, ou vérifier que le personnel est affecté sur un autre type d'action",ROUND(AI10,2)&gt;ROUND(Q10,2),"KO : Le montant retenu est supérieur au montant présenté. Merci de revoir la ligne de dépense ou plafonner son montant.",Q10=0,"",ROUND(AI10,2)=ROUND(Q10,2),"OK",ROUND(AI10,2)&lt;ROUND(Q10,2),"Attention : Montant présenté partiellement écarté",TRUE,"")</f>
        <v/>
      </c>
      <c r="AL10" s="485" t="str">
        <f t="shared" ref="AL10:AL68" si="20">IF(OR(Q10="",AI10=""),"",(IFERROR(VALUE(TRIM(SUBSTITUTE(Q10,CHAR(160),""))),0))-(IFERROR(VALUE(TRIM(SUBSTITUTE(AI10,CHAR(160),""))),0)))</f>
        <v/>
      </c>
    </row>
    <row r="11" spans="1:38" ht="15.95">
      <c r="A11" s="1833"/>
      <c r="B11" s="360">
        <v>3</v>
      </c>
      <c r="C11" s="35"/>
      <c r="D11" s="11"/>
      <c r="E11" s="35"/>
      <c r="F11" s="35"/>
      <c r="G11" s="35"/>
      <c r="H11" s="35"/>
      <c r="I11" s="35"/>
      <c r="J11" s="35"/>
      <c r="K11" s="3"/>
      <c r="L11" s="4"/>
      <c r="M11" s="356" t="str">
        <f t="shared" si="3"/>
        <v/>
      </c>
      <c r="N11" s="1195"/>
      <c r="O11" s="820"/>
      <c r="P11" s="37"/>
      <c r="Q11" s="1401" t="str">
        <f t="shared" si="4"/>
        <v/>
      </c>
      <c r="R11" s="1400"/>
      <c r="S11" s="1391" t="str">
        <f t="shared" si="5"/>
        <v/>
      </c>
      <c r="T11" s="57" t="str">
        <f t="shared" si="6"/>
        <v/>
      </c>
      <c r="U11" s="814" t="str">
        <f t="shared" si="7"/>
        <v/>
      </c>
      <c r="V11" s="691" t="str">
        <f t="shared" si="8"/>
        <v/>
      </c>
      <c r="W11" s="418" t="str">
        <f t="shared" si="0"/>
        <v/>
      </c>
      <c r="X11" s="814" t="str">
        <f t="shared" si="9"/>
        <v/>
      </c>
      <c r="Y11" s="57" t="str">
        <f t="shared" si="10"/>
        <v/>
      </c>
      <c r="Z11" s="57" t="str">
        <f t="shared" si="11"/>
        <v/>
      </c>
      <c r="AA11" s="379" t="str">
        <f t="shared" si="12"/>
        <v/>
      </c>
      <c r="AB11" s="809" t="str">
        <f t="shared" si="13"/>
        <v/>
      </c>
      <c r="AC11" s="811" t="str">
        <f t="shared" si="14"/>
        <v/>
      </c>
      <c r="AD11" s="1170" t="str">
        <f t="shared" si="15"/>
        <v/>
      </c>
      <c r="AE11" s="1172" t="str">
        <f t="shared" si="16"/>
        <v/>
      </c>
      <c r="AF11" s="1406" t="str">
        <f t="shared" si="17"/>
        <v/>
      </c>
      <c r="AG11" s="1408" t="str">
        <f>IF(AC11="","",AC11*AE11)</f>
        <v/>
      </c>
      <c r="AH11" s="1407"/>
      <c r="AI11" s="822" t="str">
        <f t="shared" si="19"/>
        <v/>
      </c>
      <c r="AJ11" s="482"/>
      <c r="AK11" s="1180" t="str" cm="1">
        <f t="array" ref="AK11">_xlfn.IFS(Q11="","",(IFERROR(VALUE(TRIM(SUBSTITUTE(AI11,CHAR(160),""))),0))=0,"Attention : montant présenté entièrement écarté",ROUND(AE11,2)&lt;ROUND(15%,2),"Attention : Montant temps d’affectation inférieur à 15%. La dépense doit être rejetée, ou vérifier que le personnel est affecté sur un autre type d'action",ROUND(AI11,2)&gt;ROUND(Q11,2),"KO : Le montant retenu est supérieur au montant présenté. Merci de revoir la ligne de dépense ou plafonner son montant.",Q11=0,"",ROUND(AI11,2)=ROUND(Q11,2),"OK",ROUND(AI11,2)&lt;ROUND(Q11,2),"Attention : Montant présenté partiellement écarté",TRUE,"")</f>
        <v/>
      </c>
      <c r="AL11" s="485" t="str">
        <f t="shared" si="20"/>
        <v/>
      </c>
    </row>
    <row r="12" spans="1:38" ht="15.95">
      <c r="A12" s="1833"/>
      <c r="B12" s="360">
        <v>4</v>
      </c>
      <c r="C12" s="35"/>
      <c r="D12" s="11"/>
      <c r="E12" s="35"/>
      <c r="F12" s="35"/>
      <c r="G12" s="35"/>
      <c r="H12" s="35"/>
      <c r="I12" s="35"/>
      <c r="J12" s="35"/>
      <c r="K12" s="3"/>
      <c r="L12" s="4"/>
      <c r="M12" s="356" t="str">
        <f t="shared" si="3"/>
        <v/>
      </c>
      <c r="N12" s="1195"/>
      <c r="O12" s="820"/>
      <c r="P12" s="37"/>
      <c r="Q12" s="1401" t="str">
        <f t="shared" si="4"/>
        <v/>
      </c>
      <c r="R12" s="1400"/>
      <c r="S12" s="215" t="str">
        <f t="shared" si="5"/>
        <v/>
      </c>
      <c r="T12" s="57" t="str">
        <f t="shared" si="6"/>
        <v/>
      </c>
      <c r="U12" s="57" t="str">
        <f t="shared" si="7"/>
        <v/>
      </c>
      <c r="V12" s="691" t="str">
        <f t="shared" si="8"/>
        <v/>
      </c>
      <c r="W12" s="418" t="str">
        <f t="shared" si="0"/>
        <v/>
      </c>
      <c r="X12" s="814" t="str">
        <f t="shared" si="9"/>
        <v/>
      </c>
      <c r="Y12" s="57" t="str">
        <f t="shared" si="10"/>
        <v/>
      </c>
      <c r="Z12" s="57" t="str">
        <f t="shared" si="11"/>
        <v/>
      </c>
      <c r="AA12" s="379" t="str">
        <f t="shared" si="12"/>
        <v/>
      </c>
      <c r="AB12" s="809" t="str">
        <f t="shared" si="13"/>
        <v/>
      </c>
      <c r="AC12" s="811" t="str">
        <f t="shared" si="14"/>
        <v/>
      </c>
      <c r="AD12" s="1170" t="str">
        <f t="shared" si="15"/>
        <v/>
      </c>
      <c r="AE12" s="1172" t="str">
        <f t="shared" si="16"/>
        <v/>
      </c>
      <c r="AF12" s="1406" t="str">
        <f t="shared" si="17"/>
        <v/>
      </c>
      <c r="AG12" s="1408" t="str">
        <f t="shared" si="18"/>
        <v/>
      </c>
      <c r="AH12" s="1407"/>
      <c r="AI12" s="822" t="str">
        <f t="shared" si="19"/>
        <v/>
      </c>
      <c r="AJ12" s="482"/>
      <c r="AK12" s="1180" t="str" cm="1">
        <f t="array" ref="AK12">_xlfn.IFS(Q12="","",(IFERROR(VALUE(TRIM(SUBSTITUTE(AI12,CHAR(160),""))),0))=0,"Attention : montant présenté entièrement écarté",ROUND(AE12,2)&lt;ROUND(15%,2),"Attention : Montant temps d’affectation inférieur à 15%. La dépense doit être rejetée, ou vérifier que le personnel est affecté sur un autre type d'action",ROUND(AI12,2)&gt;ROUND(Q12,2),"KO : Le montant retenu est supérieur au montant présenté. Merci de revoir la ligne de dépense ou plafonner son montant.",Q12=0,"",ROUND(AI12,2)=ROUND(Q12,2),"OK",ROUND(AI12,2)&lt;ROUND(Q12,2),"Attention : Montant présenté partiellement écarté",TRUE,"")</f>
        <v/>
      </c>
      <c r="AL12" s="485" t="str">
        <f t="shared" si="20"/>
        <v/>
      </c>
    </row>
    <row r="13" spans="1:38" ht="15.95">
      <c r="A13" s="1833"/>
      <c r="B13" s="360">
        <v>5</v>
      </c>
      <c r="C13" s="35"/>
      <c r="D13" s="11"/>
      <c r="E13" s="35"/>
      <c r="F13" s="35"/>
      <c r="G13" s="35"/>
      <c r="H13" s="35"/>
      <c r="I13" s="35"/>
      <c r="J13" s="35"/>
      <c r="K13" s="3"/>
      <c r="L13" s="4"/>
      <c r="M13" s="356" t="str">
        <f t="shared" si="3"/>
        <v/>
      </c>
      <c r="N13" s="1195"/>
      <c r="O13" s="820"/>
      <c r="P13" s="37"/>
      <c r="Q13" s="1401" t="str">
        <f t="shared" si="4"/>
        <v/>
      </c>
      <c r="R13" s="1400"/>
      <c r="S13" s="215" t="str">
        <f t="shared" si="5"/>
        <v/>
      </c>
      <c r="T13" s="57" t="str">
        <f t="shared" si="6"/>
        <v/>
      </c>
      <c r="U13" s="57" t="str">
        <f t="shared" si="7"/>
        <v/>
      </c>
      <c r="V13" s="691" t="str">
        <f t="shared" si="8"/>
        <v/>
      </c>
      <c r="W13" s="418" t="str">
        <f t="shared" ref="W13:W68" si="21">IF(G13="","",G13)</f>
        <v/>
      </c>
      <c r="X13" s="814" t="str">
        <f t="shared" si="9"/>
        <v/>
      </c>
      <c r="Y13" s="57" t="str">
        <f t="shared" si="10"/>
        <v/>
      </c>
      <c r="Z13" s="57" t="str">
        <f t="shared" si="11"/>
        <v/>
      </c>
      <c r="AA13" s="379" t="str">
        <f t="shared" si="12"/>
        <v/>
      </c>
      <c r="AB13" s="809" t="str">
        <f t="shared" si="13"/>
        <v/>
      </c>
      <c r="AC13" s="811" t="str">
        <f t="shared" si="14"/>
        <v/>
      </c>
      <c r="AD13" s="1170" t="str">
        <f t="shared" si="15"/>
        <v/>
      </c>
      <c r="AE13" s="1172" t="str">
        <f t="shared" si="16"/>
        <v/>
      </c>
      <c r="AF13" s="1406" t="str">
        <f t="shared" si="17"/>
        <v/>
      </c>
      <c r="AG13" s="1408" t="str">
        <f t="shared" si="18"/>
        <v/>
      </c>
      <c r="AH13" s="1407"/>
      <c r="AI13" s="822" t="str">
        <f t="shared" si="19"/>
        <v/>
      </c>
      <c r="AJ13" s="482"/>
      <c r="AK13" s="1180" t="str" cm="1">
        <f t="array" ref="AK13">_xlfn.IFS(Q13="","",(IFERROR(VALUE(TRIM(SUBSTITUTE(AI13,CHAR(160),""))),0))=0,"Attention : montant présenté entièrement écarté",ROUND(AE13,2)&lt;ROUND(15%,2),"Attention : Montant temps d’affectation inférieur à 15%. La dépense doit être rejetée, ou vérifier que le personnel est affecté sur un autre type d'action",ROUND(AI13,2)&gt;ROUND(Q13,2),"KO : Le montant retenu est supérieur au montant présenté. Merci de revoir la ligne de dépense ou plafonner son montant.",Q13=0,"",ROUND(AI13,2)=ROUND(Q13,2),"OK",ROUND(AI13,2)&lt;ROUND(Q13,2),"Attention : Montant présenté partiellement écarté",TRUE,"")</f>
        <v/>
      </c>
      <c r="AL13" s="485" t="str">
        <f t="shared" si="20"/>
        <v/>
      </c>
    </row>
    <row r="14" spans="1:38" ht="15.95">
      <c r="A14" s="1833"/>
      <c r="B14" s="360">
        <v>6</v>
      </c>
      <c r="C14" s="35"/>
      <c r="D14" s="11"/>
      <c r="E14" s="35"/>
      <c r="F14" s="35"/>
      <c r="G14" s="35"/>
      <c r="H14" s="35"/>
      <c r="I14" s="35"/>
      <c r="J14" s="35"/>
      <c r="K14" s="3"/>
      <c r="L14" s="4"/>
      <c r="M14" s="356" t="str">
        <f t="shared" si="3"/>
        <v/>
      </c>
      <c r="N14" s="1195"/>
      <c r="O14" s="820"/>
      <c r="P14" s="37"/>
      <c r="Q14" s="1401" t="str">
        <f t="shared" si="4"/>
        <v/>
      </c>
      <c r="R14" s="1400"/>
      <c r="S14" s="215" t="str">
        <f t="shared" si="5"/>
        <v/>
      </c>
      <c r="T14" s="57" t="str">
        <f t="shared" si="6"/>
        <v/>
      </c>
      <c r="U14" s="57" t="str">
        <f t="shared" si="7"/>
        <v/>
      </c>
      <c r="V14" s="691" t="str">
        <f t="shared" si="8"/>
        <v/>
      </c>
      <c r="W14" s="418" t="str">
        <f t="shared" si="21"/>
        <v/>
      </c>
      <c r="X14" s="814" t="str">
        <f t="shared" si="9"/>
        <v/>
      </c>
      <c r="Y14" s="57" t="str">
        <f t="shared" si="10"/>
        <v/>
      </c>
      <c r="Z14" s="57" t="str">
        <f t="shared" si="11"/>
        <v/>
      </c>
      <c r="AA14" s="379" t="str">
        <f t="shared" si="12"/>
        <v/>
      </c>
      <c r="AB14" s="809" t="str">
        <f t="shared" si="13"/>
        <v/>
      </c>
      <c r="AC14" s="811" t="str">
        <f t="shared" si="14"/>
        <v/>
      </c>
      <c r="AD14" s="1170" t="str">
        <f t="shared" si="15"/>
        <v/>
      </c>
      <c r="AE14" s="1172" t="str">
        <f t="shared" si="16"/>
        <v/>
      </c>
      <c r="AF14" s="1406" t="str">
        <f t="shared" si="17"/>
        <v/>
      </c>
      <c r="AG14" s="1408" t="str">
        <f t="shared" si="18"/>
        <v/>
      </c>
      <c r="AH14" s="1407"/>
      <c r="AI14" s="822" t="str">
        <f t="shared" si="19"/>
        <v/>
      </c>
      <c r="AJ14" s="482"/>
      <c r="AK14" s="1180" t="str" cm="1">
        <f t="array" ref="AK14">_xlfn.IFS(Q14="","",(IFERROR(VALUE(TRIM(SUBSTITUTE(AI14,CHAR(160),""))),0))=0,"Attention : montant présenté entièrement écarté",ROUND(AE14,2)&lt;ROUND(15%,2),"Attention : Montant temps d’affectation inférieur à 15%. La dépense doit être rejetée, ou vérifier que le personnel est affecté sur un autre type d'action",ROUND(AI14,2)&gt;ROUND(Q14,2),"KO : Le montant retenu est supérieur au montant présenté. Merci de revoir la ligne de dépense ou plafonner son montant.",Q14=0,"",ROUND(AI14,2)=ROUND(Q14,2),"OK",ROUND(AI14,2)&lt;ROUND(Q14,2),"Attention : Montant présenté partiellement écarté",TRUE,"")</f>
        <v/>
      </c>
      <c r="AL14" s="485" t="str">
        <f t="shared" si="20"/>
        <v/>
      </c>
    </row>
    <row r="15" spans="1:38" ht="15.95">
      <c r="A15" s="1833"/>
      <c r="B15" s="360">
        <v>7</v>
      </c>
      <c r="C15" s="35"/>
      <c r="D15" s="11"/>
      <c r="E15" s="35"/>
      <c r="F15" s="35"/>
      <c r="G15" s="35"/>
      <c r="H15" s="35"/>
      <c r="I15" s="35"/>
      <c r="J15" s="35"/>
      <c r="K15" s="3"/>
      <c r="L15" s="4"/>
      <c r="M15" s="356" t="str">
        <f t="shared" si="3"/>
        <v/>
      </c>
      <c r="N15" s="1195"/>
      <c r="O15" s="820"/>
      <c r="P15" s="37"/>
      <c r="Q15" s="1401" t="str">
        <f t="shared" si="4"/>
        <v/>
      </c>
      <c r="R15" s="1400"/>
      <c r="S15" s="215" t="str">
        <f t="shared" si="5"/>
        <v/>
      </c>
      <c r="T15" s="57" t="str">
        <f t="shared" si="6"/>
        <v/>
      </c>
      <c r="U15" s="57" t="str">
        <f t="shared" si="7"/>
        <v/>
      </c>
      <c r="V15" s="691" t="str">
        <f t="shared" si="8"/>
        <v/>
      </c>
      <c r="W15" s="418" t="str">
        <f t="shared" si="21"/>
        <v/>
      </c>
      <c r="X15" s="814" t="str">
        <f t="shared" si="9"/>
        <v/>
      </c>
      <c r="Y15" s="57" t="str">
        <f t="shared" si="10"/>
        <v/>
      </c>
      <c r="Z15" s="57" t="str">
        <f t="shared" si="11"/>
        <v/>
      </c>
      <c r="AA15" s="379" t="str">
        <f t="shared" si="12"/>
        <v/>
      </c>
      <c r="AB15" s="809" t="str">
        <f t="shared" si="13"/>
        <v/>
      </c>
      <c r="AC15" s="811" t="str">
        <f t="shared" si="14"/>
        <v/>
      </c>
      <c r="AD15" s="1170" t="str">
        <f t="shared" si="15"/>
        <v/>
      </c>
      <c r="AE15" s="1172" t="str">
        <f t="shared" si="16"/>
        <v/>
      </c>
      <c r="AF15" s="1406" t="str">
        <f t="shared" si="17"/>
        <v/>
      </c>
      <c r="AG15" s="1408" t="str">
        <f t="shared" si="18"/>
        <v/>
      </c>
      <c r="AH15" s="1407"/>
      <c r="AI15" s="822" t="str">
        <f t="shared" si="19"/>
        <v/>
      </c>
      <c r="AJ15" s="482"/>
      <c r="AK15" s="1180" t="str" cm="1">
        <f t="array" ref="AK15">_xlfn.IFS(Q15="","",(IFERROR(VALUE(TRIM(SUBSTITUTE(AI15,CHAR(160),""))),0))=0,"Attention : montant présenté entièrement écarté",ROUND(AE15,2)&lt;ROUND(15%,2),"Attention : Montant temps d’affectation inférieur à 15%. La dépense doit être rejetée, ou vérifier que le personnel est affecté sur un autre type d'action",ROUND(AI15,2)&gt;ROUND(Q15,2),"KO : Le montant retenu est supérieur au montant présenté. Merci de revoir la ligne de dépense ou plafonner son montant.",Q15=0,"",ROUND(AI15,2)=ROUND(Q15,2),"OK",ROUND(AI15,2)&lt;ROUND(Q15,2),"Attention : Montant présenté partiellement écarté",TRUE,"")</f>
        <v/>
      </c>
      <c r="AL15" s="485" t="str">
        <f t="shared" si="20"/>
        <v/>
      </c>
    </row>
    <row r="16" spans="1:38" ht="15.95">
      <c r="A16" s="1833"/>
      <c r="B16" s="360">
        <v>8</v>
      </c>
      <c r="C16" s="35"/>
      <c r="D16" s="11"/>
      <c r="E16" s="35"/>
      <c r="F16" s="35"/>
      <c r="G16" s="35"/>
      <c r="H16" s="35"/>
      <c r="I16" s="35"/>
      <c r="J16" s="35"/>
      <c r="K16" s="3"/>
      <c r="L16" s="4"/>
      <c r="M16" s="356" t="str">
        <f t="shared" si="3"/>
        <v/>
      </c>
      <c r="N16" s="1195"/>
      <c r="O16" s="820"/>
      <c r="P16" s="37"/>
      <c r="Q16" s="1401" t="str">
        <f t="shared" si="4"/>
        <v/>
      </c>
      <c r="R16" s="1400"/>
      <c r="S16" s="215" t="str">
        <f t="shared" si="5"/>
        <v/>
      </c>
      <c r="T16" s="57" t="str">
        <f t="shared" si="6"/>
        <v/>
      </c>
      <c r="U16" s="57" t="str">
        <f t="shared" si="7"/>
        <v/>
      </c>
      <c r="V16" s="691" t="str">
        <f t="shared" si="8"/>
        <v/>
      </c>
      <c r="W16" s="418" t="str">
        <f t="shared" si="21"/>
        <v/>
      </c>
      <c r="X16" s="814" t="str">
        <f t="shared" si="9"/>
        <v/>
      </c>
      <c r="Y16" s="57" t="str">
        <f t="shared" si="10"/>
        <v/>
      </c>
      <c r="Z16" s="57" t="str">
        <f t="shared" si="11"/>
        <v/>
      </c>
      <c r="AA16" s="379" t="str">
        <f t="shared" si="12"/>
        <v/>
      </c>
      <c r="AB16" s="809" t="str">
        <f t="shared" si="13"/>
        <v/>
      </c>
      <c r="AC16" s="811" t="str">
        <f t="shared" si="14"/>
        <v/>
      </c>
      <c r="AD16" s="1170" t="str">
        <f t="shared" si="15"/>
        <v/>
      </c>
      <c r="AE16" s="1172" t="str">
        <f t="shared" si="16"/>
        <v/>
      </c>
      <c r="AF16" s="1406" t="str">
        <f t="shared" si="17"/>
        <v/>
      </c>
      <c r="AG16" s="1408" t="str">
        <f t="shared" si="18"/>
        <v/>
      </c>
      <c r="AH16" s="1407"/>
      <c r="AI16" s="822" t="str">
        <f t="shared" si="19"/>
        <v/>
      </c>
      <c r="AJ16" s="482"/>
      <c r="AK16" s="1180" t="str" cm="1">
        <f t="array" ref="AK16">_xlfn.IFS(Q16="","",(IFERROR(VALUE(TRIM(SUBSTITUTE(AI16,CHAR(160),""))),0))=0,"Attention : montant présenté entièrement écarté",ROUND(AE16,2)&lt;ROUND(15%,2),"Attention : Montant temps d’affectation inférieur à 15%. La dépense doit être rejetée, ou vérifier que le personnel est affecté sur un autre type d'action",ROUND(AI16,2)&gt;ROUND(Q16,2),"KO : Le montant retenu est supérieur au montant présenté. Merci de revoir la ligne de dépense ou plafonner son montant.",Q16=0,"",ROUND(AI16,2)=ROUND(Q16,2),"OK",ROUND(AI16,2)&lt;ROUND(Q16,2),"Attention : Montant présenté partiellement écarté",TRUE,"")</f>
        <v/>
      </c>
      <c r="AL16" s="485" t="str">
        <f t="shared" si="20"/>
        <v/>
      </c>
    </row>
    <row r="17" spans="1:38" ht="15.95">
      <c r="A17" s="1833"/>
      <c r="B17" s="360">
        <v>9</v>
      </c>
      <c r="C17" s="35"/>
      <c r="D17" s="11"/>
      <c r="E17" s="35"/>
      <c r="F17" s="35"/>
      <c r="G17" s="35"/>
      <c r="H17" s="35"/>
      <c r="I17" s="35"/>
      <c r="J17" s="35"/>
      <c r="K17" s="3"/>
      <c r="L17" s="4"/>
      <c r="M17" s="356" t="str">
        <f t="shared" si="3"/>
        <v/>
      </c>
      <c r="N17" s="1196"/>
      <c r="O17" s="820"/>
      <c r="P17" s="37"/>
      <c r="Q17" s="1401" t="str">
        <f t="shared" si="4"/>
        <v/>
      </c>
      <c r="R17" s="1400"/>
      <c r="S17" s="215" t="str">
        <f t="shared" si="5"/>
        <v/>
      </c>
      <c r="T17" s="57" t="str">
        <f t="shared" si="6"/>
        <v/>
      </c>
      <c r="U17" s="57" t="str">
        <f t="shared" si="7"/>
        <v/>
      </c>
      <c r="V17" s="691" t="str">
        <f t="shared" si="8"/>
        <v/>
      </c>
      <c r="W17" s="418" t="str">
        <f t="shared" si="21"/>
        <v/>
      </c>
      <c r="X17" s="814" t="str">
        <f t="shared" si="9"/>
        <v/>
      </c>
      <c r="Y17" s="57" t="str">
        <f t="shared" si="10"/>
        <v/>
      </c>
      <c r="Z17" s="57" t="str">
        <f t="shared" si="11"/>
        <v/>
      </c>
      <c r="AA17" s="379" t="str">
        <f t="shared" si="12"/>
        <v/>
      </c>
      <c r="AB17" s="809" t="str">
        <f t="shared" si="13"/>
        <v/>
      </c>
      <c r="AC17" s="811" t="str">
        <f t="shared" si="14"/>
        <v/>
      </c>
      <c r="AD17" s="1170" t="str">
        <f t="shared" si="15"/>
        <v/>
      </c>
      <c r="AE17" s="1172" t="str">
        <f t="shared" si="16"/>
        <v/>
      </c>
      <c r="AF17" s="1406" t="str">
        <f t="shared" si="17"/>
        <v/>
      </c>
      <c r="AG17" s="1408" t="str">
        <f t="shared" si="18"/>
        <v/>
      </c>
      <c r="AH17" s="1407"/>
      <c r="AI17" s="822" t="str">
        <f t="shared" si="19"/>
        <v/>
      </c>
      <c r="AJ17" s="482"/>
      <c r="AK17" s="1180" t="str" cm="1">
        <f t="array" ref="AK17">_xlfn.IFS(Q17="","",(IFERROR(VALUE(TRIM(SUBSTITUTE(AI17,CHAR(160),""))),0))=0,"Attention : montant présenté entièrement écarté",ROUND(AE17,2)&lt;ROUND(15%,2),"Attention : Montant temps d’affectation inférieur à 15%. La dépense doit être rejetée, ou vérifier que le personnel est affecté sur un autre type d'action",ROUND(AI17,2)&gt;ROUND(Q17,2),"KO : Le montant retenu est supérieur au montant présenté. Merci de revoir la ligne de dépense ou plafonner son montant.",Q17=0,"",ROUND(AI17,2)=ROUND(Q17,2),"OK",ROUND(AI17,2)&lt;ROUND(Q17,2),"Attention : Montant présenté partiellement écarté",TRUE,"")</f>
        <v/>
      </c>
      <c r="AL17" s="485" t="str">
        <f t="shared" si="20"/>
        <v/>
      </c>
    </row>
    <row r="18" spans="1:38" ht="15.95">
      <c r="A18" s="1833"/>
      <c r="B18" s="360">
        <v>10</v>
      </c>
      <c r="C18" s="35"/>
      <c r="D18" s="11"/>
      <c r="E18" s="35"/>
      <c r="F18" s="35"/>
      <c r="G18" s="35"/>
      <c r="H18" s="35"/>
      <c r="I18" s="35"/>
      <c r="J18" s="35"/>
      <c r="K18" s="3"/>
      <c r="L18" s="4"/>
      <c r="M18" s="356" t="str">
        <f t="shared" si="3"/>
        <v/>
      </c>
      <c r="N18" s="1196"/>
      <c r="O18" s="820"/>
      <c r="P18" s="37"/>
      <c r="Q18" s="1401" t="str">
        <f t="shared" si="4"/>
        <v/>
      </c>
      <c r="R18" s="1400"/>
      <c r="S18" s="215" t="str">
        <f t="shared" si="5"/>
        <v/>
      </c>
      <c r="T18" s="57" t="str">
        <f t="shared" si="6"/>
        <v/>
      </c>
      <c r="U18" s="57" t="str">
        <f t="shared" si="7"/>
        <v/>
      </c>
      <c r="V18" s="691" t="str">
        <f t="shared" si="8"/>
        <v/>
      </c>
      <c r="W18" s="418" t="str">
        <f t="shared" si="21"/>
        <v/>
      </c>
      <c r="X18" s="814" t="str">
        <f t="shared" si="9"/>
        <v/>
      </c>
      <c r="Y18" s="57" t="str">
        <f t="shared" si="10"/>
        <v/>
      </c>
      <c r="Z18" s="57" t="str">
        <f t="shared" si="11"/>
        <v/>
      </c>
      <c r="AA18" s="379" t="str">
        <f t="shared" si="12"/>
        <v/>
      </c>
      <c r="AB18" s="809" t="str">
        <f t="shared" si="13"/>
        <v/>
      </c>
      <c r="AC18" s="811" t="str">
        <f t="shared" si="14"/>
        <v/>
      </c>
      <c r="AD18" s="1170" t="str">
        <f t="shared" si="15"/>
        <v/>
      </c>
      <c r="AE18" s="1172" t="str">
        <f t="shared" si="16"/>
        <v/>
      </c>
      <c r="AF18" s="1406" t="str">
        <f t="shared" si="17"/>
        <v/>
      </c>
      <c r="AG18" s="1408" t="str">
        <f t="shared" si="18"/>
        <v/>
      </c>
      <c r="AH18" s="1407"/>
      <c r="AI18" s="822" t="str">
        <f t="shared" si="19"/>
        <v/>
      </c>
      <c r="AJ18" s="482"/>
      <c r="AK18" s="1180" t="str" cm="1">
        <f t="array" ref="AK18">_xlfn.IFS(Q18="","",(IFERROR(VALUE(TRIM(SUBSTITUTE(AI18,CHAR(160),""))),0))=0,"Attention : montant présenté entièrement écarté",ROUND(AE18,2)&lt;ROUND(15%,2),"Attention : Montant temps d’affectation inférieur à 15%. La dépense doit être rejetée, ou vérifier que le personnel est affecté sur un autre type d'action",ROUND(AI18,2)&gt;ROUND(Q18,2),"KO : Le montant retenu est supérieur au montant présenté. Merci de revoir la ligne de dépense ou plafonner son montant.",Q18=0,"",ROUND(AI18,2)=ROUND(Q18,2),"OK",ROUND(AI18,2)&lt;ROUND(Q18,2),"Attention : Montant présenté partiellement écarté",TRUE,"")</f>
        <v/>
      </c>
      <c r="AL18" s="485" t="str">
        <f t="shared" si="20"/>
        <v/>
      </c>
    </row>
    <row r="19" spans="1:38" ht="15.95">
      <c r="A19" s="1833"/>
      <c r="B19" s="360">
        <v>11</v>
      </c>
      <c r="C19" s="35"/>
      <c r="D19" s="11"/>
      <c r="E19" s="35"/>
      <c r="F19" s="35"/>
      <c r="G19" s="35"/>
      <c r="H19" s="35"/>
      <c r="I19" s="35"/>
      <c r="J19" s="35"/>
      <c r="K19" s="3"/>
      <c r="L19" s="4"/>
      <c r="M19" s="356" t="str">
        <f t="shared" si="3"/>
        <v/>
      </c>
      <c r="N19" s="1196"/>
      <c r="O19" s="820"/>
      <c r="P19" s="37"/>
      <c r="Q19" s="1401" t="str">
        <f t="shared" si="4"/>
        <v/>
      </c>
      <c r="R19" s="1400"/>
      <c r="S19" s="215" t="str">
        <f t="shared" si="5"/>
        <v/>
      </c>
      <c r="T19" s="57" t="str">
        <f t="shared" si="6"/>
        <v/>
      </c>
      <c r="U19" s="57" t="str">
        <f t="shared" si="7"/>
        <v/>
      </c>
      <c r="V19" s="691" t="str">
        <f t="shared" si="8"/>
        <v/>
      </c>
      <c r="W19" s="418" t="str">
        <f t="shared" si="21"/>
        <v/>
      </c>
      <c r="X19" s="814" t="str">
        <f t="shared" si="9"/>
        <v/>
      </c>
      <c r="Y19" s="57" t="str">
        <f t="shared" si="10"/>
        <v/>
      </c>
      <c r="Z19" s="57" t="str">
        <f t="shared" si="11"/>
        <v/>
      </c>
      <c r="AA19" s="379" t="str">
        <f t="shared" si="12"/>
        <v/>
      </c>
      <c r="AB19" s="809" t="str">
        <f t="shared" si="13"/>
        <v/>
      </c>
      <c r="AC19" s="811" t="str">
        <f t="shared" si="14"/>
        <v/>
      </c>
      <c r="AD19" s="1170" t="str">
        <f t="shared" si="15"/>
        <v/>
      </c>
      <c r="AE19" s="1172" t="str">
        <f t="shared" si="16"/>
        <v/>
      </c>
      <c r="AF19" s="1406" t="str">
        <f t="shared" si="17"/>
        <v/>
      </c>
      <c r="AG19" s="1408" t="str">
        <f t="shared" si="18"/>
        <v/>
      </c>
      <c r="AH19" s="1407"/>
      <c r="AI19" s="822" t="str">
        <f t="shared" si="19"/>
        <v/>
      </c>
      <c r="AJ19" s="482"/>
      <c r="AK19" s="1180" t="str" cm="1">
        <f t="array" ref="AK19">_xlfn.IFS(Q19="","",(IFERROR(VALUE(TRIM(SUBSTITUTE(AI19,CHAR(160),""))),0))=0,"Attention : montant présenté entièrement écarté",ROUND(AE19,2)&lt;ROUND(15%,2),"Attention : Montant temps d’affectation inférieur à 15%. La dépense doit être rejetée, ou vérifier que le personnel est affecté sur un autre type d'action",ROUND(AI19,2)&gt;ROUND(Q19,2),"KO : Le montant retenu est supérieur au montant présenté. Merci de revoir la ligne de dépense ou plafonner son montant.",Q19=0,"",ROUND(AI19,2)=ROUND(Q19,2),"OK",ROUND(AI19,2)&lt;ROUND(Q19,2),"Attention : Montant présenté partiellement écarté",TRUE,"")</f>
        <v/>
      </c>
      <c r="AL19" s="485" t="str">
        <f t="shared" si="20"/>
        <v/>
      </c>
    </row>
    <row r="20" spans="1:38" ht="15.95">
      <c r="A20" s="1833"/>
      <c r="B20" s="360">
        <v>12</v>
      </c>
      <c r="C20" s="35"/>
      <c r="D20" s="11"/>
      <c r="E20" s="35"/>
      <c r="F20" s="35"/>
      <c r="G20" s="35"/>
      <c r="H20" s="35"/>
      <c r="I20" s="35"/>
      <c r="J20" s="35"/>
      <c r="K20" s="3"/>
      <c r="L20" s="4"/>
      <c r="M20" s="356" t="str">
        <f t="shared" si="3"/>
        <v/>
      </c>
      <c r="N20" s="1196"/>
      <c r="O20" s="820"/>
      <c r="P20" s="37"/>
      <c r="Q20" s="1401" t="str">
        <f t="shared" si="4"/>
        <v/>
      </c>
      <c r="R20" s="1400"/>
      <c r="S20" s="215" t="str">
        <f t="shared" si="5"/>
        <v/>
      </c>
      <c r="T20" s="57" t="str">
        <f t="shared" si="6"/>
        <v/>
      </c>
      <c r="U20" s="57" t="str">
        <f t="shared" si="7"/>
        <v/>
      </c>
      <c r="V20" s="691" t="str">
        <f t="shared" si="8"/>
        <v/>
      </c>
      <c r="W20" s="418" t="str">
        <f t="shared" si="21"/>
        <v/>
      </c>
      <c r="X20" s="814" t="str">
        <f t="shared" si="9"/>
        <v/>
      </c>
      <c r="Y20" s="57" t="str">
        <f t="shared" si="10"/>
        <v/>
      </c>
      <c r="Z20" s="57" t="str">
        <f t="shared" si="11"/>
        <v/>
      </c>
      <c r="AA20" s="379" t="str">
        <f t="shared" si="12"/>
        <v/>
      </c>
      <c r="AB20" s="809" t="str">
        <f t="shared" si="13"/>
        <v/>
      </c>
      <c r="AC20" s="811" t="str">
        <f t="shared" si="14"/>
        <v/>
      </c>
      <c r="AD20" s="1170" t="str">
        <f t="shared" si="15"/>
        <v/>
      </c>
      <c r="AE20" s="1172" t="str">
        <f t="shared" si="16"/>
        <v/>
      </c>
      <c r="AF20" s="1406" t="str">
        <f t="shared" si="17"/>
        <v/>
      </c>
      <c r="AG20" s="1408" t="str">
        <f t="shared" si="18"/>
        <v/>
      </c>
      <c r="AH20" s="1407"/>
      <c r="AI20" s="822" t="str">
        <f t="shared" si="19"/>
        <v/>
      </c>
      <c r="AJ20" s="482"/>
      <c r="AK20" s="1180" t="str" cm="1">
        <f t="array" ref="AK20">_xlfn.IFS(Q20="","",(IFERROR(VALUE(TRIM(SUBSTITUTE(AI20,CHAR(160),""))),0))=0,"Attention : montant présenté entièrement écarté",ROUND(AE20,2)&lt;ROUND(15%,2),"Attention : Montant temps d’affectation inférieur à 15%. La dépense doit être rejetée, ou vérifier que le personnel est affecté sur un autre type d'action",ROUND(AI20,2)&gt;ROUND(Q20,2),"KO : Le montant retenu est supérieur au montant présenté. Merci de revoir la ligne de dépense ou plafonner son montant.",Q20=0,"",ROUND(AI20,2)=ROUND(Q20,2),"OK",ROUND(AI20,2)&lt;ROUND(Q20,2),"Attention : Montant présenté partiellement écarté",TRUE,"")</f>
        <v/>
      </c>
      <c r="AL20" s="485" t="str">
        <f t="shared" si="20"/>
        <v/>
      </c>
    </row>
    <row r="21" spans="1:38" ht="15.95">
      <c r="A21" s="1833"/>
      <c r="B21" s="360">
        <v>13</v>
      </c>
      <c r="C21" s="35"/>
      <c r="D21" s="11"/>
      <c r="E21" s="35"/>
      <c r="F21" s="35"/>
      <c r="G21" s="35"/>
      <c r="H21" s="35"/>
      <c r="I21" s="35"/>
      <c r="J21" s="35"/>
      <c r="K21" s="3"/>
      <c r="L21" s="4"/>
      <c r="M21" s="356" t="str">
        <f t="shared" si="3"/>
        <v/>
      </c>
      <c r="N21" s="1196"/>
      <c r="O21" s="820"/>
      <c r="P21" s="37"/>
      <c r="Q21" s="1401" t="str">
        <f t="shared" si="4"/>
        <v/>
      </c>
      <c r="R21" s="1400"/>
      <c r="S21" s="215" t="str">
        <f t="shared" si="5"/>
        <v/>
      </c>
      <c r="T21" s="57" t="str">
        <f t="shared" si="6"/>
        <v/>
      </c>
      <c r="U21" s="57" t="str">
        <f t="shared" si="7"/>
        <v/>
      </c>
      <c r="V21" s="691" t="str">
        <f t="shared" si="8"/>
        <v/>
      </c>
      <c r="W21" s="418" t="str">
        <f t="shared" si="21"/>
        <v/>
      </c>
      <c r="X21" s="814" t="str">
        <f t="shared" si="9"/>
        <v/>
      </c>
      <c r="Y21" s="57" t="str">
        <f t="shared" si="10"/>
        <v/>
      </c>
      <c r="Z21" s="57" t="str">
        <f t="shared" si="11"/>
        <v/>
      </c>
      <c r="AA21" s="379" t="str">
        <f t="shared" si="12"/>
        <v/>
      </c>
      <c r="AB21" s="809" t="str">
        <f t="shared" si="13"/>
        <v/>
      </c>
      <c r="AC21" s="811" t="str">
        <f t="shared" si="14"/>
        <v/>
      </c>
      <c r="AD21" s="1170" t="str">
        <f t="shared" si="15"/>
        <v/>
      </c>
      <c r="AE21" s="1172" t="str">
        <f t="shared" si="16"/>
        <v/>
      </c>
      <c r="AF21" s="1406" t="str">
        <f t="shared" si="17"/>
        <v/>
      </c>
      <c r="AG21" s="1408" t="str">
        <f t="shared" si="18"/>
        <v/>
      </c>
      <c r="AH21" s="1407"/>
      <c r="AI21" s="822" t="str">
        <f t="shared" si="19"/>
        <v/>
      </c>
      <c r="AJ21" s="482"/>
      <c r="AK21" s="1180" t="str" cm="1">
        <f t="array" ref="AK21">_xlfn.IFS(Q21="","",(IFERROR(VALUE(TRIM(SUBSTITUTE(AI21,CHAR(160),""))),0))=0,"Attention : montant présenté entièrement écarté",ROUND(AE21,2)&lt;ROUND(15%,2),"Attention : Montant temps d’affectation inférieur à 15%. La dépense doit être rejetée, ou vérifier que le personnel est affecté sur un autre type d'action",ROUND(AI21,2)&gt;ROUND(Q21,2),"KO : Le montant retenu est supérieur au montant présenté. Merci de revoir la ligne de dépense ou plafonner son montant.",Q21=0,"",ROUND(AI21,2)=ROUND(Q21,2),"OK",ROUND(AI21,2)&lt;ROUND(Q21,2),"Attention : Montant présenté partiellement écarté",TRUE,"")</f>
        <v/>
      </c>
      <c r="AL21" s="485" t="str">
        <f t="shared" si="20"/>
        <v/>
      </c>
    </row>
    <row r="22" spans="1:38" ht="15.95">
      <c r="A22" s="1833"/>
      <c r="B22" s="360">
        <v>14</v>
      </c>
      <c r="C22" s="35"/>
      <c r="D22" s="11"/>
      <c r="E22" s="35"/>
      <c r="F22" s="35"/>
      <c r="G22" s="35"/>
      <c r="H22" s="35"/>
      <c r="I22" s="35"/>
      <c r="J22" s="35"/>
      <c r="K22" s="3"/>
      <c r="L22" s="4"/>
      <c r="M22" s="356" t="str">
        <f t="shared" si="3"/>
        <v/>
      </c>
      <c r="N22" s="1196"/>
      <c r="O22" s="820"/>
      <c r="P22" s="37"/>
      <c r="Q22" s="1401" t="str">
        <f t="shared" si="4"/>
        <v/>
      </c>
      <c r="R22" s="1400"/>
      <c r="S22" s="215" t="str">
        <f t="shared" si="5"/>
        <v/>
      </c>
      <c r="T22" s="57" t="str">
        <f t="shared" si="6"/>
        <v/>
      </c>
      <c r="U22" s="57" t="str">
        <f t="shared" si="7"/>
        <v/>
      </c>
      <c r="V22" s="691" t="str">
        <f t="shared" si="8"/>
        <v/>
      </c>
      <c r="W22" s="418" t="str">
        <f t="shared" si="21"/>
        <v/>
      </c>
      <c r="X22" s="814" t="str">
        <f t="shared" si="9"/>
        <v/>
      </c>
      <c r="Y22" s="57" t="str">
        <f t="shared" si="10"/>
        <v/>
      </c>
      <c r="Z22" s="57" t="str">
        <f t="shared" si="11"/>
        <v/>
      </c>
      <c r="AA22" s="379" t="str">
        <f t="shared" si="12"/>
        <v/>
      </c>
      <c r="AB22" s="809" t="str">
        <f t="shared" si="13"/>
        <v/>
      </c>
      <c r="AC22" s="811" t="str">
        <f t="shared" si="14"/>
        <v/>
      </c>
      <c r="AD22" s="1170" t="str">
        <f t="shared" si="15"/>
        <v/>
      </c>
      <c r="AE22" s="1172" t="str">
        <f t="shared" si="16"/>
        <v/>
      </c>
      <c r="AF22" s="1406" t="str">
        <f t="shared" si="17"/>
        <v/>
      </c>
      <c r="AG22" s="1408" t="str">
        <f t="shared" si="18"/>
        <v/>
      </c>
      <c r="AH22" s="1407"/>
      <c r="AI22" s="822" t="str">
        <f t="shared" si="19"/>
        <v/>
      </c>
      <c r="AJ22" s="482"/>
      <c r="AK22" s="1180" t="str" cm="1">
        <f t="array" ref="AK22">_xlfn.IFS(Q22="","",(IFERROR(VALUE(TRIM(SUBSTITUTE(AI22,CHAR(160),""))),0))=0,"Attention : montant présenté entièrement écarté",ROUND(AE22,2)&lt;ROUND(15%,2),"Attention : Montant temps d’affectation inférieur à 15%. La dépense doit être rejetée, ou vérifier que le personnel est affecté sur un autre type d'action",ROUND(AI22,2)&gt;ROUND(Q22,2),"KO : Le montant retenu est supérieur au montant présenté. Merci de revoir la ligne de dépense ou plafonner son montant.",Q22=0,"",ROUND(AI22,2)=ROUND(Q22,2),"OK",ROUND(AI22,2)&lt;ROUND(Q22,2),"Attention : Montant présenté partiellement écarté",TRUE,"")</f>
        <v/>
      </c>
      <c r="AL22" s="485" t="str">
        <f t="shared" si="20"/>
        <v/>
      </c>
    </row>
    <row r="23" spans="1:38" ht="15.95">
      <c r="A23" s="1833"/>
      <c r="B23" s="360">
        <v>15</v>
      </c>
      <c r="C23" s="35"/>
      <c r="D23" s="11"/>
      <c r="E23" s="35"/>
      <c r="F23" s="35"/>
      <c r="G23" s="35"/>
      <c r="H23" s="35"/>
      <c r="I23" s="35"/>
      <c r="J23" s="35"/>
      <c r="K23" s="3"/>
      <c r="L23" s="4"/>
      <c r="M23" s="356" t="str">
        <f t="shared" si="3"/>
        <v/>
      </c>
      <c r="N23" s="1196"/>
      <c r="O23" s="820"/>
      <c r="P23" s="37"/>
      <c r="Q23" s="1401" t="str">
        <f t="shared" si="4"/>
        <v/>
      </c>
      <c r="R23" s="1400"/>
      <c r="S23" s="215" t="str">
        <f t="shared" si="5"/>
        <v/>
      </c>
      <c r="T23" s="57" t="str">
        <f t="shared" si="6"/>
        <v/>
      </c>
      <c r="U23" s="57" t="str">
        <f t="shared" si="7"/>
        <v/>
      </c>
      <c r="V23" s="691" t="str">
        <f t="shared" si="8"/>
        <v/>
      </c>
      <c r="W23" s="418" t="str">
        <f t="shared" si="21"/>
        <v/>
      </c>
      <c r="X23" s="814" t="str">
        <f t="shared" si="9"/>
        <v/>
      </c>
      <c r="Y23" s="57" t="str">
        <f t="shared" si="10"/>
        <v/>
      </c>
      <c r="Z23" s="57" t="str">
        <f t="shared" si="11"/>
        <v/>
      </c>
      <c r="AA23" s="379" t="str">
        <f t="shared" si="12"/>
        <v/>
      </c>
      <c r="AB23" s="809" t="str">
        <f t="shared" si="13"/>
        <v/>
      </c>
      <c r="AC23" s="811" t="str">
        <f t="shared" si="14"/>
        <v/>
      </c>
      <c r="AD23" s="1170" t="str">
        <f t="shared" si="15"/>
        <v/>
      </c>
      <c r="AE23" s="1172" t="str">
        <f t="shared" si="16"/>
        <v/>
      </c>
      <c r="AF23" s="1406" t="str">
        <f t="shared" si="17"/>
        <v/>
      </c>
      <c r="AG23" s="1408" t="str">
        <f t="shared" si="18"/>
        <v/>
      </c>
      <c r="AH23" s="1407"/>
      <c r="AI23" s="822" t="str">
        <f t="shared" si="19"/>
        <v/>
      </c>
      <c r="AJ23" s="482"/>
      <c r="AK23" s="1180" t="str" cm="1">
        <f t="array" ref="AK23">_xlfn.IFS(Q23="","",(IFERROR(VALUE(TRIM(SUBSTITUTE(AI23,CHAR(160),""))),0))=0,"Attention : montant présenté entièrement écarté",ROUND(AE23,2)&lt;ROUND(15%,2),"Attention : Montant temps d’affectation inférieur à 15%. La dépense doit être rejetée, ou vérifier que le personnel est affecté sur un autre type d'action",ROUND(AI23,2)&gt;ROUND(Q23,2),"KO : Le montant retenu est supérieur au montant présenté. Merci de revoir la ligne de dépense ou plafonner son montant.",Q23=0,"",ROUND(AI23,2)=ROUND(Q23,2),"OK",ROUND(AI23,2)&lt;ROUND(Q23,2),"Attention : Montant présenté partiellement écarté",TRUE,"")</f>
        <v/>
      </c>
      <c r="AL23" s="485" t="str">
        <f t="shared" si="20"/>
        <v/>
      </c>
    </row>
    <row r="24" spans="1:38" ht="15.95">
      <c r="A24" s="1833"/>
      <c r="B24" s="360">
        <v>16</v>
      </c>
      <c r="C24" s="35"/>
      <c r="D24" s="11"/>
      <c r="E24" s="35"/>
      <c r="F24" s="35"/>
      <c r="G24" s="35"/>
      <c r="H24" s="35"/>
      <c r="I24" s="35"/>
      <c r="J24" s="35"/>
      <c r="K24" s="3"/>
      <c r="L24" s="4"/>
      <c r="M24" s="356" t="str">
        <f t="shared" si="3"/>
        <v/>
      </c>
      <c r="N24" s="1196"/>
      <c r="O24" s="820"/>
      <c r="P24" s="37"/>
      <c r="Q24" s="1401" t="str">
        <f t="shared" si="4"/>
        <v/>
      </c>
      <c r="R24" s="1400"/>
      <c r="S24" s="215" t="str">
        <f t="shared" si="5"/>
        <v/>
      </c>
      <c r="T24" s="57" t="str">
        <f t="shared" si="6"/>
        <v/>
      </c>
      <c r="U24" s="57" t="str">
        <f t="shared" si="7"/>
        <v/>
      </c>
      <c r="V24" s="691" t="str">
        <f t="shared" si="8"/>
        <v/>
      </c>
      <c r="W24" s="418" t="str">
        <f t="shared" si="21"/>
        <v/>
      </c>
      <c r="X24" s="814" t="str">
        <f t="shared" si="9"/>
        <v/>
      </c>
      <c r="Y24" s="57" t="str">
        <f t="shared" si="10"/>
        <v/>
      </c>
      <c r="Z24" s="57" t="str">
        <f t="shared" si="11"/>
        <v/>
      </c>
      <c r="AA24" s="379" t="str">
        <f t="shared" si="12"/>
        <v/>
      </c>
      <c r="AB24" s="809" t="str">
        <f t="shared" si="13"/>
        <v/>
      </c>
      <c r="AC24" s="811" t="str">
        <f t="shared" si="14"/>
        <v/>
      </c>
      <c r="AD24" s="1170" t="str">
        <f t="shared" si="15"/>
        <v/>
      </c>
      <c r="AE24" s="1172" t="str">
        <f t="shared" si="16"/>
        <v/>
      </c>
      <c r="AF24" s="1406" t="str">
        <f t="shared" si="17"/>
        <v/>
      </c>
      <c r="AG24" s="1408" t="str">
        <f t="shared" si="18"/>
        <v/>
      </c>
      <c r="AH24" s="1407"/>
      <c r="AI24" s="822" t="str">
        <f t="shared" si="19"/>
        <v/>
      </c>
      <c r="AJ24" s="482"/>
      <c r="AK24" s="1180" t="str" cm="1">
        <f t="array" ref="AK24">_xlfn.IFS(Q24="","",(IFERROR(VALUE(TRIM(SUBSTITUTE(AI24,CHAR(160),""))),0))=0,"Attention : montant présenté entièrement écarté",ROUND(AE24,2)&lt;ROUND(15%,2),"Attention : Montant temps d’affectation inférieur à 15%. La dépense doit être rejetée, ou vérifier que le personnel est affecté sur un autre type d'action",ROUND(AI24,2)&gt;ROUND(Q24,2),"KO : Le montant retenu est supérieur au montant présenté. Merci de revoir la ligne de dépense ou plafonner son montant.",Q24=0,"",ROUND(AI24,2)=ROUND(Q24,2),"OK",ROUND(AI24,2)&lt;ROUND(Q24,2),"Attention : Montant présenté partiellement écarté",TRUE,"")</f>
        <v/>
      </c>
      <c r="AL24" s="485" t="str">
        <f t="shared" si="20"/>
        <v/>
      </c>
    </row>
    <row r="25" spans="1:38" ht="15.95">
      <c r="A25" s="1833"/>
      <c r="B25" s="360">
        <v>17</v>
      </c>
      <c r="C25" s="35"/>
      <c r="D25" s="11"/>
      <c r="E25" s="35"/>
      <c r="F25" s="35"/>
      <c r="G25" s="35"/>
      <c r="H25" s="35"/>
      <c r="I25" s="35"/>
      <c r="J25" s="35"/>
      <c r="K25" s="3"/>
      <c r="L25" s="4"/>
      <c r="M25" s="356" t="str">
        <f t="shared" si="3"/>
        <v/>
      </c>
      <c r="N25" s="1196"/>
      <c r="O25" s="820"/>
      <c r="P25" s="37"/>
      <c r="Q25" s="1401" t="str">
        <f t="shared" si="4"/>
        <v/>
      </c>
      <c r="R25" s="1400"/>
      <c r="S25" s="215" t="str">
        <f t="shared" si="5"/>
        <v/>
      </c>
      <c r="T25" s="57" t="str">
        <f t="shared" si="6"/>
        <v/>
      </c>
      <c r="U25" s="57" t="str">
        <f t="shared" si="7"/>
        <v/>
      </c>
      <c r="V25" s="691" t="str">
        <f t="shared" si="8"/>
        <v/>
      </c>
      <c r="W25" s="418" t="str">
        <f t="shared" si="21"/>
        <v/>
      </c>
      <c r="X25" s="814" t="str">
        <f t="shared" si="9"/>
        <v/>
      </c>
      <c r="Y25" s="57" t="str">
        <f t="shared" si="10"/>
        <v/>
      </c>
      <c r="Z25" s="57" t="str">
        <f t="shared" si="11"/>
        <v/>
      </c>
      <c r="AA25" s="379" t="str">
        <f t="shared" si="12"/>
        <v/>
      </c>
      <c r="AB25" s="809" t="str">
        <f t="shared" si="13"/>
        <v/>
      </c>
      <c r="AC25" s="811" t="str">
        <f t="shared" si="14"/>
        <v/>
      </c>
      <c r="AD25" s="1170" t="str">
        <f t="shared" si="15"/>
        <v/>
      </c>
      <c r="AE25" s="1172" t="str">
        <f t="shared" si="16"/>
        <v/>
      </c>
      <c r="AF25" s="1406" t="str">
        <f t="shared" si="17"/>
        <v/>
      </c>
      <c r="AG25" s="1408" t="str">
        <f t="shared" si="18"/>
        <v/>
      </c>
      <c r="AH25" s="1407"/>
      <c r="AI25" s="822" t="str">
        <f t="shared" si="19"/>
        <v/>
      </c>
      <c r="AJ25" s="482"/>
      <c r="AK25" s="1180" t="str" cm="1">
        <f t="array" ref="AK25">_xlfn.IFS(Q25="","",(IFERROR(VALUE(TRIM(SUBSTITUTE(AI25,CHAR(160),""))),0))=0,"Attention : montant présenté entièrement écarté",ROUND(AE25,2)&lt;ROUND(15%,2),"Attention : Montant temps d’affectation inférieur à 15%. La dépense doit être rejetée, ou vérifier que le personnel est affecté sur un autre type d'action",ROUND(AI25,2)&gt;ROUND(Q25,2),"KO : Le montant retenu est supérieur au montant présenté. Merci de revoir la ligne de dépense ou plafonner son montant.",Q25=0,"",ROUND(AI25,2)=ROUND(Q25,2),"OK",ROUND(AI25,2)&lt;ROUND(Q25,2),"Attention : Montant présenté partiellement écarté",TRUE,"")</f>
        <v/>
      </c>
      <c r="AL25" s="485" t="str">
        <f t="shared" si="20"/>
        <v/>
      </c>
    </row>
    <row r="26" spans="1:38" ht="15.95">
      <c r="A26" s="1833"/>
      <c r="B26" s="360">
        <v>18</v>
      </c>
      <c r="C26" s="35"/>
      <c r="D26" s="11"/>
      <c r="E26" s="35"/>
      <c r="F26" s="35"/>
      <c r="G26" s="35"/>
      <c r="H26" s="35"/>
      <c r="I26" s="35"/>
      <c r="J26" s="35"/>
      <c r="K26" s="3"/>
      <c r="L26" s="4"/>
      <c r="M26" s="356" t="str">
        <f t="shared" si="3"/>
        <v/>
      </c>
      <c r="N26" s="1196"/>
      <c r="O26" s="820"/>
      <c r="P26" s="37"/>
      <c r="Q26" s="1401" t="str">
        <f t="shared" si="4"/>
        <v/>
      </c>
      <c r="R26" s="1400"/>
      <c r="S26" s="215" t="str">
        <f t="shared" si="5"/>
        <v/>
      </c>
      <c r="T26" s="57" t="str">
        <f t="shared" si="6"/>
        <v/>
      </c>
      <c r="U26" s="57" t="str">
        <f t="shared" si="7"/>
        <v/>
      </c>
      <c r="V26" s="691" t="str">
        <f t="shared" si="8"/>
        <v/>
      </c>
      <c r="W26" s="418" t="str">
        <f t="shared" si="21"/>
        <v/>
      </c>
      <c r="X26" s="814" t="str">
        <f t="shared" si="9"/>
        <v/>
      </c>
      <c r="Y26" s="57" t="str">
        <f t="shared" si="10"/>
        <v/>
      </c>
      <c r="Z26" s="57" t="str">
        <f t="shared" si="11"/>
        <v/>
      </c>
      <c r="AA26" s="379" t="str">
        <f t="shared" si="12"/>
        <v/>
      </c>
      <c r="AB26" s="809" t="str">
        <f t="shared" si="13"/>
        <v/>
      </c>
      <c r="AC26" s="811" t="str">
        <f t="shared" si="14"/>
        <v/>
      </c>
      <c r="AD26" s="1170" t="str">
        <f t="shared" si="15"/>
        <v/>
      </c>
      <c r="AE26" s="1172" t="str">
        <f t="shared" si="16"/>
        <v/>
      </c>
      <c r="AF26" s="1406" t="str">
        <f t="shared" si="17"/>
        <v/>
      </c>
      <c r="AG26" s="1408" t="str">
        <f t="shared" si="18"/>
        <v/>
      </c>
      <c r="AH26" s="1407"/>
      <c r="AI26" s="822" t="str">
        <f t="shared" si="19"/>
        <v/>
      </c>
      <c r="AJ26" s="482"/>
      <c r="AK26" s="1180" t="str" cm="1">
        <f t="array" ref="AK26">_xlfn.IFS(Q26="","",(IFERROR(VALUE(TRIM(SUBSTITUTE(AI26,CHAR(160),""))),0))=0,"Attention : montant présenté entièrement écarté",ROUND(AE26,2)&lt;ROUND(15%,2),"Attention : Montant temps d’affectation inférieur à 15%. La dépense doit être rejetée, ou vérifier que le personnel est affecté sur un autre type d'action",ROUND(AI26,2)&gt;ROUND(Q26,2),"KO : Le montant retenu est supérieur au montant présenté. Merci de revoir la ligne de dépense ou plafonner son montant.",Q26=0,"",ROUND(AI26,2)=ROUND(Q26,2),"OK",ROUND(AI26,2)&lt;ROUND(Q26,2),"Attention : Montant présenté partiellement écarté",TRUE,"")</f>
        <v/>
      </c>
      <c r="AL26" s="485" t="str">
        <f t="shared" si="20"/>
        <v/>
      </c>
    </row>
    <row r="27" spans="1:38" ht="15.95">
      <c r="A27" s="1833"/>
      <c r="B27" s="360">
        <v>19</v>
      </c>
      <c r="C27" s="35"/>
      <c r="D27" s="11"/>
      <c r="E27" s="35"/>
      <c r="F27" s="35"/>
      <c r="G27" s="35"/>
      <c r="H27" s="35"/>
      <c r="I27" s="35"/>
      <c r="J27" s="35"/>
      <c r="K27" s="3"/>
      <c r="L27" s="4"/>
      <c r="M27" s="356" t="str">
        <f t="shared" si="3"/>
        <v/>
      </c>
      <c r="N27" s="1196"/>
      <c r="O27" s="820"/>
      <c r="P27" s="37"/>
      <c r="Q27" s="1401" t="str">
        <f t="shared" si="4"/>
        <v/>
      </c>
      <c r="R27" s="1400"/>
      <c r="S27" s="215" t="str">
        <f t="shared" si="5"/>
        <v/>
      </c>
      <c r="T27" s="57" t="str">
        <f t="shared" si="6"/>
        <v/>
      </c>
      <c r="U27" s="57" t="str">
        <f t="shared" si="7"/>
        <v/>
      </c>
      <c r="V27" s="691" t="str">
        <f t="shared" si="8"/>
        <v/>
      </c>
      <c r="W27" s="418" t="str">
        <f t="shared" si="21"/>
        <v/>
      </c>
      <c r="X27" s="814" t="str">
        <f t="shared" si="9"/>
        <v/>
      </c>
      <c r="Y27" s="57" t="str">
        <f t="shared" si="10"/>
        <v/>
      </c>
      <c r="Z27" s="57" t="str">
        <f t="shared" si="11"/>
        <v/>
      </c>
      <c r="AA27" s="379" t="str">
        <f t="shared" si="12"/>
        <v/>
      </c>
      <c r="AB27" s="809" t="str">
        <f t="shared" si="13"/>
        <v/>
      </c>
      <c r="AC27" s="811" t="str">
        <f t="shared" si="14"/>
        <v/>
      </c>
      <c r="AD27" s="1170" t="str">
        <f t="shared" si="15"/>
        <v/>
      </c>
      <c r="AE27" s="1172" t="str">
        <f t="shared" si="16"/>
        <v/>
      </c>
      <c r="AF27" s="1406" t="str">
        <f t="shared" si="17"/>
        <v/>
      </c>
      <c r="AG27" s="1408" t="str">
        <f t="shared" si="18"/>
        <v/>
      </c>
      <c r="AH27" s="1407"/>
      <c r="AI27" s="822" t="str">
        <f t="shared" si="19"/>
        <v/>
      </c>
      <c r="AJ27" s="482"/>
      <c r="AK27" s="1180" t="str" cm="1">
        <f t="array" ref="AK27">_xlfn.IFS(Q27="","",(IFERROR(VALUE(TRIM(SUBSTITUTE(AI27,CHAR(160),""))),0))=0,"Attention : montant présenté entièrement écarté",ROUND(AE27,2)&lt;ROUND(15%,2),"Attention : Montant temps d’affectation inférieur à 15%. La dépense doit être rejetée, ou vérifier que le personnel est affecté sur un autre type d'action",ROUND(AI27,2)&gt;ROUND(Q27,2),"KO : Le montant retenu est supérieur au montant présenté. Merci de revoir la ligne de dépense ou plafonner son montant.",Q27=0,"",ROUND(AI27,2)=ROUND(Q27,2),"OK",ROUND(AI27,2)&lt;ROUND(Q27,2),"Attention : Montant présenté partiellement écarté",TRUE,"")</f>
        <v/>
      </c>
      <c r="AL27" s="485" t="str">
        <f t="shared" si="20"/>
        <v/>
      </c>
    </row>
    <row r="28" spans="1:38" ht="15.95">
      <c r="A28" s="1833"/>
      <c r="B28" s="360">
        <v>20</v>
      </c>
      <c r="C28" s="35"/>
      <c r="D28" s="11"/>
      <c r="E28" s="35"/>
      <c r="F28" s="35"/>
      <c r="G28" s="35"/>
      <c r="H28" s="35"/>
      <c r="I28" s="35"/>
      <c r="J28" s="35"/>
      <c r="K28" s="3"/>
      <c r="L28" s="4"/>
      <c r="M28" s="356" t="str">
        <f t="shared" si="3"/>
        <v/>
      </c>
      <c r="N28" s="1196"/>
      <c r="O28" s="820"/>
      <c r="P28" s="37"/>
      <c r="Q28" s="1401" t="str">
        <f t="shared" si="4"/>
        <v/>
      </c>
      <c r="R28" s="1400"/>
      <c r="S28" s="215" t="str">
        <f t="shared" si="5"/>
        <v/>
      </c>
      <c r="T28" s="57" t="str">
        <f t="shared" si="6"/>
        <v/>
      </c>
      <c r="U28" s="57" t="str">
        <f t="shared" si="7"/>
        <v/>
      </c>
      <c r="V28" s="691" t="str">
        <f t="shared" si="8"/>
        <v/>
      </c>
      <c r="W28" s="418" t="str">
        <f t="shared" si="21"/>
        <v/>
      </c>
      <c r="X28" s="814" t="str">
        <f t="shared" si="9"/>
        <v/>
      </c>
      <c r="Y28" s="57" t="str">
        <f t="shared" si="10"/>
        <v/>
      </c>
      <c r="Z28" s="57" t="str">
        <f t="shared" si="11"/>
        <v/>
      </c>
      <c r="AA28" s="379" t="str">
        <f t="shared" si="12"/>
        <v/>
      </c>
      <c r="AB28" s="809" t="str">
        <f t="shared" si="13"/>
        <v/>
      </c>
      <c r="AC28" s="811" t="str">
        <f t="shared" si="14"/>
        <v/>
      </c>
      <c r="AD28" s="1170" t="str">
        <f t="shared" si="15"/>
        <v/>
      </c>
      <c r="AE28" s="1172" t="str">
        <f t="shared" si="16"/>
        <v/>
      </c>
      <c r="AF28" s="1406" t="str">
        <f t="shared" si="17"/>
        <v/>
      </c>
      <c r="AG28" s="1408" t="str">
        <f t="shared" si="18"/>
        <v/>
      </c>
      <c r="AH28" s="1407"/>
      <c r="AI28" s="822" t="str">
        <f t="shared" si="19"/>
        <v/>
      </c>
      <c r="AJ28" s="482"/>
      <c r="AK28" s="1180" t="str" cm="1">
        <f t="array" ref="AK28">_xlfn.IFS(Q28="","",(IFERROR(VALUE(TRIM(SUBSTITUTE(AI28,CHAR(160),""))),0))=0,"Attention : montant présenté entièrement écarté",ROUND(AE28,2)&lt;ROUND(15%,2),"Attention : Montant temps d’affectation inférieur à 15%. La dépense doit être rejetée, ou vérifier que le personnel est affecté sur un autre type d'action",ROUND(AI28,2)&gt;ROUND(Q28,2),"KO : Le montant retenu est supérieur au montant présenté. Merci de revoir la ligne de dépense ou plafonner son montant.",Q28=0,"",ROUND(AI28,2)=ROUND(Q28,2),"OK",ROUND(AI28,2)&lt;ROUND(Q28,2),"Attention : Montant présenté partiellement écarté",TRUE,"")</f>
        <v/>
      </c>
      <c r="AL28" s="485" t="str">
        <f t="shared" si="20"/>
        <v/>
      </c>
    </row>
    <row r="29" spans="1:38" ht="15.95">
      <c r="A29" s="1833"/>
      <c r="B29" s="360">
        <v>21</v>
      </c>
      <c r="C29" s="35"/>
      <c r="D29" s="11"/>
      <c r="E29" s="35"/>
      <c r="F29" s="35"/>
      <c r="G29" s="35"/>
      <c r="H29" s="35"/>
      <c r="I29" s="35"/>
      <c r="J29" s="35"/>
      <c r="K29" s="3"/>
      <c r="L29" s="4"/>
      <c r="M29" s="356" t="str">
        <f t="shared" si="3"/>
        <v/>
      </c>
      <c r="N29" s="1196"/>
      <c r="O29" s="820"/>
      <c r="P29" s="37"/>
      <c r="Q29" s="1401" t="str">
        <f t="shared" si="4"/>
        <v/>
      </c>
      <c r="R29" s="1400"/>
      <c r="S29" s="215" t="str">
        <f t="shared" si="5"/>
        <v/>
      </c>
      <c r="T29" s="57" t="str">
        <f t="shared" si="6"/>
        <v/>
      </c>
      <c r="U29" s="57" t="str">
        <f t="shared" si="7"/>
        <v/>
      </c>
      <c r="V29" s="691" t="str">
        <f t="shared" si="8"/>
        <v/>
      </c>
      <c r="W29" s="418" t="str">
        <f t="shared" si="21"/>
        <v/>
      </c>
      <c r="X29" s="814" t="str">
        <f t="shared" si="9"/>
        <v/>
      </c>
      <c r="Y29" s="57" t="str">
        <f t="shared" si="10"/>
        <v/>
      </c>
      <c r="Z29" s="57" t="str">
        <f t="shared" si="11"/>
        <v/>
      </c>
      <c r="AA29" s="379" t="str">
        <f t="shared" si="12"/>
        <v/>
      </c>
      <c r="AB29" s="809" t="str">
        <f t="shared" si="13"/>
        <v/>
      </c>
      <c r="AC29" s="811" t="str">
        <f t="shared" si="14"/>
        <v/>
      </c>
      <c r="AD29" s="1170" t="str">
        <f t="shared" si="15"/>
        <v/>
      </c>
      <c r="AE29" s="1172" t="str">
        <f t="shared" si="16"/>
        <v/>
      </c>
      <c r="AF29" s="1406" t="str">
        <f t="shared" si="17"/>
        <v/>
      </c>
      <c r="AG29" s="1408" t="str">
        <f t="shared" si="18"/>
        <v/>
      </c>
      <c r="AH29" s="1407"/>
      <c r="AI29" s="822" t="str">
        <f t="shared" si="19"/>
        <v/>
      </c>
      <c r="AJ29" s="482"/>
      <c r="AK29" s="1180" t="str" cm="1">
        <f t="array" ref="AK29">_xlfn.IFS(Q29="","",(IFERROR(VALUE(TRIM(SUBSTITUTE(AI29,CHAR(160),""))),0))=0,"Attention : montant présenté entièrement écarté",ROUND(AE29,2)&lt;ROUND(15%,2),"Attention : Montant temps d’affectation inférieur à 15%. La dépense doit être rejetée, ou vérifier que le personnel est affecté sur un autre type d'action",ROUND(AI29,2)&gt;ROUND(Q29,2),"KO : Le montant retenu est supérieur au montant présenté. Merci de revoir la ligne de dépense ou plafonner son montant.",Q29=0,"",ROUND(AI29,2)=ROUND(Q29,2),"OK",ROUND(AI29,2)&lt;ROUND(Q29,2),"Attention : Montant présenté partiellement écarté",TRUE,"")</f>
        <v/>
      </c>
      <c r="AL29" s="485" t="str">
        <f t="shared" si="20"/>
        <v/>
      </c>
    </row>
    <row r="30" spans="1:38" ht="15.95">
      <c r="A30" s="1833"/>
      <c r="B30" s="360">
        <v>22</v>
      </c>
      <c r="C30" s="35"/>
      <c r="D30" s="11"/>
      <c r="E30" s="35"/>
      <c r="F30" s="35"/>
      <c r="G30" s="35"/>
      <c r="H30" s="35"/>
      <c r="I30" s="35"/>
      <c r="J30" s="35"/>
      <c r="K30" s="3"/>
      <c r="L30" s="4"/>
      <c r="M30" s="356" t="str">
        <f t="shared" si="3"/>
        <v/>
      </c>
      <c r="N30" s="1196"/>
      <c r="O30" s="820"/>
      <c r="P30" s="37"/>
      <c r="Q30" s="1401" t="str">
        <f t="shared" si="4"/>
        <v/>
      </c>
      <c r="R30" s="1400"/>
      <c r="S30" s="215" t="str">
        <f t="shared" si="5"/>
        <v/>
      </c>
      <c r="T30" s="57" t="str">
        <f t="shared" si="6"/>
        <v/>
      </c>
      <c r="U30" s="57" t="str">
        <f t="shared" si="7"/>
        <v/>
      </c>
      <c r="V30" s="691" t="str">
        <f t="shared" si="8"/>
        <v/>
      </c>
      <c r="W30" s="418" t="str">
        <f t="shared" si="21"/>
        <v/>
      </c>
      <c r="X30" s="814" t="str">
        <f t="shared" si="9"/>
        <v/>
      </c>
      <c r="Y30" s="57" t="str">
        <f t="shared" si="10"/>
        <v/>
      </c>
      <c r="Z30" s="57" t="str">
        <f t="shared" si="11"/>
        <v/>
      </c>
      <c r="AA30" s="379" t="str">
        <f t="shared" si="12"/>
        <v/>
      </c>
      <c r="AB30" s="809" t="str">
        <f t="shared" si="13"/>
        <v/>
      </c>
      <c r="AC30" s="811" t="str">
        <f t="shared" si="14"/>
        <v/>
      </c>
      <c r="AD30" s="1170" t="str">
        <f t="shared" si="15"/>
        <v/>
      </c>
      <c r="AE30" s="1172" t="str">
        <f t="shared" si="16"/>
        <v/>
      </c>
      <c r="AF30" s="1406" t="str">
        <f t="shared" si="17"/>
        <v/>
      </c>
      <c r="AG30" s="1408" t="str">
        <f t="shared" si="18"/>
        <v/>
      </c>
      <c r="AH30" s="1407"/>
      <c r="AI30" s="822" t="str">
        <f t="shared" si="19"/>
        <v/>
      </c>
      <c r="AJ30" s="482"/>
      <c r="AK30" s="1180" t="str" cm="1">
        <f t="array" ref="AK30">_xlfn.IFS(Q30="","",(IFERROR(VALUE(TRIM(SUBSTITUTE(AI30,CHAR(160),""))),0))=0,"Attention : montant présenté entièrement écarté",ROUND(AE30,2)&lt;ROUND(15%,2),"Attention : Montant temps d’affectation inférieur à 15%. La dépense doit être rejetée, ou vérifier que le personnel est affecté sur un autre type d'action",ROUND(AI30,2)&gt;ROUND(Q30,2),"KO : Le montant retenu est supérieur au montant présenté. Merci de revoir la ligne de dépense ou plafonner son montant.",Q30=0,"",ROUND(AI30,2)=ROUND(Q30,2),"OK",ROUND(AI30,2)&lt;ROUND(Q30,2),"Attention : Montant présenté partiellement écarté",TRUE,"")</f>
        <v/>
      </c>
      <c r="AL30" s="485" t="str">
        <f t="shared" si="20"/>
        <v/>
      </c>
    </row>
    <row r="31" spans="1:38" ht="15.95">
      <c r="A31" s="1833"/>
      <c r="B31" s="360">
        <v>23</v>
      </c>
      <c r="C31" s="35"/>
      <c r="D31" s="11"/>
      <c r="E31" s="35"/>
      <c r="F31" s="35"/>
      <c r="G31" s="35"/>
      <c r="H31" s="35"/>
      <c r="I31" s="35"/>
      <c r="J31" s="35"/>
      <c r="K31" s="3"/>
      <c r="L31" s="4"/>
      <c r="M31" s="356" t="str">
        <f t="shared" si="3"/>
        <v/>
      </c>
      <c r="N31" s="1196"/>
      <c r="O31" s="820"/>
      <c r="P31" s="37"/>
      <c r="Q31" s="1401" t="str">
        <f t="shared" si="4"/>
        <v/>
      </c>
      <c r="R31" s="1400"/>
      <c r="S31" s="215" t="str">
        <f t="shared" si="5"/>
        <v/>
      </c>
      <c r="T31" s="57" t="str">
        <f t="shared" si="6"/>
        <v/>
      </c>
      <c r="U31" s="57" t="str">
        <f t="shared" si="7"/>
        <v/>
      </c>
      <c r="V31" s="691" t="str">
        <f t="shared" si="8"/>
        <v/>
      </c>
      <c r="W31" s="418" t="str">
        <f t="shared" si="21"/>
        <v/>
      </c>
      <c r="X31" s="814" t="str">
        <f t="shared" si="9"/>
        <v/>
      </c>
      <c r="Y31" s="57" t="str">
        <f t="shared" si="10"/>
        <v/>
      </c>
      <c r="Z31" s="57" t="str">
        <f t="shared" si="11"/>
        <v/>
      </c>
      <c r="AA31" s="379" t="str">
        <f t="shared" si="12"/>
        <v/>
      </c>
      <c r="AB31" s="809" t="str">
        <f t="shared" si="13"/>
        <v/>
      </c>
      <c r="AC31" s="811" t="str">
        <f t="shared" si="14"/>
        <v/>
      </c>
      <c r="AD31" s="1170" t="str">
        <f t="shared" si="15"/>
        <v/>
      </c>
      <c r="AE31" s="1172" t="str">
        <f t="shared" si="16"/>
        <v/>
      </c>
      <c r="AF31" s="1406" t="str">
        <f t="shared" si="17"/>
        <v/>
      </c>
      <c r="AG31" s="1408" t="str">
        <f t="shared" si="18"/>
        <v/>
      </c>
      <c r="AH31" s="1407"/>
      <c r="AI31" s="822" t="str">
        <f t="shared" si="19"/>
        <v/>
      </c>
      <c r="AJ31" s="482"/>
      <c r="AK31" s="1180" t="str" cm="1">
        <f t="array" ref="AK31">_xlfn.IFS(Q31="","",(IFERROR(VALUE(TRIM(SUBSTITUTE(AI31,CHAR(160),""))),0))=0,"Attention : montant présenté entièrement écarté",ROUND(AE31,2)&lt;ROUND(15%,2),"Attention : Montant temps d’affectation inférieur à 15%. La dépense doit être rejetée, ou vérifier que le personnel est affecté sur un autre type d'action",ROUND(AI31,2)&gt;ROUND(Q31,2),"KO : Le montant retenu est supérieur au montant présenté. Merci de revoir la ligne de dépense ou plafonner son montant.",Q31=0,"",ROUND(AI31,2)=ROUND(Q31,2),"OK",ROUND(AI31,2)&lt;ROUND(Q31,2),"Attention : Montant présenté partiellement écarté",TRUE,"")</f>
        <v/>
      </c>
      <c r="AL31" s="485" t="str">
        <f t="shared" si="20"/>
        <v/>
      </c>
    </row>
    <row r="32" spans="1:38" ht="15.95">
      <c r="A32" s="1833"/>
      <c r="B32" s="360">
        <v>24</v>
      </c>
      <c r="C32" s="35"/>
      <c r="D32" s="11"/>
      <c r="E32" s="35"/>
      <c r="F32" s="35"/>
      <c r="G32" s="35"/>
      <c r="H32" s="35"/>
      <c r="I32" s="35"/>
      <c r="J32" s="35"/>
      <c r="K32" s="3"/>
      <c r="L32" s="4"/>
      <c r="M32" s="356" t="str">
        <f t="shared" si="3"/>
        <v/>
      </c>
      <c r="N32" s="1196"/>
      <c r="O32" s="820"/>
      <c r="P32" s="37"/>
      <c r="Q32" s="1401" t="str">
        <f t="shared" si="4"/>
        <v/>
      </c>
      <c r="R32" s="1400"/>
      <c r="S32" s="215" t="str">
        <f t="shared" si="5"/>
        <v/>
      </c>
      <c r="T32" s="57" t="str">
        <f t="shared" si="6"/>
        <v/>
      </c>
      <c r="U32" s="57" t="str">
        <f t="shared" si="7"/>
        <v/>
      </c>
      <c r="V32" s="691" t="str">
        <f t="shared" si="8"/>
        <v/>
      </c>
      <c r="W32" s="418" t="str">
        <f t="shared" si="21"/>
        <v/>
      </c>
      <c r="X32" s="814" t="str">
        <f t="shared" si="9"/>
        <v/>
      </c>
      <c r="Y32" s="57" t="str">
        <f t="shared" si="10"/>
        <v/>
      </c>
      <c r="Z32" s="57" t="str">
        <f t="shared" si="11"/>
        <v/>
      </c>
      <c r="AA32" s="379" t="str">
        <f t="shared" si="12"/>
        <v/>
      </c>
      <c r="AB32" s="809" t="str">
        <f t="shared" si="13"/>
        <v/>
      </c>
      <c r="AC32" s="811" t="str">
        <f t="shared" si="14"/>
        <v/>
      </c>
      <c r="AD32" s="1170" t="str">
        <f t="shared" si="15"/>
        <v/>
      </c>
      <c r="AE32" s="1172" t="str">
        <f t="shared" si="16"/>
        <v/>
      </c>
      <c r="AF32" s="1406" t="str">
        <f t="shared" si="17"/>
        <v/>
      </c>
      <c r="AG32" s="1408" t="str">
        <f t="shared" si="18"/>
        <v/>
      </c>
      <c r="AH32" s="1407"/>
      <c r="AI32" s="822" t="str">
        <f t="shared" si="19"/>
        <v/>
      </c>
      <c r="AJ32" s="482"/>
      <c r="AK32" s="1180" t="str" cm="1">
        <f t="array" ref="AK32">_xlfn.IFS(Q32="","",(IFERROR(VALUE(TRIM(SUBSTITUTE(AI32,CHAR(160),""))),0))=0,"Attention : montant présenté entièrement écarté",ROUND(AE32,2)&lt;ROUND(15%,2),"Attention : Montant temps d’affectation inférieur à 15%. La dépense doit être rejetée, ou vérifier que le personnel est affecté sur un autre type d'action",ROUND(AI32,2)&gt;ROUND(Q32,2),"KO : Le montant retenu est supérieur au montant présenté. Merci de revoir la ligne de dépense ou plafonner son montant.",Q32=0,"",ROUND(AI32,2)=ROUND(Q32,2),"OK",ROUND(AI32,2)&lt;ROUND(Q32,2),"Attention : Montant présenté partiellement écarté",TRUE,"")</f>
        <v/>
      </c>
      <c r="AL32" s="485" t="str">
        <f t="shared" si="20"/>
        <v/>
      </c>
    </row>
    <row r="33" spans="1:38" ht="15.95">
      <c r="A33" s="1833"/>
      <c r="B33" s="360">
        <v>25</v>
      </c>
      <c r="C33" s="35"/>
      <c r="D33" s="11"/>
      <c r="E33" s="35"/>
      <c r="F33" s="35"/>
      <c r="G33" s="35"/>
      <c r="H33" s="35"/>
      <c r="I33" s="35"/>
      <c r="J33" s="35"/>
      <c r="K33" s="3"/>
      <c r="L33" s="4"/>
      <c r="M33" s="356" t="str">
        <f t="shared" si="3"/>
        <v/>
      </c>
      <c r="N33" s="1196"/>
      <c r="O33" s="820"/>
      <c r="P33" s="37"/>
      <c r="Q33" s="1401" t="str">
        <f t="shared" si="4"/>
        <v/>
      </c>
      <c r="R33" s="1400"/>
      <c r="S33" s="215" t="str">
        <f t="shared" si="5"/>
        <v/>
      </c>
      <c r="T33" s="57" t="str">
        <f t="shared" si="6"/>
        <v/>
      </c>
      <c r="U33" s="57" t="str">
        <f t="shared" si="7"/>
        <v/>
      </c>
      <c r="V33" s="691" t="str">
        <f t="shared" si="8"/>
        <v/>
      </c>
      <c r="W33" s="418" t="str">
        <f t="shared" si="21"/>
        <v/>
      </c>
      <c r="X33" s="814" t="str">
        <f t="shared" si="9"/>
        <v/>
      </c>
      <c r="Y33" s="57" t="str">
        <f t="shared" si="10"/>
        <v/>
      </c>
      <c r="Z33" s="57" t="str">
        <f t="shared" si="11"/>
        <v/>
      </c>
      <c r="AA33" s="379" t="str">
        <f t="shared" si="12"/>
        <v/>
      </c>
      <c r="AB33" s="809" t="str">
        <f t="shared" si="13"/>
        <v/>
      </c>
      <c r="AC33" s="811" t="str">
        <f t="shared" si="14"/>
        <v/>
      </c>
      <c r="AD33" s="1170" t="str">
        <f t="shared" si="15"/>
        <v/>
      </c>
      <c r="AE33" s="1172" t="str">
        <f t="shared" si="16"/>
        <v/>
      </c>
      <c r="AF33" s="1406" t="str">
        <f t="shared" si="17"/>
        <v/>
      </c>
      <c r="AG33" s="1408" t="str">
        <f t="shared" si="18"/>
        <v/>
      </c>
      <c r="AH33" s="1407"/>
      <c r="AI33" s="822" t="str">
        <f t="shared" si="19"/>
        <v/>
      </c>
      <c r="AJ33" s="482"/>
      <c r="AK33" s="1180" t="str" cm="1">
        <f t="array" ref="AK33">_xlfn.IFS(Q33="","",(IFERROR(VALUE(TRIM(SUBSTITUTE(AI33,CHAR(160),""))),0))=0,"Attention : montant présenté entièrement écarté",ROUND(AE33,2)&lt;ROUND(15%,2),"Attention : Montant temps d’affectation inférieur à 15%. La dépense doit être rejetée, ou vérifier que le personnel est affecté sur un autre type d'action",ROUND(AI33,2)&gt;ROUND(Q33,2),"KO : Le montant retenu est supérieur au montant présenté. Merci de revoir la ligne de dépense ou plafonner son montant.",Q33=0,"",ROUND(AI33,2)=ROUND(Q33,2),"OK",ROUND(AI33,2)&lt;ROUND(Q33,2),"Attention : Montant présenté partiellement écarté",TRUE,"")</f>
        <v/>
      </c>
      <c r="AL33" s="485" t="str">
        <f t="shared" si="20"/>
        <v/>
      </c>
    </row>
    <row r="34" spans="1:38" ht="15.95">
      <c r="A34" s="1833"/>
      <c r="B34" s="360">
        <v>26</v>
      </c>
      <c r="C34" s="35"/>
      <c r="D34" s="11"/>
      <c r="E34" s="35"/>
      <c r="F34" s="35"/>
      <c r="G34" s="35"/>
      <c r="H34" s="35"/>
      <c r="I34" s="35"/>
      <c r="J34" s="35"/>
      <c r="K34" s="3"/>
      <c r="L34" s="4"/>
      <c r="M34" s="356" t="str">
        <f t="shared" si="3"/>
        <v/>
      </c>
      <c r="N34" s="1196"/>
      <c r="O34" s="820"/>
      <c r="P34" s="37"/>
      <c r="Q34" s="1401" t="str">
        <f t="shared" si="4"/>
        <v/>
      </c>
      <c r="R34" s="1400"/>
      <c r="S34" s="215" t="str">
        <f t="shared" si="5"/>
        <v/>
      </c>
      <c r="T34" s="57" t="str">
        <f t="shared" si="6"/>
        <v/>
      </c>
      <c r="U34" s="57" t="str">
        <f t="shared" si="7"/>
        <v/>
      </c>
      <c r="V34" s="691" t="str">
        <f t="shared" si="8"/>
        <v/>
      </c>
      <c r="W34" s="418" t="str">
        <f t="shared" si="21"/>
        <v/>
      </c>
      <c r="X34" s="814" t="str">
        <f t="shared" si="9"/>
        <v/>
      </c>
      <c r="Y34" s="57" t="str">
        <f t="shared" si="10"/>
        <v/>
      </c>
      <c r="Z34" s="57" t="str">
        <f t="shared" si="11"/>
        <v/>
      </c>
      <c r="AA34" s="379" t="str">
        <f t="shared" si="12"/>
        <v/>
      </c>
      <c r="AB34" s="809" t="str">
        <f t="shared" si="13"/>
        <v/>
      </c>
      <c r="AC34" s="811" t="str">
        <f t="shared" si="14"/>
        <v/>
      </c>
      <c r="AD34" s="1170" t="str">
        <f t="shared" si="15"/>
        <v/>
      </c>
      <c r="AE34" s="1172" t="str">
        <f t="shared" si="16"/>
        <v/>
      </c>
      <c r="AF34" s="1406" t="str">
        <f t="shared" si="17"/>
        <v/>
      </c>
      <c r="AG34" s="1408" t="str">
        <f t="shared" si="18"/>
        <v/>
      </c>
      <c r="AH34" s="1407"/>
      <c r="AI34" s="822" t="str">
        <f t="shared" si="19"/>
        <v/>
      </c>
      <c r="AJ34" s="482"/>
      <c r="AK34" s="1180" t="str" cm="1">
        <f t="array" ref="AK34">_xlfn.IFS(Q34="","",(IFERROR(VALUE(TRIM(SUBSTITUTE(AI34,CHAR(160),""))),0))=0,"Attention : montant présenté entièrement écarté",ROUND(AE34,2)&lt;ROUND(15%,2),"Attention : Montant temps d’affectation inférieur à 15%. La dépense doit être rejetée, ou vérifier que le personnel est affecté sur un autre type d'action",ROUND(AI34,2)&gt;ROUND(Q34,2),"KO : Le montant retenu est supérieur au montant présenté. Merci de revoir la ligne de dépense ou plafonner son montant.",Q34=0,"",ROUND(AI34,2)=ROUND(Q34,2),"OK",ROUND(AI34,2)&lt;ROUND(Q34,2),"Attention : Montant présenté partiellement écarté",TRUE,"")</f>
        <v/>
      </c>
      <c r="AL34" s="485" t="str">
        <f t="shared" si="20"/>
        <v/>
      </c>
    </row>
    <row r="35" spans="1:38" ht="15.95">
      <c r="A35" s="1833"/>
      <c r="B35" s="360">
        <v>27</v>
      </c>
      <c r="C35" s="35"/>
      <c r="D35" s="11"/>
      <c r="E35" s="35"/>
      <c r="F35" s="35"/>
      <c r="G35" s="35"/>
      <c r="H35" s="35"/>
      <c r="I35" s="35"/>
      <c r="J35" s="35"/>
      <c r="K35" s="3"/>
      <c r="L35" s="4"/>
      <c r="M35" s="356" t="str">
        <f t="shared" si="3"/>
        <v/>
      </c>
      <c r="N35" s="1196"/>
      <c r="O35" s="820"/>
      <c r="P35" s="37"/>
      <c r="Q35" s="1401" t="str">
        <f t="shared" si="4"/>
        <v/>
      </c>
      <c r="R35" s="1400"/>
      <c r="S35" s="215" t="str">
        <f t="shared" si="5"/>
        <v/>
      </c>
      <c r="T35" s="57" t="str">
        <f t="shared" si="6"/>
        <v/>
      </c>
      <c r="U35" s="57" t="str">
        <f t="shared" si="7"/>
        <v/>
      </c>
      <c r="V35" s="691" t="str">
        <f t="shared" si="8"/>
        <v/>
      </c>
      <c r="W35" s="418" t="str">
        <f t="shared" si="21"/>
        <v/>
      </c>
      <c r="X35" s="814" t="str">
        <f t="shared" si="9"/>
        <v/>
      </c>
      <c r="Y35" s="57" t="str">
        <f t="shared" si="10"/>
        <v/>
      </c>
      <c r="Z35" s="57" t="str">
        <f t="shared" si="11"/>
        <v/>
      </c>
      <c r="AA35" s="379" t="str">
        <f t="shared" si="12"/>
        <v/>
      </c>
      <c r="AB35" s="809" t="str">
        <f t="shared" si="13"/>
        <v/>
      </c>
      <c r="AC35" s="811" t="str">
        <f t="shared" si="14"/>
        <v/>
      </c>
      <c r="AD35" s="1170" t="str">
        <f t="shared" si="15"/>
        <v/>
      </c>
      <c r="AE35" s="1172" t="str">
        <f t="shared" si="16"/>
        <v/>
      </c>
      <c r="AF35" s="1406" t="str">
        <f t="shared" si="17"/>
        <v/>
      </c>
      <c r="AG35" s="1408" t="str">
        <f t="shared" si="18"/>
        <v/>
      </c>
      <c r="AH35" s="1407"/>
      <c r="AI35" s="822" t="str">
        <f t="shared" si="19"/>
        <v/>
      </c>
      <c r="AJ35" s="482"/>
      <c r="AK35" s="1180" t="str" cm="1">
        <f t="array" ref="AK35">_xlfn.IFS(Q35="","",(IFERROR(VALUE(TRIM(SUBSTITUTE(AI35,CHAR(160),""))),0))=0,"Attention : montant présenté entièrement écarté",ROUND(AE35,2)&lt;ROUND(15%,2),"Attention : Montant temps d’affectation inférieur à 15%. La dépense doit être rejetée, ou vérifier que le personnel est affecté sur un autre type d'action",ROUND(AI35,2)&gt;ROUND(Q35,2),"KO : Le montant retenu est supérieur au montant présenté. Merci de revoir la ligne de dépense ou plafonner son montant.",Q35=0,"",ROUND(AI35,2)=ROUND(Q35,2),"OK",ROUND(AI35,2)&lt;ROUND(Q35,2),"Attention : Montant présenté partiellement écarté",TRUE,"")</f>
        <v/>
      </c>
      <c r="AL35" s="485" t="str">
        <f t="shared" si="20"/>
        <v/>
      </c>
    </row>
    <row r="36" spans="1:38" ht="15.95">
      <c r="A36" s="1833"/>
      <c r="B36" s="360">
        <v>28</v>
      </c>
      <c r="C36" s="35"/>
      <c r="D36" s="11"/>
      <c r="E36" s="35"/>
      <c r="F36" s="35"/>
      <c r="G36" s="35"/>
      <c r="H36" s="35"/>
      <c r="I36" s="35"/>
      <c r="J36" s="35"/>
      <c r="K36" s="3"/>
      <c r="L36" s="4"/>
      <c r="M36" s="356" t="str">
        <f t="shared" si="3"/>
        <v/>
      </c>
      <c r="N36" s="1196"/>
      <c r="O36" s="820"/>
      <c r="P36" s="37"/>
      <c r="Q36" s="1401" t="str">
        <f t="shared" si="4"/>
        <v/>
      </c>
      <c r="R36" s="1400"/>
      <c r="S36" s="215" t="str">
        <f t="shared" si="5"/>
        <v/>
      </c>
      <c r="T36" s="57" t="str">
        <f t="shared" si="6"/>
        <v/>
      </c>
      <c r="U36" s="57" t="str">
        <f t="shared" si="7"/>
        <v/>
      </c>
      <c r="V36" s="691" t="str">
        <f t="shared" si="8"/>
        <v/>
      </c>
      <c r="W36" s="418" t="str">
        <f t="shared" si="21"/>
        <v/>
      </c>
      <c r="X36" s="814" t="str">
        <f t="shared" si="9"/>
        <v/>
      </c>
      <c r="Y36" s="57" t="str">
        <f t="shared" si="10"/>
        <v/>
      </c>
      <c r="Z36" s="57" t="str">
        <f t="shared" si="11"/>
        <v/>
      </c>
      <c r="AA36" s="379" t="str">
        <f t="shared" si="12"/>
        <v/>
      </c>
      <c r="AB36" s="809" t="str">
        <f t="shared" si="13"/>
        <v/>
      </c>
      <c r="AC36" s="811" t="str">
        <f t="shared" si="14"/>
        <v/>
      </c>
      <c r="AD36" s="1170" t="str">
        <f t="shared" si="15"/>
        <v/>
      </c>
      <c r="AE36" s="1172" t="str">
        <f t="shared" si="16"/>
        <v/>
      </c>
      <c r="AF36" s="1406" t="str">
        <f t="shared" si="17"/>
        <v/>
      </c>
      <c r="AG36" s="1408" t="str">
        <f t="shared" si="18"/>
        <v/>
      </c>
      <c r="AH36" s="1407"/>
      <c r="AI36" s="822" t="str">
        <f t="shared" si="19"/>
        <v/>
      </c>
      <c r="AJ36" s="482"/>
      <c r="AK36" s="1180" t="str" cm="1">
        <f t="array" ref="AK36">_xlfn.IFS(Q36="","",(IFERROR(VALUE(TRIM(SUBSTITUTE(AI36,CHAR(160),""))),0))=0,"Attention : montant présenté entièrement écarté",ROUND(AE36,2)&lt;ROUND(15%,2),"Attention : Montant temps d’affectation inférieur à 15%. La dépense doit être rejetée, ou vérifier que le personnel est affecté sur un autre type d'action",ROUND(AI36,2)&gt;ROUND(Q36,2),"KO : Le montant retenu est supérieur au montant présenté. Merci de revoir la ligne de dépense ou plafonner son montant.",Q36=0,"",ROUND(AI36,2)=ROUND(Q36,2),"OK",ROUND(AI36,2)&lt;ROUND(Q36,2),"Attention : Montant présenté partiellement écarté",TRUE,"")</f>
        <v/>
      </c>
      <c r="AL36" s="485" t="str">
        <f t="shared" si="20"/>
        <v/>
      </c>
    </row>
    <row r="37" spans="1:38" ht="15.95">
      <c r="A37" s="1833"/>
      <c r="B37" s="360">
        <v>29</v>
      </c>
      <c r="C37" s="35"/>
      <c r="D37" s="11"/>
      <c r="E37" s="35"/>
      <c r="F37" s="35"/>
      <c r="G37" s="35"/>
      <c r="H37" s="35"/>
      <c r="I37" s="35"/>
      <c r="J37" s="35"/>
      <c r="K37" s="3"/>
      <c r="L37" s="4"/>
      <c r="M37" s="356" t="str">
        <f t="shared" si="3"/>
        <v/>
      </c>
      <c r="N37" s="1196"/>
      <c r="O37" s="820"/>
      <c r="P37" s="37"/>
      <c r="Q37" s="1401" t="str">
        <f t="shared" si="4"/>
        <v/>
      </c>
      <c r="R37" s="1400"/>
      <c r="S37" s="215" t="str">
        <f t="shared" si="5"/>
        <v/>
      </c>
      <c r="T37" s="57" t="str">
        <f t="shared" si="6"/>
        <v/>
      </c>
      <c r="U37" s="57" t="str">
        <f t="shared" si="7"/>
        <v/>
      </c>
      <c r="V37" s="691" t="str">
        <f t="shared" si="8"/>
        <v/>
      </c>
      <c r="W37" s="418" t="str">
        <f t="shared" si="21"/>
        <v/>
      </c>
      <c r="X37" s="814" t="str">
        <f t="shared" si="9"/>
        <v/>
      </c>
      <c r="Y37" s="57" t="str">
        <f t="shared" si="10"/>
        <v/>
      </c>
      <c r="Z37" s="57" t="str">
        <f t="shared" si="11"/>
        <v/>
      </c>
      <c r="AA37" s="379" t="str">
        <f t="shared" si="12"/>
        <v/>
      </c>
      <c r="AB37" s="809" t="str">
        <f t="shared" si="13"/>
        <v/>
      </c>
      <c r="AC37" s="811" t="str">
        <f t="shared" si="14"/>
        <v/>
      </c>
      <c r="AD37" s="1170" t="str">
        <f t="shared" si="15"/>
        <v/>
      </c>
      <c r="AE37" s="1172" t="str">
        <f t="shared" si="16"/>
        <v/>
      </c>
      <c r="AF37" s="1406" t="str">
        <f t="shared" si="17"/>
        <v/>
      </c>
      <c r="AG37" s="1408" t="str">
        <f t="shared" si="18"/>
        <v/>
      </c>
      <c r="AH37" s="1407"/>
      <c r="AI37" s="822" t="str">
        <f t="shared" si="19"/>
        <v/>
      </c>
      <c r="AJ37" s="482"/>
      <c r="AK37" s="1180" t="str" cm="1">
        <f t="array" ref="AK37">_xlfn.IFS(Q37="","",(IFERROR(VALUE(TRIM(SUBSTITUTE(AI37,CHAR(160),""))),0))=0,"Attention : montant présenté entièrement écarté",ROUND(AE37,2)&lt;ROUND(15%,2),"Attention : Montant temps d’affectation inférieur à 15%. La dépense doit être rejetée, ou vérifier que le personnel est affecté sur un autre type d'action",ROUND(AI37,2)&gt;ROUND(Q37,2),"KO : Le montant retenu est supérieur au montant présenté. Merci de revoir la ligne de dépense ou plafonner son montant.",Q37=0,"",ROUND(AI37,2)=ROUND(Q37,2),"OK",ROUND(AI37,2)&lt;ROUND(Q37,2),"Attention : Montant présenté partiellement écarté",TRUE,"")</f>
        <v/>
      </c>
      <c r="AL37" s="485" t="str">
        <f t="shared" si="20"/>
        <v/>
      </c>
    </row>
    <row r="38" spans="1:38" ht="15.95">
      <c r="A38" s="1833"/>
      <c r="B38" s="360">
        <v>30</v>
      </c>
      <c r="C38" s="35"/>
      <c r="D38" s="11"/>
      <c r="E38" s="35"/>
      <c r="F38" s="35"/>
      <c r="G38" s="35"/>
      <c r="H38" s="35"/>
      <c r="I38" s="35"/>
      <c r="J38" s="35"/>
      <c r="K38" s="3"/>
      <c r="L38" s="4"/>
      <c r="M38" s="356" t="str">
        <f t="shared" si="3"/>
        <v/>
      </c>
      <c r="N38" s="1196"/>
      <c r="O38" s="820"/>
      <c r="P38" s="37"/>
      <c r="Q38" s="1401" t="str">
        <f t="shared" si="4"/>
        <v/>
      </c>
      <c r="R38" s="1400"/>
      <c r="S38" s="215" t="str">
        <f t="shared" si="5"/>
        <v/>
      </c>
      <c r="T38" s="57" t="str">
        <f t="shared" si="6"/>
        <v/>
      </c>
      <c r="U38" s="57" t="str">
        <f t="shared" si="7"/>
        <v/>
      </c>
      <c r="V38" s="691" t="str">
        <f t="shared" si="8"/>
        <v/>
      </c>
      <c r="W38" s="418" t="str">
        <f t="shared" si="21"/>
        <v/>
      </c>
      <c r="X38" s="814" t="str">
        <f t="shared" si="9"/>
        <v/>
      </c>
      <c r="Y38" s="57" t="str">
        <f t="shared" si="10"/>
        <v/>
      </c>
      <c r="Z38" s="57" t="str">
        <f t="shared" si="11"/>
        <v/>
      </c>
      <c r="AA38" s="379" t="str">
        <f t="shared" si="12"/>
        <v/>
      </c>
      <c r="AB38" s="809" t="str">
        <f t="shared" si="13"/>
        <v/>
      </c>
      <c r="AC38" s="811" t="str">
        <f t="shared" si="14"/>
        <v/>
      </c>
      <c r="AD38" s="1170" t="str">
        <f t="shared" si="15"/>
        <v/>
      </c>
      <c r="AE38" s="1172" t="str">
        <f t="shared" si="16"/>
        <v/>
      </c>
      <c r="AF38" s="1406" t="str">
        <f t="shared" si="17"/>
        <v/>
      </c>
      <c r="AG38" s="1408" t="str">
        <f t="shared" si="18"/>
        <v/>
      </c>
      <c r="AH38" s="1407"/>
      <c r="AI38" s="822" t="str">
        <f t="shared" si="19"/>
        <v/>
      </c>
      <c r="AJ38" s="482"/>
      <c r="AK38" s="1180" t="str" cm="1">
        <f t="array" ref="AK38">_xlfn.IFS(Q38="","",(IFERROR(VALUE(TRIM(SUBSTITUTE(AI38,CHAR(160),""))),0))=0,"Attention : montant présenté entièrement écarté",ROUND(AE38,2)&lt;ROUND(15%,2),"Attention : Montant temps d’affectation inférieur à 15%. La dépense doit être rejetée, ou vérifier que le personnel est affecté sur un autre type d'action",ROUND(AI38,2)&gt;ROUND(Q38,2),"KO : Le montant retenu est supérieur au montant présenté. Merci de revoir la ligne de dépense ou plafonner son montant.",Q38=0,"",ROUND(AI38,2)=ROUND(Q38,2),"OK",ROUND(AI38,2)&lt;ROUND(Q38,2),"Attention : Montant présenté partiellement écarté",TRUE,"")</f>
        <v/>
      </c>
      <c r="AL38" s="485" t="str">
        <f t="shared" si="20"/>
        <v/>
      </c>
    </row>
    <row r="39" spans="1:38" ht="15.95">
      <c r="A39" s="1833"/>
      <c r="B39" s="360">
        <v>31</v>
      </c>
      <c r="C39" s="35"/>
      <c r="D39" s="11"/>
      <c r="E39" s="35"/>
      <c r="F39" s="35"/>
      <c r="G39" s="35"/>
      <c r="H39" s="35"/>
      <c r="I39" s="35"/>
      <c r="J39" s="35"/>
      <c r="K39" s="3"/>
      <c r="L39" s="4"/>
      <c r="M39" s="356" t="str">
        <f t="shared" si="3"/>
        <v/>
      </c>
      <c r="N39" s="1196"/>
      <c r="O39" s="820"/>
      <c r="P39" s="37"/>
      <c r="Q39" s="1401" t="str">
        <f t="shared" si="4"/>
        <v/>
      </c>
      <c r="R39" s="1400"/>
      <c r="S39" s="215" t="str">
        <f t="shared" si="5"/>
        <v/>
      </c>
      <c r="T39" s="57" t="str">
        <f t="shared" si="6"/>
        <v/>
      </c>
      <c r="U39" s="57" t="str">
        <f t="shared" si="7"/>
        <v/>
      </c>
      <c r="V39" s="691" t="str">
        <f t="shared" si="8"/>
        <v/>
      </c>
      <c r="W39" s="418" t="str">
        <f t="shared" si="21"/>
        <v/>
      </c>
      <c r="X39" s="814" t="str">
        <f t="shared" si="9"/>
        <v/>
      </c>
      <c r="Y39" s="57" t="str">
        <f t="shared" si="10"/>
        <v/>
      </c>
      <c r="Z39" s="57" t="str">
        <f t="shared" si="11"/>
        <v/>
      </c>
      <c r="AA39" s="379" t="str">
        <f t="shared" si="12"/>
        <v/>
      </c>
      <c r="AB39" s="809" t="str">
        <f t="shared" si="13"/>
        <v/>
      </c>
      <c r="AC39" s="811" t="str">
        <f t="shared" si="14"/>
        <v/>
      </c>
      <c r="AD39" s="1170" t="str">
        <f t="shared" si="15"/>
        <v/>
      </c>
      <c r="AE39" s="1172" t="str">
        <f t="shared" si="16"/>
        <v/>
      </c>
      <c r="AF39" s="1406" t="str">
        <f t="shared" si="17"/>
        <v/>
      </c>
      <c r="AG39" s="1408" t="str">
        <f t="shared" si="18"/>
        <v/>
      </c>
      <c r="AH39" s="1407"/>
      <c r="AI39" s="822" t="str">
        <f t="shared" si="19"/>
        <v/>
      </c>
      <c r="AJ39" s="482"/>
      <c r="AK39" s="1180" t="str" cm="1">
        <f t="array" ref="AK39">_xlfn.IFS(Q39="","",(IFERROR(VALUE(TRIM(SUBSTITUTE(AI39,CHAR(160),""))),0))=0,"Attention : montant présenté entièrement écarté",ROUND(AE39,2)&lt;ROUND(15%,2),"Attention : Montant temps d’affectation inférieur à 15%. La dépense doit être rejetée, ou vérifier que le personnel est affecté sur un autre type d'action",ROUND(AI39,2)&gt;ROUND(Q39,2),"KO : Le montant retenu est supérieur au montant présenté. Merci de revoir la ligne de dépense ou plafonner son montant.",Q39=0,"",ROUND(AI39,2)=ROUND(Q39,2),"OK",ROUND(AI39,2)&lt;ROUND(Q39,2),"Attention : Montant présenté partiellement écarté",TRUE,"")</f>
        <v/>
      </c>
      <c r="AL39" s="485" t="str">
        <f t="shared" si="20"/>
        <v/>
      </c>
    </row>
    <row r="40" spans="1:38" ht="15.95">
      <c r="A40" s="1833"/>
      <c r="B40" s="360">
        <v>32</v>
      </c>
      <c r="C40" s="35"/>
      <c r="D40" s="11"/>
      <c r="E40" s="35"/>
      <c r="F40" s="35"/>
      <c r="G40" s="35"/>
      <c r="H40" s="35"/>
      <c r="I40" s="35"/>
      <c r="J40" s="35"/>
      <c r="K40" s="3"/>
      <c r="L40" s="4"/>
      <c r="M40" s="356" t="str">
        <f t="shared" si="3"/>
        <v/>
      </c>
      <c r="N40" s="1196"/>
      <c r="O40" s="820"/>
      <c r="P40" s="37"/>
      <c r="Q40" s="1401" t="str">
        <f t="shared" si="4"/>
        <v/>
      </c>
      <c r="R40" s="1400"/>
      <c r="S40" s="215" t="str">
        <f t="shared" si="5"/>
        <v/>
      </c>
      <c r="T40" s="57" t="str">
        <f t="shared" si="6"/>
        <v/>
      </c>
      <c r="U40" s="57" t="str">
        <f t="shared" si="7"/>
        <v/>
      </c>
      <c r="V40" s="691" t="str">
        <f t="shared" si="8"/>
        <v/>
      </c>
      <c r="W40" s="418" t="str">
        <f t="shared" si="21"/>
        <v/>
      </c>
      <c r="X40" s="814" t="str">
        <f t="shared" si="9"/>
        <v/>
      </c>
      <c r="Y40" s="57" t="str">
        <f t="shared" si="10"/>
        <v/>
      </c>
      <c r="Z40" s="57" t="str">
        <f t="shared" si="11"/>
        <v/>
      </c>
      <c r="AA40" s="379" t="str">
        <f t="shared" si="12"/>
        <v/>
      </c>
      <c r="AB40" s="809" t="str">
        <f t="shared" si="13"/>
        <v/>
      </c>
      <c r="AC40" s="811" t="str">
        <f t="shared" si="14"/>
        <v/>
      </c>
      <c r="AD40" s="1170" t="str">
        <f t="shared" si="15"/>
        <v/>
      </c>
      <c r="AE40" s="1172" t="str">
        <f t="shared" si="16"/>
        <v/>
      </c>
      <c r="AF40" s="1406" t="str">
        <f t="shared" si="17"/>
        <v/>
      </c>
      <c r="AG40" s="1408" t="str">
        <f t="shared" si="18"/>
        <v/>
      </c>
      <c r="AH40" s="1407"/>
      <c r="AI40" s="822" t="str">
        <f t="shared" si="19"/>
        <v/>
      </c>
      <c r="AJ40" s="482"/>
      <c r="AK40" s="1180" t="str" cm="1">
        <f t="array" ref="AK40">_xlfn.IFS(Q40="","",(IFERROR(VALUE(TRIM(SUBSTITUTE(AI40,CHAR(160),""))),0))=0,"Attention : montant présenté entièrement écarté",ROUND(AE40,2)&lt;ROUND(15%,2),"Attention : Montant temps d’affectation inférieur à 15%. La dépense doit être rejetée, ou vérifier que le personnel est affecté sur un autre type d'action",ROUND(AI40,2)&gt;ROUND(Q40,2),"KO : Le montant retenu est supérieur au montant présenté. Merci de revoir la ligne de dépense ou plafonner son montant.",Q40=0,"",ROUND(AI40,2)=ROUND(Q40,2),"OK",ROUND(AI40,2)&lt;ROUND(Q40,2),"Attention : Montant présenté partiellement écarté",TRUE,"")</f>
        <v/>
      </c>
      <c r="AL40" s="485" t="str">
        <f t="shared" si="20"/>
        <v/>
      </c>
    </row>
    <row r="41" spans="1:38" ht="15.95">
      <c r="A41" s="1833"/>
      <c r="B41" s="360">
        <v>33</v>
      </c>
      <c r="C41" s="35"/>
      <c r="D41" s="11"/>
      <c r="E41" s="35"/>
      <c r="F41" s="35"/>
      <c r="G41" s="35"/>
      <c r="H41" s="35"/>
      <c r="I41" s="35"/>
      <c r="J41" s="35"/>
      <c r="K41" s="3"/>
      <c r="L41" s="4"/>
      <c r="M41" s="356" t="str">
        <f t="shared" si="3"/>
        <v/>
      </c>
      <c r="N41" s="1196"/>
      <c r="O41" s="820"/>
      <c r="P41" s="37"/>
      <c r="Q41" s="1401" t="str">
        <f t="shared" si="4"/>
        <v/>
      </c>
      <c r="R41" s="1400"/>
      <c r="S41" s="215" t="str">
        <f t="shared" si="5"/>
        <v/>
      </c>
      <c r="T41" s="57" t="str">
        <f t="shared" si="6"/>
        <v/>
      </c>
      <c r="U41" s="57" t="str">
        <f t="shared" si="7"/>
        <v/>
      </c>
      <c r="V41" s="691" t="str">
        <f t="shared" si="8"/>
        <v/>
      </c>
      <c r="W41" s="418" t="str">
        <f t="shared" si="21"/>
        <v/>
      </c>
      <c r="X41" s="814" t="str">
        <f t="shared" si="9"/>
        <v/>
      </c>
      <c r="Y41" s="57" t="str">
        <f t="shared" si="10"/>
        <v/>
      </c>
      <c r="Z41" s="57" t="str">
        <f t="shared" si="11"/>
        <v/>
      </c>
      <c r="AA41" s="379" t="str">
        <f t="shared" si="12"/>
        <v/>
      </c>
      <c r="AB41" s="809" t="str">
        <f t="shared" si="13"/>
        <v/>
      </c>
      <c r="AC41" s="811" t="str">
        <f t="shared" si="14"/>
        <v/>
      </c>
      <c r="AD41" s="1170" t="str">
        <f t="shared" si="15"/>
        <v/>
      </c>
      <c r="AE41" s="1172" t="str">
        <f t="shared" si="16"/>
        <v/>
      </c>
      <c r="AF41" s="1406" t="str">
        <f t="shared" si="17"/>
        <v/>
      </c>
      <c r="AG41" s="1408" t="str">
        <f t="shared" si="18"/>
        <v/>
      </c>
      <c r="AH41" s="1407"/>
      <c r="AI41" s="822" t="str">
        <f t="shared" si="19"/>
        <v/>
      </c>
      <c r="AJ41" s="482"/>
      <c r="AK41" s="1180" t="str" cm="1">
        <f t="array" ref="AK41">_xlfn.IFS(Q41="","",(IFERROR(VALUE(TRIM(SUBSTITUTE(AI41,CHAR(160),""))),0))=0,"Attention : montant présenté entièrement écarté",ROUND(AE41,2)&lt;ROUND(15%,2),"Attention : Montant temps d’affectation inférieur à 15%. La dépense doit être rejetée, ou vérifier que le personnel est affecté sur un autre type d'action",ROUND(AI41,2)&gt;ROUND(Q41,2),"KO : Le montant retenu est supérieur au montant présenté. Merci de revoir la ligne de dépense ou plafonner son montant.",Q41=0,"",ROUND(AI41,2)=ROUND(Q41,2),"OK",ROUND(AI41,2)&lt;ROUND(Q41,2),"Attention : Montant présenté partiellement écarté",TRUE,"")</f>
        <v/>
      </c>
      <c r="AL41" s="485" t="str">
        <f t="shared" si="20"/>
        <v/>
      </c>
    </row>
    <row r="42" spans="1:38" ht="15.95">
      <c r="A42" s="1833"/>
      <c r="B42" s="360">
        <v>34</v>
      </c>
      <c r="C42" s="35"/>
      <c r="D42" s="11"/>
      <c r="E42" s="35"/>
      <c r="F42" s="35"/>
      <c r="G42" s="35"/>
      <c r="H42" s="35"/>
      <c r="I42" s="35"/>
      <c r="J42" s="35"/>
      <c r="K42" s="3"/>
      <c r="L42" s="4"/>
      <c r="M42" s="356" t="str">
        <f t="shared" si="3"/>
        <v/>
      </c>
      <c r="N42" s="1196"/>
      <c r="O42" s="820"/>
      <c r="P42" s="37"/>
      <c r="Q42" s="1401" t="str">
        <f t="shared" si="4"/>
        <v/>
      </c>
      <c r="R42" s="1400"/>
      <c r="S42" s="215" t="str">
        <f t="shared" si="5"/>
        <v/>
      </c>
      <c r="T42" s="57" t="str">
        <f t="shared" ref="T42:T68" si="22">IF(D42="","",D42)</f>
        <v/>
      </c>
      <c r="U42" s="57" t="str">
        <f t="shared" si="7"/>
        <v/>
      </c>
      <c r="V42" s="691" t="str">
        <f t="shared" si="8"/>
        <v/>
      </c>
      <c r="W42" s="418" t="str">
        <f t="shared" si="21"/>
        <v/>
      </c>
      <c r="X42" s="814" t="str">
        <f t="shared" si="9"/>
        <v/>
      </c>
      <c r="Y42" s="57" t="str">
        <f t="shared" si="10"/>
        <v/>
      </c>
      <c r="Z42" s="57" t="str">
        <f t="shared" si="11"/>
        <v/>
      </c>
      <c r="AA42" s="379" t="str">
        <f t="shared" si="12"/>
        <v/>
      </c>
      <c r="AB42" s="809" t="str">
        <f t="shared" si="13"/>
        <v/>
      </c>
      <c r="AC42" s="811" t="str">
        <f t="shared" si="14"/>
        <v/>
      </c>
      <c r="AD42" s="1170" t="str">
        <f t="shared" si="15"/>
        <v/>
      </c>
      <c r="AE42" s="1172" t="str">
        <f t="shared" si="16"/>
        <v/>
      </c>
      <c r="AF42" s="1406" t="str">
        <f t="shared" si="17"/>
        <v/>
      </c>
      <c r="AG42" s="1408" t="str">
        <f t="shared" si="18"/>
        <v/>
      </c>
      <c r="AH42" s="1407"/>
      <c r="AI42" s="822" t="str">
        <f t="shared" si="19"/>
        <v/>
      </c>
      <c r="AJ42" s="482"/>
      <c r="AK42" s="1180" t="str" cm="1">
        <f t="array" ref="AK42">_xlfn.IFS(Q42="","",(IFERROR(VALUE(TRIM(SUBSTITUTE(AI42,CHAR(160),""))),0))=0,"Attention : montant présenté entièrement écarté",ROUND(AE42,2)&lt;ROUND(15%,2),"Attention : Montant temps d’affectation inférieur à 15%. La dépense doit être rejetée, ou vérifier que le personnel est affecté sur un autre type d'action",ROUND(AI42,2)&gt;ROUND(Q42,2),"KO : Le montant retenu est supérieur au montant présenté. Merci de revoir la ligne de dépense ou plafonner son montant.",Q42=0,"",ROUND(AI42,2)=ROUND(Q42,2),"OK",ROUND(AI42,2)&lt;ROUND(Q42,2),"Attention : Montant présenté partiellement écarté",TRUE,"")</f>
        <v/>
      </c>
      <c r="AL42" s="485" t="str">
        <f t="shared" si="20"/>
        <v/>
      </c>
    </row>
    <row r="43" spans="1:38" ht="15.95">
      <c r="A43" s="1833"/>
      <c r="B43" s="360">
        <v>35</v>
      </c>
      <c r="C43" s="35"/>
      <c r="D43" s="11"/>
      <c r="E43" s="35"/>
      <c r="F43" s="35"/>
      <c r="G43" s="35"/>
      <c r="H43" s="35"/>
      <c r="I43" s="35"/>
      <c r="J43" s="35"/>
      <c r="K43" s="3"/>
      <c r="L43" s="4"/>
      <c r="M43" s="356" t="str">
        <f t="shared" si="3"/>
        <v/>
      </c>
      <c r="N43" s="1196"/>
      <c r="O43" s="820"/>
      <c r="P43" s="37"/>
      <c r="Q43" s="1401" t="str">
        <f t="shared" si="4"/>
        <v/>
      </c>
      <c r="R43" s="1400"/>
      <c r="S43" s="215" t="str">
        <f t="shared" si="5"/>
        <v/>
      </c>
      <c r="T43" s="57" t="str">
        <f t="shared" si="22"/>
        <v/>
      </c>
      <c r="U43" s="57" t="str">
        <f t="shared" si="7"/>
        <v/>
      </c>
      <c r="V43" s="691" t="str">
        <f t="shared" si="8"/>
        <v/>
      </c>
      <c r="W43" s="418" t="str">
        <f t="shared" si="21"/>
        <v/>
      </c>
      <c r="X43" s="814" t="str">
        <f t="shared" si="9"/>
        <v/>
      </c>
      <c r="Y43" s="57" t="str">
        <f t="shared" si="10"/>
        <v/>
      </c>
      <c r="Z43" s="57" t="str">
        <f t="shared" si="11"/>
        <v/>
      </c>
      <c r="AA43" s="379" t="str">
        <f t="shared" si="12"/>
        <v/>
      </c>
      <c r="AB43" s="809" t="str">
        <f t="shared" si="13"/>
        <v/>
      </c>
      <c r="AC43" s="811" t="str">
        <f t="shared" si="14"/>
        <v/>
      </c>
      <c r="AD43" s="1170" t="str">
        <f t="shared" si="15"/>
        <v/>
      </c>
      <c r="AE43" s="1172" t="str">
        <f t="shared" si="16"/>
        <v/>
      </c>
      <c r="AF43" s="1406" t="str">
        <f t="shared" si="17"/>
        <v/>
      </c>
      <c r="AG43" s="1408" t="str">
        <f t="shared" si="18"/>
        <v/>
      </c>
      <c r="AH43" s="1407"/>
      <c r="AI43" s="822" t="str">
        <f t="shared" si="19"/>
        <v/>
      </c>
      <c r="AJ43" s="482"/>
      <c r="AK43" s="1180" t="str" cm="1">
        <f t="array" ref="AK43">_xlfn.IFS(Q43="","",(IFERROR(VALUE(TRIM(SUBSTITUTE(AI43,CHAR(160),""))),0))=0,"Attention : montant présenté entièrement écarté",ROUND(AE43,2)&lt;ROUND(15%,2),"Attention : Montant temps d’affectation inférieur à 15%. La dépense doit être rejetée, ou vérifier que le personnel est affecté sur un autre type d'action",ROUND(AI43,2)&gt;ROUND(Q43,2),"KO : Le montant retenu est supérieur au montant présenté. Merci de revoir la ligne de dépense ou plafonner son montant.",Q43=0,"",ROUND(AI43,2)=ROUND(Q43,2),"OK",ROUND(AI43,2)&lt;ROUND(Q43,2),"Attention : Montant présenté partiellement écarté",TRUE,"")</f>
        <v/>
      </c>
      <c r="AL43" s="485" t="str">
        <f t="shared" si="20"/>
        <v/>
      </c>
    </row>
    <row r="44" spans="1:38" ht="15.95">
      <c r="A44" s="1833"/>
      <c r="B44" s="360">
        <v>36</v>
      </c>
      <c r="C44" s="35"/>
      <c r="D44" s="11"/>
      <c r="E44" s="35"/>
      <c r="F44" s="35"/>
      <c r="G44" s="35"/>
      <c r="H44" s="35"/>
      <c r="I44" s="35"/>
      <c r="J44" s="35"/>
      <c r="K44" s="3"/>
      <c r="L44" s="4"/>
      <c r="M44" s="356" t="str">
        <f t="shared" si="3"/>
        <v/>
      </c>
      <c r="N44" s="1196"/>
      <c r="O44" s="820"/>
      <c r="P44" s="37"/>
      <c r="Q44" s="1401" t="str">
        <f t="shared" si="4"/>
        <v/>
      </c>
      <c r="R44" s="1400"/>
      <c r="S44" s="215" t="str">
        <f t="shared" si="5"/>
        <v/>
      </c>
      <c r="T44" s="57" t="str">
        <f t="shared" si="22"/>
        <v/>
      </c>
      <c r="U44" s="57" t="str">
        <f t="shared" si="7"/>
        <v/>
      </c>
      <c r="V44" s="691" t="str">
        <f t="shared" si="8"/>
        <v/>
      </c>
      <c r="W44" s="418" t="str">
        <f t="shared" si="21"/>
        <v/>
      </c>
      <c r="X44" s="814" t="str">
        <f t="shared" si="9"/>
        <v/>
      </c>
      <c r="Y44" s="57" t="str">
        <f t="shared" si="10"/>
        <v/>
      </c>
      <c r="Z44" s="57" t="str">
        <f t="shared" si="11"/>
        <v/>
      </c>
      <c r="AA44" s="379" t="str">
        <f t="shared" si="12"/>
        <v/>
      </c>
      <c r="AB44" s="809" t="str">
        <f t="shared" si="13"/>
        <v/>
      </c>
      <c r="AC44" s="811" t="str">
        <f t="shared" si="14"/>
        <v/>
      </c>
      <c r="AD44" s="1170" t="str">
        <f t="shared" si="15"/>
        <v/>
      </c>
      <c r="AE44" s="1172" t="str">
        <f t="shared" si="16"/>
        <v/>
      </c>
      <c r="AF44" s="1406" t="str">
        <f t="shared" si="17"/>
        <v/>
      </c>
      <c r="AG44" s="1408" t="str">
        <f t="shared" si="18"/>
        <v/>
      </c>
      <c r="AH44" s="1407"/>
      <c r="AI44" s="822" t="str">
        <f t="shared" si="19"/>
        <v/>
      </c>
      <c r="AJ44" s="482"/>
      <c r="AK44" s="1180" t="str" cm="1">
        <f t="array" ref="AK44">_xlfn.IFS(Q44="","",(IFERROR(VALUE(TRIM(SUBSTITUTE(AI44,CHAR(160),""))),0))=0,"Attention : montant présenté entièrement écarté",ROUND(AE44,2)&lt;ROUND(15%,2),"Attention : Montant temps d’affectation inférieur à 15%. La dépense doit être rejetée, ou vérifier que le personnel est affecté sur un autre type d'action",ROUND(AI44,2)&gt;ROUND(Q44,2),"KO : Le montant retenu est supérieur au montant présenté. Merci de revoir la ligne de dépense ou plafonner son montant.",Q44=0,"",ROUND(AI44,2)=ROUND(Q44,2),"OK",ROUND(AI44,2)&lt;ROUND(Q44,2),"Attention : Montant présenté partiellement écarté",TRUE,"")</f>
        <v/>
      </c>
      <c r="AL44" s="485" t="str">
        <f t="shared" si="20"/>
        <v/>
      </c>
    </row>
    <row r="45" spans="1:38" ht="15.95">
      <c r="A45" s="1833"/>
      <c r="B45" s="360">
        <v>37</v>
      </c>
      <c r="C45" s="35"/>
      <c r="D45" s="11"/>
      <c r="E45" s="35"/>
      <c r="F45" s="35"/>
      <c r="G45" s="35"/>
      <c r="H45" s="35"/>
      <c r="I45" s="35"/>
      <c r="J45" s="35"/>
      <c r="K45" s="3"/>
      <c r="L45" s="4"/>
      <c r="M45" s="356" t="str">
        <f t="shared" si="3"/>
        <v/>
      </c>
      <c r="N45" s="1196"/>
      <c r="O45" s="820"/>
      <c r="P45" s="37"/>
      <c r="Q45" s="1401" t="str">
        <f t="shared" si="4"/>
        <v/>
      </c>
      <c r="R45" s="1400"/>
      <c r="S45" s="215" t="str">
        <f t="shared" si="5"/>
        <v/>
      </c>
      <c r="T45" s="57" t="str">
        <f t="shared" si="22"/>
        <v/>
      </c>
      <c r="U45" s="57" t="str">
        <f t="shared" si="7"/>
        <v/>
      </c>
      <c r="V45" s="691" t="str">
        <f t="shared" si="8"/>
        <v/>
      </c>
      <c r="W45" s="418" t="str">
        <f t="shared" si="21"/>
        <v/>
      </c>
      <c r="X45" s="814" t="str">
        <f t="shared" si="9"/>
        <v/>
      </c>
      <c r="Y45" s="57" t="str">
        <f t="shared" si="10"/>
        <v/>
      </c>
      <c r="Z45" s="57" t="str">
        <f t="shared" si="11"/>
        <v/>
      </c>
      <c r="AA45" s="379" t="str">
        <f t="shared" si="12"/>
        <v/>
      </c>
      <c r="AB45" s="809" t="str">
        <f t="shared" si="13"/>
        <v/>
      </c>
      <c r="AC45" s="811" t="str">
        <f t="shared" si="14"/>
        <v/>
      </c>
      <c r="AD45" s="1170" t="str">
        <f t="shared" si="15"/>
        <v/>
      </c>
      <c r="AE45" s="1172" t="str">
        <f t="shared" si="16"/>
        <v/>
      </c>
      <c r="AF45" s="1406" t="str">
        <f t="shared" si="17"/>
        <v/>
      </c>
      <c r="AG45" s="1408" t="str">
        <f t="shared" si="18"/>
        <v/>
      </c>
      <c r="AH45" s="1407"/>
      <c r="AI45" s="822" t="str">
        <f t="shared" si="19"/>
        <v/>
      </c>
      <c r="AJ45" s="482"/>
      <c r="AK45" s="1180" t="str" cm="1">
        <f t="array" ref="AK45">_xlfn.IFS(Q45="","",(IFERROR(VALUE(TRIM(SUBSTITUTE(AI45,CHAR(160),""))),0))=0,"Attention : montant présenté entièrement écarté",ROUND(AE45,2)&lt;ROUND(15%,2),"Attention : Montant temps d’affectation inférieur à 15%. La dépense doit être rejetée, ou vérifier que le personnel est affecté sur un autre type d'action",ROUND(AI45,2)&gt;ROUND(Q45,2),"KO : Le montant retenu est supérieur au montant présenté. Merci de revoir la ligne de dépense ou plafonner son montant.",Q45=0,"",ROUND(AI45,2)=ROUND(Q45,2),"OK",ROUND(AI45,2)&lt;ROUND(Q45,2),"Attention : Montant présenté partiellement écarté",TRUE,"")</f>
        <v/>
      </c>
      <c r="AL45" s="485" t="str">
        <f t="shared" si="20"/>
        <v/>
      </c>
    </row>
    <row r="46" spans="1:38" ht="15.95">
      <c r="A46" s="1833"/>
      <c r="B46" s="360">
        <v>38</v>
      </c>
      <c r="C46" s="35"/>
      <c r="D46" s="11"/>
      <c r="E46" s="35"/>
      <c r="F46" s="35"/>
      <c r="G46" s="35"/>
      <c r="H46" s="35"/>
      <c r="I46" s="35"/>
      <c r="J46" s="35"/>
      <c r="K46" s="3"/>
      <c r="L46" s="4"/>
      <c r="M46" s="356" t="str">
        <f t="shared" si="3"/>
        <v/>
      </c>
      <c r="N46" s="1196"/>
      <c r="O46" s="820"/>
      <c r="P46" s="37"/>
      <c r="Q46" s="1401" t="str">
        <f t="shared" si="4"/>
        <v/>
      </c>
      <c r="R46" s="1400"/>
      <c r="S46" s="215" t="str">
        <f t="shared" si="5"/>
        <v/>
      </c>
      <c r="T46" s="57" t="str">
        <f t="shared" si="22"/>
        <v/>
      </c>
      <c r="U46" s="57" t="str">
        <f t="shared" si="7"/>
        <v/>
      </c>
      <c r="V46" s="691" t="str">
        <f t="shared" si="8"/>
        <v/>
      </c>
      <c r="W46" s="418" t="str">
        <f t="shared" si="21"/>
        <v/>
      </c>
      <c r="X46" s="814" t="str">
        <f t="shared" si="9"/>
        <v/>
      </c>
      <c r="Y46" s="57" t="str">
        <f t="shared" si="10"/>
        <v/>
      </c>
      <c r="Z46" s="57" t="str">
        <f t="shared" si="11"/>
        <v/>
      </c>
      <c r="AA46" s="379" t="str">
        <f t="shared" si="12"/>
        <v/>
      </c>
      <c r="AB46" s="809" t="str">
        <f t="shared" si="13"/>
        <v/>
      </c>
      <c r="AC46" s="811" t="str">
        <f t="shared" si="14"/>
        <v/>
      </c>
      <c r="AD46" s="1170" t="str">
        <f t="shared" si="15"/>
        <v/>
      </c>
      <c r="AE46" s="1172" t="str">
        <f t="shared" si="16"/>
        <v/>
      </c>
      <c r="AF46" s="1406" t="str">
        <f t="shared" si="17"/>
        <v/>
      </c>
      <c r="AG46" s="1408" t="str">
        <f t="shared" si="18"/>
        <v/>
      </c>
      <c r="AH46" s="1407"/>
      <c r="AI46" s="822" t="str">
        <f t="shared" si="19"/>
        <v/>
      </c>
      <c r="AJ46" s="482"/>
      <c r="AK46" s="1180" t="str" cm="1">
        <f t="array" ref="AK46">_xlfn.IFS(Q46="","",(IFERROR(VALUE(TRIM(SUBSTITUTE(AI46,CHAR(160),""))),0))=0,"Attention : montant présenté entièrement écarté",ROUND(AE46,2)&lt;ROUND(15%,2),"Attention : Montant temps d’affectation inférieur à 15%. La dépense doit être rejetée, ou vérifier que le personnel est affecté sur un autre type d'action",ROUND(AI46,2)&gt;ROUND(Q46,2),"KO : Le montant retenu est supérieur au montant présenté. Merci de revoir la ligne de dépense ou plafonner son montant.",Q46=0,"",ROUND(AI46,2)=ROUND(Q46,2),"OK",ROUND(AI46,2)&lt;ROUND(Q46,2),"Attention : Montant présenté partiellement écarté",TRUE,"")</f>
        <v/>
      </c>
      <c r="AL46" s="485" t="str">
        <f t="shared" si="20"/>
        <v/>
      </c>
    </row>
    <row r="47" spans="1:38" ht="15.95">
      <c r="A47" s="1833"/>
      <c r="B47" s="360">
        <v>39</v>
      </c>
      <c r="C47" s="35"/>
      <c r="D47" s="11"/>
      <c r="E47" s="35"/>
      <c r="F47" s="35"/>
      <c r="G47" s="35"/>
      <c r="H47" s="35"/>
      <c r="I47" s="35"/>
      <c r="J47" s="35"/>
      <c r="K47" s="3"/>
      <c r="L47" s="4"/>
      <c r="M47" s="356" t="str">
        <f t="shared" si="3"/>
        <v/>
      </c>
      <c r="N47" s="1196"/>
      <c r="O47" s="820"/>
      <c r="P47" s="37"/>
      <c r="Q47" s="1401" t="str">
        <f t="shared" si="4"/>
        <v/>
      </c>
      <c r="R47" s="1400"/>
      <c r="S47" s="215" t="str">
        <f t="shared" si="5"/>
        <v/>
      </c>
      <c r="T47" s="57" t="str">
        <f t="shared" si="22"/>
        <v/>
      </c>
      <c r="U47" s="57" t="str">
        <f t="shared" si="7"/>
        <v/>
      </c>
      <c r="V47" s="691" t="str">
        <f t="shared" si="8"/>
        <v/>
      </c>
      <c r="W47" s="418" t="str">
        <f t="shared" si="21"/>
        <v/>
      </c>
      <c r="X47" s="814" t="str">
        <f t="shared" si="9"/>
        <v/>
      </c>
      <c r="Y47" s="57" t="str">
        <f t="shared" si="10"/>
        <v/>
      </c>
      <c r="Z47" s="57" t="str">
        <f t="shared" si="11"/>
        <v/>
      </c>
      <c r="AA47" s="379" t="str">
        <f t="shared" si="12"/>
        <v/>
      </c>
      <c r="AB47" s="809" t="str">
        <f t="shared" si="13"/>
        <v/>
      </c>
      <c r="AC47" s="811" t="str">
        <f t="shared" si="14"/>
        <v/>
      </c>
      <c r="AD47" s="1170" t="str">
        <f t="shared" si="15"/>
        <v/>
      </c>
      <c r="AE47" s="1172" t="str">
        <f t="shared" si="16"/>
        <v/>
      </c>
      <c r="AF47" s="1406" t="str">
        <f t="shared" si="17"/>
        <v/>
      </c>
      <c r="AG47" s="1408" t="str">
        <f t="shared" si="18"/>
        <v/>
      </c>
      <c r="AH47" s="1407"/>
      <c r="AI47" s="822" t="str">
        <f t="shared" si="19"/>
        <v/>
      </c>
      <c r="AJ47" s="482"/>
      <c r="AK47" s="1180" t="str" cm="1">
        <f t="array" ref="AK47">_xlfn.IFS(Q47="","",(IFERROR(VALUE(TRIM(SUBSTITUTE(AI47,CHAR(160),""))),0))=0,"Attention : montant présenté entièrement écarté",ROUND(AE47,2)&lt;ROUND(15%,2),"Attention : Montant temps d’affectation inférieur à 15%. La dépense doit être rejetée, ou vérifier que le personnel est affecté sur un autre type d'action",ROUND(AI47,2)&gt;ROUND(Q47,2),"KO : Le montant retenu est supérieur au montant présenté. Merci de revoir la ligne de dépense ou plafonner son montant.",Q47=0,"",ROUND(AI47,2)=ROUND(Q47,2),"OK",ROUND(AI47,2)&lt;ROUND(Q47,2),"Attention : Montant présenté partiellement écarté",TRUE,"")</f>
        <v/>
      </c>
      <c r="AL47" s="485" t="str">
        <f t="shared" si="20"/>
        <v/>
      </c>
    </row>
    <row r="48" spans="1:38" ht="15.95">
      <c r="A48" s="1833"/>
      <c r="B48" s="360">
        <v>40</v>
      </c>
      <c r="C48" s="35"/>
      <c r="D48" s="11"/>
      <c r="E48" s="35"/>
      <c r="F48" s="35"/>
      <c r="G48" s="35"/>
      <c r="H48" s="35"/>
      <c r="I48" s="35"/>
      <c r="J48" s="35"/>
      <c r="K48" s="3"/>
      <c r="L48" s="4"/>
      <c r="M48" s="356" t="str">
        <f t="shared" si="3"/>
        <v/>
      </c>
      <c r="N48" s="1196"/>
      <c r="O48" s="820"/>
      <c r="P48" s="37"/>
      <c r="Q48" s="1401" t="str">
        <f t="shared" si="4"/>
        <v/>
      </c>
      <c r="R48" s="1400"/>
      <c r="S48" s="215" t="str">
        <f t="shared" si="5"/>
        <v/>
      </c>
      <c r="T48" s="57" t="str">
        <f t="shared" si="22"/>
        <v/>
      </c>
      <c r="U48" s="57" t="str">
        <f t="shared" si="7"/>
        <v/>
      </c>
      <c r="V48" s="691" t="str">
        <f t="shared" si="8"/>
        <v/>
      </c>
      <c r="W48" s="418" t="str">
        <f t="shared" si="21"/>
        <v/>
      </c>
      <c r="X48" s="814" t="str">
        <f t="shared" si="9"/>
        <v/>
      </c>
      <c r="Y48" s="57" t="str">
        <f t="shared" si="10"/>
        <v/>
      </c>
      <c r="Z48" s="57" t="str">
        <f t="shared" si="11"/>
        <v/>
      </c>
      <c r="AA48" s="379" t="str">
        <f t="shared" si="12"/>
        <v/>
      </c>
      <c r="AB48" s="809" t="str">
        <f t="shared" si="13"/>
        <v/>
      </c>
      <c r="AC48" s="811" t="str">
        <f t="shared" si="14"/>
        <v/>
      </c>
      <c r="AD48" s="1170" t="str">
        <f t="shared" si="15"/>
        <v/>
      </c>
      <c r="AE48" s="1172" t="str">
        <f t="shared" si="16"/>
        <v/>
      </c>
      <c r="AF48" s="1406" t="str">
        <f t="shared" si="17"/>
        <v/>
      </c>
      <c r="AG48" s="1408" t="str">
        <f t="shared" si="18"/>
        <v/>
      </c>
      <c r="AH48" s="1407"/>
      <c r="AI48" s="822" t="str">
        <f t="shared" si="19"/>
        <v/>
      </c>
      <c r="AJ48" s="482"/>
      <c r="AK48" s="1180" t="str" cm="1">
        <f t="array" ref="AK48">_xlfn.IFS(Q48="","",(IFERROR(VALUE(TRIM(SUBSTITUTE(AI48,CHAR(160),""))),0))=0,"Attention : montant présenté entièrement écarté",ROUND(AE48,2)&lt;ROUND(15%,2),"Attention : Montant temps d’affectation inférieur à 15%. La dépense doit être rejetée, ou vérifier que le personnel est affecté sur un autre type d'action",ROUND(AI48,2)&gt;ROUND(Q48,2),"KO : Le montant retenu est supérieur au montant présenté. Merci de revoir la ligne de dépense ou plafonner son montant.",Q48=0,"",ROUND(AI48,2)=ROUND(Q48,2),"OK",ROUND(AI48,2)&lt;ROUND(Q48,2),"Attention : Montant présenté partiellement écarté",TRUE,"")</f>
        <v/>
      </c>
      <c r="AL48" s="485" t="str">
        <f t="shared" si="20"/>
        <v/>
      </c>
    </row>
    <row r="49" spans="1:38" ht="15.95">
      <c r="A49" s="1833"/>
      <c r="B49" s="360">
        <v>41</v>
      </c>
      <c r="C49" s="35"/>
      <c r="D49" s="11"/>
      <c r="E49" s="35"/>
      <c r="F49" s="35"/>
      <c r="G49" s="35"/>
      <c r="H49" s="35"/>
      <c r="I49" s="35"/>
      <c r="J49" s="35"/>
      <c r="K49" s="3"/>
      <c r="L49" s="4"/>
      <c r="M49" s="356" t="str">
        <f t="shared" si="3"/>
        <v/>
      </c>
      <c r="N49" s="1196"/>
      <c r="O49" s="820"/>
      <c r="P49" s="37"/>
      <c r="Q49" s="1401" t="str">
        <f t="shared" si="4"/>
        <v/>
      </c>
      <c r="R49" s="1400"/>
      <c r="S49" s="215" t="str">
        <f t="shared" si="5"/>
        <v/>
      </c>
      <c r="T49" s="57" t="str">
        <f t="shared" si="22"/>
        <v/>
      </c>
      <c r="U49" s="57" t="str">
        <f t="shared" si="7"/>
        <v/>
      </c>
      <c r="V49" s="691" t="str">
        <f t="shared" si="8"/>
        <v/>
      </c>
      <c r="W49" s="418" t="str">
        <f t="shared" si="21"/>
        <v/>
      </c>
      <c r="X49" s="814" t="str">
        <f t="shared" si="9"/>
        <v/>
      </c>
      <c r="Y49" s="57" t="str">
        <f t="shared" si="10"/>
        <v/>
      </c>
      <c r="Z49" s="57" t="str">
        <f t="shared" si="11"/>
        <v/>
      </c>
      <c r="AA49" s="379" t="str">
        <f t="shared" si="12"/>
        <v/>
      </c>
      <c r="AB49" s="809" t="str">
        <f t="shared" si="13"/>
        <v/>
      </c>
      <c r="AC49" s="811" t="str">
        <f t="shared" si="14"/>
        <v/>
      </c>
      <c r="AD49" s="1170" t="str">
        <f t="shared" si="15"/>
        <v/>
      </c>
      <c r="AE49" s="1172" t="str">
        <f t="shared" si="16"/>
        <v/>
      </c>
      <c r="AF49" s="1406" t="str">
        <f t="shared" si="17"/>
        <v/>
      </c>
      <c r="AG49" s="1408" t="str">
        <f t="shared" si="18"/>
        <v/>
      </c>
      <c r="AH49" s="1407"/>
      <c r="AI49" s="822" t="str">
        <f t="shared" si="19"/>
        <v/>
      </c>
      <c r="AJ49" s="482"/>
      <c r="AK49" s="1180" t="str" cm="1">
        <f t="array" ref="AK49">_xlfn.IFS(Q49="","",(IFERROR(VALUE(TRIM(SUBSTITUTE(AI49,CHAR(160),""))),0))=0,"Attention : montant présenté entièrement écarté",ROUND(AE49,2)&lt;ROUND(15%,2),"Attention : Montant temps d’affectation inférieur à 15%. La dépense doit être rejetée, ou vérifier que le personnel est affecté sur un autre type d'action",ROUND(AI49,2)&gt;ROUND(Q49,2),"KO : Le montant retenu est supérieur au montant présenté. Merci de revoir la ligne de dépense ou plafonner son montant.",Q49=0,"",ROUND(AI49,2)=ROUND(Q49,2),"OK",ROUND(AI49,2)&lt;ROUND(Q49,2),"Attention : Montant présenté partiellement écarté",TRUE,"")</f>
        <v/>
      </c>
      <c r="AL49" s="485" t="str">
        <f t="shared" si="20"/>
        <v/>
      </c>
    </row>
    <row r="50" spans="1:38" ht="15.95">
      <c r="A50" s="1833"/>
      <c r="B50" s="360">
        <v>42</v>
      </c>
      <c r="C50" s="35"/>
      <c r="D50" s="11"/>
      <c r="E50" s="35"/>
      <c r="F50" s="35"/>
      <c r="G50" s="35"/>
      <c r="H50" s="35"/>
      <c r="I50" s="35"/>
      <c r="J50" s="35"/>
      <c r="K50" s="3"/>
      <c r="L50" s="4"/>
      <c r="M50" s="356" t="str">
        <f t="shared" si="3"/>
        <v/>
      </c>
      <c r="N50" s="1196"/>
      <c r="O50" s="820"/>
      <c r="P50" s="37"/>
      <c r="Q50" s="1401" t="str">
        <f t="shared" si="4"/>
        <v/>
      </c>
      <c r="R50" s="1400"/>
      <c r="S50" s="215" t="str">
        <f t="shared" si="5"/>
        <v/>
      </c>
      <c r="T50" s="57" t="str">
        <f t="shared" si="22"/>
        <v/>
      </c>
      <c r="U50" s="57" t="str">
        <f t="shared" si="7"/>
        <v/>
      </c>
      <c r="V50" s="691" t="str">
        <f t="shared" si="8"/>
        <v/>
      </c>
      <c r="W50" s="418" t="str">
        <f t="shared" si="21"/>
        <v/>
      </c>
      <c r="X50" s="814" t="str">
        <f t="shared" si="9"/>
        <v/>
      </c>
      <c r="Y50" s="57" t="str">
        <f t="shared" si="10"/>
        <v/>
      </c>
      <c r="Z50" s="57" t="str">
        <f t="shared" si="11"/>
        <v/>
      </c>
      <c r="AA50" s="379" t="str">
        <f t="shared" si="12"/>
        <v/>
      </c>
      <c r="AB50" s="809" t="str">
        <f t="shared" si="13"/>
        <v/>
      </c>
      <c r="AC50" s="811" t="str">
        <f t="shared" si="14"/>
        <v/>
      </c>
      <c r="AD50" s="1170" t="str">
        <f t="shared" si="15"/>
        <v/>
      </c>
      <c r="AE50" s="1172" t="str">
        <f t="shared" si="16"/>
        <v/>
      </c>
      <c r="AF50" s="1406" t="str">
        <f t="shared" si="17"/>
        <v/>
      </c>
      <c r="AG50" s="1408" t="str">
        <f t="shared" si="18"/>
        <v/>
      </c>
      <c r="AH50" s="1407"/>
      <c r="AI50" s="822" t="str">
        <f t="shared" si="19"/>
        <v/>
      </c>
      <c r="AJ50" s="482"/>
      <c r="AK50" s="1180" t="str" cm="1">
        <f t="array" ref="AK50">_xlfn.IFS(Q50="","",(IFERROR(VALUE(TRIM(SUBSTITUTE(AI50,CHAR(160),""))),0))=0,"Attention : montant présenté entièrement écarté",ROUND(AE50,2)&lt;ROUND(15%,2),"Attention : Montant temps d’affectation inférieur à 15%. La dépense doit être rejetée, ou vérifier que le personnel est affecté sur un autre type d'action",ROUND(AI50,2)&gt;ROUND(Q50,2),"KO : Le montant retenu est supérieur au montant présenté. Merci de revoir la ligne de dépense ou plafonner son montant.",Q50=0,"",ROUND(AI50,2)=ROUND(Q50,2),"OK",ROUND(AI50,2)&lt;ROUND(Q50,2),"Attention : Montant présenté partiellement écarté",TRUE,"")</f>
        <v/>
      </c>
      <c r="AL50" s="485" t="str">
        <f t="shared" si="20"/>
        <v/>
      </c>
    </row>
    <row r="51" spans="1:38" ht="15.95">
      <c r="A51" s="1833"/>
      <c r="B51" s="360">
        <v>43</v>
      </c>
      <c r="C51" s="35"/>
      <c r="D51" s="11"/>
      <c r="E51" s="35"/>
      <c r="F51" s="35"/>
      <c r="G51" s="35"/>
      <c r="H51" s="35"/>
      <c r="I51" s="35"/>
      <c r="J51" s="35"/>
      <c r="K51" s="3"/>
      <c r="L51" s="4"/>
      <c r="M51" s="356" t="str">
        <f t="shared" si="3"/>
        <v/>
      </c>
      <c r="N51" s="1196"/>
      <c r="O51" s="820"/>
      <c r="P51" s="37"/>
      <c r="Q51" s="1401" t="str">
        <f t="shared" si="4"/>
        <v/>
      </c>
      <c r="R51" s="1400"/>
      <c r="S51" s="215" t="str">
        <f t="shared" si="5"/>
        <v/>
      </c>
      <c r="T51" s="57" t="str">
        <f t="shared" si="22"/>
        <v/>
      </c>
      <c r="U51" s="57" t="str">
        <f t="shared" si="7"/>
        <v/>
      </c>
      <c r="V51" s="691" t="str">
        <f t="shared" si="8"/>
        <v/>
      </c>
      <c r="W51" s="418" t="str">
        <f t="shared" si="21"/>
        <v/>
      </c>
      <c r="X51" s="814" t="str">
        <f t="shared" si="9"/>
        <v/>
      </c>
      <c r="Y51" s="57" t="str">
        <f t="shared" si="10"/>
        <v/>
      </c>
      <c r="Z51" s="57" t="str">
        <f t="shared" si="11"/>
        <v/>
      </c>
      <c r="AA51" s="379" t="str">
        <f t="shared" si="12"/>
        <v/>
      </c>
      <c r="AB51" s="809" t="str">
        <f t="shared" si="13"/>
        <v/>
      </c>
      <c r="AC51" s="811" t="str">
        <f t="shared" si="14"/>
        <v/>
      </c>
      <c r="AD51" s="1170" t="str">
        <f t="shared" si="15"/>
        <v/>
      </c>
      <c r="AE51" s="1172" t="str">
        <f t="shared" si="16"/>
        <v/>
      </c>
      <c r="AF51" s="1406" t="str">
        <f t="shared" si="17"/>
        <v/>
      </c>
      <c r="AG51" s="1408" t="str">
        <f t="shared" si="18"/>
        <v/>
      </c>
      <c r="AH51" s="1407"/>
      <c r="AI51" s="822" t="str">
        <f t="shared" si="19"/>
        <v/>
      </c>
      <c r="AJ51" s="482"/>
      <c r="AK51" s="1180" t="str" cm="1">
        <f t="array" ref="AK51">_xlfn.IFS(Q51="","",(IFERROR(VALUE(TRIM(SUBSTITUTE(AI51,CHAR(160),""))),0))=0,"Attention : montant présenté entièrement écarté",ROUND(AE51,2)&lt;ROUND(15%,2),"Attention : Montant temps d’affectation inférieur à 15%. La dépense doit être rejetée, ou vérifier que le personnel est affecté sur un autre type d'action",ROUND(AI51,2)&gt;ROUND(Q51,2),"KO : Le montant retenu est supérieur au montant présenté. Merci de revoir la ligne de dépense ou plafonner son montant.",Q51=0,"",ROUND(AI51,2)=ROUND(Q51,2),"OK",ROUND(AI51,2)&lt;ROUND(Q51,2),"Attention : Montant présenté partiellement écarté",TRUE,"")</f>
        <v/>
      </c>
      <c r="AL51" s="485" t="str">
        <f t="shared" si="20"/>
        <v/>
      </c>
    </row>
    <row r="52" spans="1:38" ht="15.95">
      <c r="A52" s="1833"/>
      <c r="B52" s="360">
        <v>44</v>
      </c>
      <c r="C52" s="35"/>
      <c r="D52" s="11"/>
      <c r="E52" s="35"/>
      <c r="F52" s="35"/>
      <c r="G52" s="35"/>
      <c r="H52" s="35"/>
      <c r="I52" s="35"/>
      <c r="J52" s="35"/>
      <c r="K52" s="3"/>
      <c r="L52" s="4"/>
      <c r="M52" s="356" t="str">
        <f t="shared" si="3"/>
        <v/>
      </c>
      <c r="N52" s="1196"/>
      <c r="O52" s="820"/>
      <c r="P52" s="37"/>
      <c r="Q52" s="1401" t="str">
        <f t="shared" si="4"/>
        <v/>
      </c>
      <c r="R52" s="1400"/>
      <c r="S52" s="215" t="str">
        <f t="shared" si="5"/>
        <v/>
      </c>
      <c r="T52" s="57" t="str">
        <f t="shared" si="22"/>
        <v/>
      </c>
      <c r="U52" s="57" t="str">
        <f t="shared" si="7"/>
        <v/>
      </c>
      <c r="V52" s="691" t="str">
        <f t="shared" si="8"/>
        <v/>
      </c>
      <c r="W52" s="418" t="str">
        <f t="shared" si="21"/>
        <v/>
      </c>
      <c r="X52" s="814" t="str">
        <f t="shared" si="9"/>
        <v/>
      </c>
      <c r="Y52" s="57" t="str">
        <f t="shared" si="10"/>
        <v/>
      </c>
      <c r="Z52" s="57" t="str">
        <f t="shared" si="11"/>
        <v/>
      </c>
      <c r="AA52" s="379" t="str">
        <f t="shared" si="12"/>
        <v/>
      </c>
      <c r="AB52" s="809" t="str">
        <f t="shared" si="13"/>
        <v/>
      </c>
      <c r="AC52" s="811" t="str">
        <f t="shared" si="14"/>
        <v/>
      </c>
      <c r="AD52" s="1170" t="str">
        <f t="shared" si="15"/>
        <v/>
      </c>
      <c r="AE52" s="1172" t="str">
        <f t="shared" si="16"/>
        <v/>
      </c>
      <c r="AF52" s="1406" t="str">
        <f t="shared" si="17"/>
        <v/>
      </c>
      <c r="AG52" s="1408" t="str">
        <f t="shared" si="18"/>
        <v/>
      </c>
      <c r="AH52" s="1407"/>
      <c r="AI52" s="822" t="str">
        <f t="shared" si="19"/>
        <v/>
      </c>
      <c r="AJ52" s="482"/>
      <c r="AK52" s="1180" t="str" cm="1">
        <f t="array" ref="AK52">_xlfn.IFS(Q52="","",(IFERROR(VALUE(TRIM(SUBSTITUTE(AI52,CHAR(160),""))),0))=0,"Attention : montant présenté entièrement écarté",ROUND(AE52,2)&lt;ROUND(15%,2),"Attention : Montant temps d’affectation inférieur à 15%. La dépense doit être rejetée, ou vérifier que le personnel est affecté sur un autre type d'action",ROUND(AI52,2)&gt;ROUND(Q52,2),"KO : Le montant retenu est supérieur au montant présenté. Merci de revoir la ligne de dépense ou plafonner son montant.",Q52=0,"",ROUND(AI52,2)=ROUND(Q52,2),"OK",ROUND(AI52,2)&lt;ROUND(Q52,2),"Attention : Montant présenté partiellement écarté",TRUE,"")</f>
        <v/>
      </c>
      <c r="AL52" s="485" t="str">
        <f t="shared" si="20"/>
        <v/>
      </c>
    </row>
    <row r="53" spans="1:38" ht="15.95">
      <c r="A53" s="1833"/>
      <c r="B53" s="360">
        <v>45</v>
      </c>
      <c r="C53" s="35"/>
      <c r="D53" s="11"/>
      <c r="E53" s="35"/>
      <c r="F53" s="35"/>
      <c r="G53" s="35"/>
      <c r="H53" s="35"/>
      <c r="I53" s="35"/>
      <c r="J53" s="35"/>
      <c r="K53" s="3"/>
      <c r="L53" s="4"/>
      <c r="M53" s="356" t="str">
        <f t="shared" si="3"/>
        <v/>
      </c>
      <c r="N53" s="1196"/>
      <c r="O53" s="820"/>
      <c r="P53" s="37"/>
      <c r="Q53" s="1401" t="str">
        <f t="shared" si="4"/>
        <v/>
      </c>
      <c r="R53" s="1400"/>
      <c r="S53" s="215" t="str">
        <f t="shared" si="5"/>
        <v/>
      </c>
      <c r="T53" s="57" t="str">
        <f t="shared" si="22"/>
        <v/>
      </c>
      <c r="U53" s="57" t="str">
        <f t="shared" si="7"/>
        <v/>
      </c>
      <c r="V53" s="691" t="str">
        <f t="shared" si="8"/>
        <v/>
      </c>
      <c r="W53" s="418" t="str">
        <f t="shared" si="21"/>
        <v/>
      </c>
      <c r="X53" s="814" t="str">
        <f t="shared" si="9"/>
        <v/>
      </c>
      <c r="Y53" s="57" t="str">
        <f t="shared" si="10"/>
        <v/>
      </c>
      <c r="Z53" s="57" t="str">
        <f t="shared" si="11"/>
        <v/>
      </c>
      <c r="AA53" s="379" t="str">
        <f t="shared" si="12"/>
        <v/>
      </c>
      <c r="AB53" s="809" t="str">
        <f t="shared" si="13"/>
        <v/>
      </c>
      <c r="AC53" s="811" t="str">
        <f t="shared" si="14"/>
        <v/>
      </c>
      <c r="AD53" s="1170" t="str">
        <f t="shared" si="15"/>
        <v/>
      </c>
      <c r="AE53" s="1172" t="str">
        <f t="shared" si="16"/>
        <v/>
      </c>
      <c r="AF53" s="1406" t="str">
        <f t="shared" si="17"/>
        <v/>
      </c>
      <c r="AG53" s="1408" t="str">
        <f t="shared" si="18"/>
        <v/>
      </c>
      <c r="AH53" s="1407"/>
      <c r="AI53" s="822" t="str">
        <f t="shared" si="19"/>
        <v/>
      </c>
      <c r="AJ53" s="482"/>
      <c r="AK53" s="1180" t="str" cm="1">
        <f t="array" ref="AK53">_xlfn.IFS(Q53="","",(IFERROR(VALUE(TRIM(SUBSTITUTE(AI53,CHAR(160),""))),0))=0,"Attention : montant présenté entièrement écarté",ROUND(AE53,2)&lt;ROUND(15%,2),"Attention : Montant temps d’affectation inférieur à 15%. La dépense doit être rejetée, ou vérifier que le personnel est affecté sur un autre type d'action",ROUND(AI53,2)&gt;ROUND(Q53,2),"KO : Le montant retenu est supérieur au montant présenté. Merci de revoir la ligne de dépense ou plafonner son montant.",Q53=0,"",ROUND(AI53,2)=ROUND(Q53,2),"OK",ROUND(AI53,2)&lt;ROUND(Q53,2),"Attention : Montant présenté partiellement écarté",TRUE,"")</f>
        <v/>
      </c>
      <c r="AL53" s="485" t="str">
        <f t="shared" si="20"/>
        <v/>
      </c>
    </row>
    <row r="54" spans="1:38" ht="15.95">
      <c r="A54" s="1833"/>
      <c r="B54" s="360">
        <v>46</v>
      </c>
      <c r="C54" s="35"/>
      <c r="D54" s="11"/>
      <c r="E54" s="35"/>
      <c r="F54" s="35"/>
      <c r="G54" s="35"/>
      <c r="H54" s="35"/>
      <c r="I54" s="35"/>
      <c r="J54" s="35"/>
      <c r="K54" s="3"/>
      <c r="L54" s="4"/>
      <c r="M54" s="356" t="str">
        <f t="shared" si="3"/>
        <v/>
      </c>
      <c r="N54" s="1196"/>
      <c r="O54" s="820"/>
      <c r="P54" s="37"/>
      <c r="Q54" s="1401" t="str">
        <f t="shared" si="4"/>
        <v/>
      </c>
      <c r="R54" s="1400"/>
      <c r="S54" s="215" t="str">
        <f t="shared" si="5"/>
        <v/>
      </c>
      <c r="T54" s="57" t="str">
        <f t="shared" si="22"/>
        <v/>
      </c>
      <c r="U54" s="57" t="str">
        <f t="shared" si="7"/>
        <v/>
      </c>
      <c r="V54" s="691" t="str">
        <f t="shared" si="8"/>
        <v/>
      </c>
      <c r="W54" s="418" t="str">
        <f t="shared" si="21"/>
        <v/>
      </c>
      <c r="X54" s="814" t="str">
        <f t="shared" si="9"/>
        <v/>
      </c>
      <c r="Y54" s="57" t="str">
        <f t="shared" si="10"/>
        <v/>
      </c>
      <c r="Z54" s="57" t="str">
        <f t="shared" si="11"/>
        <v/>
      </c>
      <c r="AA54" s="379" t="str">
        <f t="shared" si="12"/>
        <v/>
      </c>
      <c r="AB54" s="809" t="str">
        <f t="shared" si="13"/>
        <v/>
      </c>
      <c r="AC54" s="811" t="str">
        <f t="shared" si="14"/>
        <v/>
      </c>
      <c r="AD54" s="1170" t="str">
        <f t="shared" si="15"/>
        <v/>
      </c>
      <c r="AE54" s="1172" t="str">
        <f t="shared" si="16"/>
        <v/>
      </c>
      <c r="AF54" s="1406" t="str">
        <f t="shared" si="17"/>
        <v/>
      </c>
      <c r="AG54" s="1408" t="str">
        <f t="shared" si="18"/>
        <v/>
      </c>
      <c r="AH54" s="1407"/>
      <c r="AI54" s="822" t="str">
        <f t="shared" si="19"/>
        <v/>
      </c>
      <c r="AJ54" s="482"/>
      <c r="AK54" s="1180" t="str" cm="1">
        <f t="array" ref="AK54">_xlfn.IFS(Q54="","",(IFERROR(VALUE(TRIM(SUBSTITUTE(AI54,CHAR(160),""))),0))=0,"Attention : montant présenté entièrement écarté",ROUND(AE54,2)&lt;ROUND(15%,2),"Attention : Montant temps d’affectation inférieur à 15%. La dépense doit être rejetée, ou vérifier que le personnel est affecté sur un autre type d'action",ROUND(AI54,2)&gt;ROUND(Q54,2),"KO : Le montant retenu est supérieur au montant présenté. Merci de revoir la ligne de dépense ou plafonner son montant.",Q54=0,"",ROUND(AI54,2)=ROUND(Q54,2),"OK",ROUND(AI54,2)&lt;ROUND(Q54,2),"Attention : Montant présenté partiellement écarté",TRUE,"")</f>
        <v/>
      </c>
      <c r="AL54" s="485" t="str">
        <f t="shared" si="20"/>
        <v/>
      </c>
    </row>
    <row r="55" spans="1:38" ht="15.95">
      <c r="A55" s="1833"/>
      <c r="B55" s="360">
        <v>47</v>
      </c>
      <c r="C55" s="35"/>
      <c r="D55" s="11"/>
      <c r="E55" s="35"/>
      <c r="F55" s="35"/>
      <c r="G55" s="35"/>
      <c r="H55" s="35"/>
      <c r="I55" s="35"/>
      <c r="J55" s="35"/>
      <c r="K55" s="3"/>
      <c r="L55" s="4"/>
      <c r="M55" s="356" t="str">
        <f t="shared" si="3"/>
        <v/>
      </c>
      <c r="N55" s="1196"/>
      <c r="O55" s="820"/>
      <c r="P55" s="37"/>
      <c r="Q55" s="1401" t="str">
        <f t="shared" si="4"/>
        <v/>
      </c>
      <c r="R55" s="1400"/>
      <c r="S55" s="215" t="str">
        <f t="shared" si="5"/>
        <v/>
      </c>
      <c r="T55" s="57" t="str">
        <f t="shared" si="22"/>
        <v/>
      </c>
      <c r="U55" s="57" t="str">
        <f t="shared" si="7"/>
        <v/>
      </c>
      <c r="V55" s="691" t="str">
        <f t="shared" si="8"/>
        <v/>
      </c>
      <c r="W55" s="418" t="str">
        <f t="shared" si="21"/>
        <v/>
      </c>
      <c r="X55" s="814" t="str">
        <f t="shared" si="9"/>
        <v/>
      </c>
      <c r="Y55" s="57" t="str">
        <f t="shared" si="10"/>
        <v/>
      </c>
      <c r="Z55" s="57" t="str">
        <f t="shared" si="11"/>
        <v/>
      </c>
      <c r="AA55" s="379" t="str">
        <f t="shared" si="12"/>
        <v/>
      </c>
      <c r="AB55" s="809" t="str">
        <f t="shared" si="13"/>
        <v/>
      </c>
      <c r="AC55" s="811" t="str">
        <f t="shared" si="14"/>
        <v/>
      </c>
      <c r="AD55" s="1170" t="str">
        <f t="shared" si="15"/>
        <v/>
      </c>
      <c r="AE55" s="1172" t="str">
        <f t="shared" si="16"/>
        <v/>
      </c>
      <c r="AF55" s="1406" t="str">
        <f t="shared" si="17"/>
        <v/>
      </c>
      <c r="AG55" s="1408" t="str">
        <f t="shared" si="18"/>
        <v/>
      </c>
      <c r="AH55" s="1407"/>
      <c r="AI55" s="822" t="str">
        <f t="shared" si="19"/>
        <v/>
      </c>
      <c r="AJ55" s="482"/>
      <c r="AK55" s="1180" t="str" cm="1">
        <f t="array" ref="AK55">_xlfn.IFS(Q55="","",(IFERROR(VALUE(TRIM(SUBSTITUTE(AI55,CHAR(160),""))),0))=0,"Attention : montant présenté entièrement écarté",ROUND(AE55,2)&lt;ROUND(15%,2),"Attention : Montant temps d’affectation inférieur à 15%. La dépense doit être rejetée, ou vérifier que le personnel est affecté sur un autre type d'action",ROUND(AI55,2)&gt;ROUND(Q55,2),"KO : Le montant retenu est supérieur au montant présenté. Merci de revoir la ligne de dépense ou plafonner son montant.",Q55=0,"",ROUND(AI55,2)=ROUND(Q55,2),"OK",ROUND(AI55,2)&lt;ROUND(Q55,2),"Attention : Montant présenté partiellement écarté",TRUE,"")</f>
        <v/>
      </c>
      <c r="AL55" s="485" t="str">
        <f t="shared" si="20"/>
        <v/>
      </c>
    </row>
    <row r="56" spans="1:38" ht="15.95">
      <c r="A56" s="1833"/>
      <c r="B56" s="360">
        <v>48</v>
      </c>
      <c r="C56" s="35"/>
      <c r="D56" s="11"/>
      <c r="E56" s="35"/>
      <c r="F56" s="35"/>
      <c r="G56" s="35"/>
      <c r="H56" s="35"/>
      <c r="I56" s="35"/>
      <c r="J56" s="35"/>
      <c r="K56" s="3"/>
      <c r="L56" s="4"/>
      <c r="M56" s="356" t="str">
        <f t="shared" si="3"/>
        <v/>
      </c>
      <c r="N56" s="1196"/>
      <c r="O56" s="820"/>
      <c r="P56" s="37"/>
      <c r="Q56" s="1401" t="str">
        <f t="shared" si="4"/>
        <v/>
      </c>
      <c r="R56" s="1400"/>
      <c r="S56" s="215" t="str">
        <f t="shared" si="5"/>
        <v/>
      </c>
      <c r="T56" s="57" t="str">
        <f t="shared" si="22"/>
        <v/>
      </c>
      <c r="U56" s="57" t="str">
        <f t="shared" si="7"/>
        <v/>
      </c>
      <c r="V56" s="691" t="str">
        <f t="shared" si="8"/>
        <v/>
      </c>
      <c r="W56" s="418" t="str">
        <f t="shared" si="21"/>
        <v/>
      </c>
      <c r="X56" s="814" t="str">
        <f t="shared" si="9"/>
        <v/>
      </c>
      <c r="Y56" s="57" t="str">
        <f t="shared" si="10"/>
        <v/>
      </c>
      <c r="Z56" s="57" t="str">
        <f t="shared" si="11"/>
        <v/>
      </c>
      <c r="AA56" s="379" t="str">
        <f t="shared" si="12"/>
        <v/>
      </c>
      <c r="AB56" s="809" t="str">
        <f t="shared" si="13"/>
        <v/>
      </c>
      <c r="AC56" s="811" t="str">
        <f t="shared" si="14"/>
        <v/>
      </c>
      <c r="AD56" s="1170" t="str">
        <f t="shared" si="15"/>
        <v/>
      </c>
      <c r="AE56" s="1172" t="str">
        <f t="shared" si="16"/>
        <v/>
      </c>
      <c r="AF56" s="1406" t="str">
        <f t="shared" si="17"/>
        <v/>
      </c>
      <c r="AG56" s="1408" t="str">
        <f t="shared" si="18"/>
        <v/>
      </c>
      <c r="AH56" s="1407"/>
      <c r="AI56" s="822" t="str">
        <f t="shared" si="19"/>
        <v/>
      </c>
      <c r="AJ56" s="482"/>
      <c r="AK56" s="1180" t="str" cm="1">
        <f t="array" ref="AK56">_xlfn.IFS(Q56="","",(IFERROR(VALUE(TRIM(SUBSTITUTE(AI56,CHAR(160),""))),0))=0,"Attention : montant présenté entièrement écarté",ROUND(AE56,2)&lt;ROUND(15%,2),"Attention : Montant temps d’affectation inférieur à 15%. La dépense doit être rejetée, ou vérifier que le personnel est affecté sur un autre type d'action",ROUND(AI56,2)&gt;ROUND(Q56,2),"KO : Le montant retenu est supérieur au montant présenté. Merci de revoir la ligne de dépense ou plafonner son montant.",Q56=0,"",ROUND(AI56,2)=ROUND(Q56,2),"OK",ROUND(AI56,2)&lt;ROUND(Q56,2),"Attention : Montant présenté partiellement écarté",TRUE,"")</f>
        <v/>
      </c>
      <c r="AL56" s="485" t="str">
        <f t="shared" si="20"/>
        <v/>
      </c>
    </row>
    <row r="57" spans="1:38" ht="15.95">
      <c r="A57" s="1833"/>
      <c r="B57" s="360">
        <v>49</v>
      </c>
      <c r="C57" s="35"/>
      <c r="D57" s="11"/>
      <c r="E57" s="35"/>
      <c r="F57" s="35"/>
      <c r="G57" s="35"/>
      <c r="H57" s="35"/>
      <c r="I57" s="35"/>
      <c r="J57" s="35"/>
      <c r="K57" s="3"/>
      <c r="L57" s="4"/>
      <c r="M57" s="356" t="str">
        <f t="shared" si="3"/>
        <v/>
      </c>
      <c r="N57" s="1196"/>
      <c r="O57" s="820"/>
      <c r="P57" s="37"/>
      <c r="Q57" s="1401" t="str">
        <f t="shared" si="4"/>
        <v/>
      </c>
      <c r="R57" s="1400"/>
      <c r="S57" s="215" t="str">
        <f t="shared" si="5"/>
        <v/>
      </c>
      <c r="T57" s="57" t="str">
        <f t="shared" si="22"/>
        <v/>
      </c>
      <c r="U57" s="57" t="str">
        <f t="shared" si="7"/>
        <v/>
      </c>
      <c r="V57" s="691" t="str">
        <f t="shared" si="8"/>
        <v/>
      </c>
      <c r="W57" s="418" t="str">
        <f t="shared" si="21"/>
        <v/>
      </c>
      <c r="X57" s="814" t="str">
        <f t="shared" si="9"/>
        <v/>
      </c>
      <c r="Y57" s="57" t="str">
        <f t="shared" si="10"/>
        <v/>
      </c>
      <c r="Z57" s="57" t="str">
        <f t="shared" si="11"/>
        <v/>
      </c>
      <c r="AA57" s="379" t="str">
        <f t="shared" si="12"/>
        <v/>
      </c>
      <c r="AB57" s="809" t="str">
        <f t="shared" si="13"/>
        <v/>
      </c>
      <c r="AC57" s="811" t="str">
        <f t="shared" si="14"/>
        <v/>
      </c>
      <c r="AD57" s="1170" t="str">
        <f t="shared" si="15"/>
        <v/>
      </c>
      <c r="AE57" s="1172" t="str">
        <f t="shared" si="16"/>
        <v/>
      </c>
      <c r="AF57" s="1406" t="str">
        <f t="shared" si="17"/>
        <v/>
      </c>
      <c r="AG57" s="1408" t="str">
        <f t="shared" si="18"/>
        <v/>
      </c>
      <c r="AH57" s="1407"/>
      <c r="AI57" s="822" t="str">
        <f t="shared" si="19"/>
        <v/>
      </c>
      <c r="AJ57" s="482"/>
      <c r="AK57" s="1180" t="str" cm="1">
        <f t="array" ref="AK57">_xlfn.IFS(Q57="","",(IFERROR(VALUE(TRIM(SUBSTITUTE(AI57,CHAR(160),""))),0))=0,"Attention : montant présenté entièrement écarté",ROUND(AE57,2)&lt;ROUND(15%,2),"Attention : Montant temps d’affectation inférieur à 15%. La dépense doit être rejetée, ou vérifier que le personnel est affecté sur un autre type d'action",ROUND(AI57,2)&gt;ROUND(Q57,2),"KO : Le montant retenu est supérieur au montant présenté. Merci de revoir la ligne de dépense ou plafonner son montant.",Q57=0,"",ROUND(AI57,2)=ROUND(Q57,2),"OK",ROUND(AI57,2)&lt;ROUND(Q57,2),"Attention : Montant présenté partiellement écarté",TRUE,"")</f>
        <v/>
      </c>
      <c r="AL57" s="485" t="str">
        <f t="shared" si="20"/>
        <v/>
      </c>
    </row>
    <row r="58" spans="1:38" ht="15.95">
      <c r="A58" s="1833"/>
      <c r="B58" s="360">
        <v>50</v>
      </c>
      <c r="C58" s="35"/>
      <c r="D58" s="11"/>
      <c r="E58" s="35"/>
      <c r="F58" s="35"/>
      <c r="G58" s="35"/>
      <c r="H58" s="35"/>
      <c r="I58" s="35"/>
      <c r="J58" s="35"/>
      <c r="K58" s="3"/>
      <c r="L58" s="4"/>
      <c r="M58" s="356" t="str">
        <f t="shared" si="3"/>
        <v/>
      </c>
      <c r="N58" s="1196"/>
      <c r="O58" s="820"/>
      <c r="P58" s="37"/>
      <c r="Q58" s="1401" t="str">
        <f t="shared" si="4"/>
        <v/>
      </c>
      <c r="R58" s="1400"/>
      <c r="S58" s="215" t="str">
        <f t="shared" si="5"/>
        <v/>
      </c>
      <c r="T58" s="57" t="str">
        <f t="shared" si="22"/>
        <v/>
      </c>
      <c r="U58" s="57" t="str">
        <f t="shared" si="7"/>
        <v/>
      </c>
      <c r="V58" s="691" t="str">
        <f t="shared" si="8"/>
        <v/>
      </c>
      <c r="W58" s="418" t="str">
        <f t="shared" si="21"/>
        <v/>
      </c>
      <c r="X58" s="814" t="str">
        <f t="shared" si="9"/>
        <v/>
      </c>
      <c r="Y58" s="57" t="str">
        <f t="shared" si="10"/>
        <v/>
      </c>
      <c r="Z58" s="57" t="str">
        <f t="shared" si="11"/>
        <v/>
      </c>
      <c r="AA58" s="379" t="str">
        <f t="shared" si="12"/>
        <v/>
      </c>
      <c r="AB58" s="809" t="str">
        <f t="shared" si="13"/>
        <v/>
      </c>
      <c r="AC58" s="811" t="str">
        <f t="shared" si="14"/>
        <v/>
      </c>
      <c r="AD58" s="1170" t="str">
        <f t="shared" si="15"/>
        <v/>
      </c>
      <c r="AE58" s="1172" t="str">
        <f t="shared" si="16"/>
        <v/>
      </c>
      <c r="AF58" s="1406" t="str">
        <f t="shared" si="17"/>
        <v/>
      </c>
      <c r="AG58" s="1408" t="str">
        <f t="shared" si="18"/>
        <v/>
      </c>
      <c r="AH58" s="1407"/>
      <c r="AI58" s="822" t="str">
        <f t="shared" si="19"/>
        <v/>
      </c>
      <c r="AJ58" s="482"/>
      <c r="AK58" s="1180" t="str" cm="1">
        <f t="array" ref="AK58">_xlfn.IFS(Q58="","",(IFERROR(VALUE(TRIM(SUBSTITUTE(AI58,CHAR(160),""))),0))=0,"Attention : montant présenté entièrement écarté",ROUND(AE58,2)&lt;ROUND(15%,2),"Attention : Montant temps d’affectation inférieur à 15%. La dépense doit être rejetée, ou vérifier que le personnel est affecté sur un autre type d'action",ROUND(AI58,2)&gt;ROUND(Q58,2),"KO : Le montant retenu est supérieur au montant présenté. Merci de revoir la ligne de dépense ou plafonner son montant.",Q58=0,"",ROUND(AI58,2)=ROUND(Q58,2),"OK",ROUND(AI58,2)&lt;ROUND(Q58,2),"Attention : Montant présenté partiellement écarté",TRUE,"")</f>
        <v/>
      </c>
      <c r="AL58" s="485" t="str">
        <f t="shared" si="20"/>
        <v/>
      </c>
    </row>
    <row r="59" spans="1:38" ht="15.95">
      <c r="A59" s="1833"/>
      <c r="B59" s="360">
        <v>51</v>
      </c>
      <c r="C59" s="35"/>
      <c r="D59" s="11"/>
      <c r="E59" s="35"/>
      <c r="F59" s="35"/>
      <c r="G59" s="35"/>
      <c r="H59" s="35"/>
      <c r="I59" s="35"/>
      <c r="J59" s="35"/>
      <c r="K59" s="3"/>
      <c r="L59" s="4"/>
      <c r="M59" s="356" t="str">
        <f t="shared" si="3"/>
        <v/>
      </c>
      <c r="N59" s="1196"/>
      <c r="O59" s="820"/>
      <c r="P59" s="37"/>
      <c r="Q59" s="1401" t="str">
        <f t="shared" si="4"/>
        <v/>
      </c>
      <c r="R59" s="1400"/>
      <c r="S59" s="215" t="str">
        <f t="shared" si="5"/>
        <v/>
      </c>
      <c r="T59" s="57" t="str">
        <f t="shared" si="22"/>
        <v/>
      </c>
      <c r="U59" s="57" t="str">
        <f t="shared" si="7"/>
        <v/>
      </c>
      <c r="V59" s="691" t="str">
        <f t="shared" si="8"/>
        <v/>
      </c>
      <c r="W59" s="418" t="str">
        <f t="shared" si="21"/>
        <v/>
      </c>
      <c r="X59" s="814" t="str">
        <f t="shared" si="9"/>
        <v/>
      </c>
      <c r="Y59" s="57" t="str">
        <f t="shared" si="10"/>
        <v/>
      </c>
      <c r="Z59" s="57" t="str">
        <f t="shared" si="11"/>
        <v/>
      </c>
      <c r="AA59" s="379" t="str">
        <f t="shared" si="12"/>
        <v/>
      </c>
      <c r="AB59" s="809" t="str">
        <f t="shared" si="13"/>
        <v/>
      </c>
      <c r="AC59" s="811" t="str">
        <f t="shared" si="14"/>
        <v/>
      </c>
      <c r="AD59" s="1170" t="str">
        <f t="shared" si="15"/>
        <v/>
      </c>
      <c r="AE59" s="1172" t="str">
        <f t="shared" si="16"/>
        <v/>
      </c>
      <c r="AF59" s="1406" t="str">
        <f t="shared" si="17"/>
        <v/>
      </c>
      <c r="AG59" s="1408" t="str">
        <f t="shared" si="18"/>
        <v/>
      </c>
      <c r="AH59" s="1407"/>
      <c r="AI59" s="822" t="str">
        <f t="shared" si="19"/>
        <v/>
      </c>
      <c r="AJ59" s="482"/>
      <c r="AK59" s="1180" t="str" cm="1">
        <f t="array" ref="AK59">_xlfn.IFS(Q59="","",(IFERROR(VALUE(TRIM(SUBSTITUTE(AI59,CHAR(160),""))),0))=0,"Attention : montant présenté entièrement écarté",ROUND(AE59,2)&lt;ROUND(15%,2),"Attention : Montant temps d’affectation inférieur à 15%. La dépense doit être rejetée, ou vérifier que le personnel est affecté sur un autre type d'action",ROUND(AI59,2)&gt;ROUND(Q59,2),"KO : Le montant retenu est supérieur au montant présenté. Merci de revoir la ligne de dépense ou plafonner son montant.",Q59=0,"",ROUND(AI59,2)=ROUND(Q59,2),"OK",ROUND(AI59,2)&lt;ROUND(Q59,2),"Attention : Montant présenté partiellement écarté",TRUE,"")</f>
        <v/>
      </c>
      <c r="AL59" s="485" t="str">
        <f t="shared" si="20"/>
        <v/>
      </c>
    </row>
    <row r="60" spans="1:38" ht="15.95">
      <c r="A60" s="1833"/>
      <c r="B60" s="360">
        <v>52</v>
      </c>
      <c r="C60" s="35"/>
      <c r="D60" s="11"/>
      <c r="E60" s="35"/>
      <c r="F60" s="35"/>
      <c r="G60" s="35"/>
      <c r="H60" s="35"/>
      <c r="I60" s="35"/>
      <c r="J60" s="35"/>
      <c r="K60" s="3"/>
      <c r="L60" s="4"/>
      <c r="M60" s="356" t="str">
        <f t="shared" si="3"/>
        <v/>
      </c>
      <c r="N60" s="1196"/>
      <c r="O60" s="820"/>
      <c r="P60" s="37"/>
      <c r="Q60" s="1401" t="str">
        <f t="shared" si="4"/>
        <v/>
      </c>
      <c r="R60" s="1400"/>
      <c r="S60" s="215" t="str">
        <f t="shared" si="5"/>
        <v/>
      </c>
      <c r="T60" s="57" t="str">
        <f t="shared" si="22"/>
        <v/>
      </c>
      <c r="U60" s="57" t="str">
        <f t="shared" si="7"/>
        <v/>
      </c>
      <c r="V60" s="691" t="str">
        <f t="shared" si="8"/>
        <v/>
      </c>
      <c r="W60" s="418" t="str">
        <f t="shared" si="21"/>
        <v/>
      </c>
      <c r="X60" s="814" t="str">
        <f t="shared" si="9"/>
        <v/>
      </c>
      <c r="Y60" s="57" t="str">
        <f t="shared" si="10"/>
        <v/>
      </c>
      <c r="Z60" s="57" t="str">
        <f t="shared" si="11"/>
        <v/>
      </c>
      <c r="AA60" s="379" t="str">
        <f t="shared" si="12"/>
        <v/>
      </c>
      <c r="AB60" s="809" t="str">
        <f t="shared" si="13"/>
        <v/>
      </c>
      <c r="AC60" s="811" t="str">
        <f t="shared" si="14"/>
        <v/>
      </c>
      <c r="AD60" s="1170" t="str">
        <f t="shared" si="15"/>
        <v/>
      </c>
      <c r="AE60" s="1172" t="str">
        <f t="shared" si="16"/>
        <v/>
      </c>
      <c r="AF60" s="1406" t="str">
        <f t="shared" si="17"/>
        <v/>
      </c>
      <c r="AG60" s="1408" t="str">
        <f t="shared" si="18"/>
        <v/>
      </c>
      <c r="AH60" s="1407"/>
      <c r="AI60" s="822" t="str">
        <f t="shared" si="19"/>
        <v/>
      </c>
      <c r="AJ60" s="482"/>
      <c r="AK60" s="1180" t="str" cm="1">
        <f t="array" ref="AK60">_xlfn.IFS(Q60="","",(IFERROR(VALUE(TRIM(SUBSTITUTE(AI60,CHAR(160),""))),0))=0,"Attention : montant présenté entièrement écarté",ROUND(AE60,2)&lt;ROUND(15%,2),"Attention : Montant temps d’affectation inférieur à 15%. La dépense doit être rejetée, ou vérifier que le personnel est affecté sur un autre type d'action",ROUND(AI60,2)&gt;ROUND(Q60,2),"KO : Le montant retenu est supérieur au montant présenté. Merci de revoir la ligne de dépense ou plafonner son montant.",Q60=0,"",ROUND(AI60,2)=ROUND(Q60,2),"OK",ROUND(AI60,2)&lt;ROUND(Q60,2),"Attention : Montant présenté partiellement écarté",TRUE,"")</f>
        <v/>
      </c>
      <c r="AL60" s="485" t="str">
        <f t="shared" si="20"/>
        <v/>
      </c>
    </row>
    <row r="61" spans="1:38" ht="15.95">
      <c r="A61" s="1833"/>
      <c r="B61" s="360">
        <v>53</v>
      </c>
      <c r="C61" s="35"/>
      <c r="D61" s="11"/>
      <c r="E61" s="35"/>
      <c r="F61" s="35"/>
      <c r="G61" s="35"/>
      <c r="H61" s="35"/>
      <c r="I61" s="35"/>
      <c r="J61" s="35"/>
      <c r="K61" s="3"/>
      <c r="L61" s="4"/>
      <c r="M61" s="356" t="str">
        <f t="shared" si="3"/>
        <v/>
      </c>
      <c r="N61" s="1196"/>
      <c r="O61" s="820"/>
      <c r="P61" s="37"/>
      <c r="Q61" s="1401" t="str">
        <f t="shared" si="4"/>
        <v/>
      </c>
      <c r="R61" s="1400"/>
      <c r="S61" s="215" t="str">
        <f t="shared" si="5"/>
        <v/>
      </c>
      <c r="T61" s="57" t="str">
        <f t="shared" si="22"/>
        <v/>
      </c>
      <c r="U61" s="57" t="str">
        <f t="shared" si="7"/>
        <v/>
      </c>
      <c r="V61" s="691" t="str">
        <f t="shared" si="8"/>
        <v/>
      </c>
      <c r="W61" s="418" t="str">
        <f t="shared" si="21"/>
        <v/>
      </c>
      <c r="X61" s="814" t="str">
        <f t="shared" si="9"/>
        <v/>
      </c>
      <c r="Y61" s="57" t="str">
        <f t="shared" si="10"/>
        <v/>
      </c>
      <c r="Z61" s="57" t="str">
        <f t="shared" si="11"/>
        <v/>
      </c>
      <c r="AA61" s="379" t="str">
        <f t="shared" si="12"/>
        <v/>
      </c>
      <c r="AB61" s="809" t="str">
        <f t="shared" si="13"/>
        <v/>
      </c>
      <c r="AC61" s="811" t="str">
        <f t="shared" si="14"/>
        <v/>
      </c>
      <c r="AD61" s="1170" t="str">
        <f t="shared" si="15"/>
        <v/>
      </c>
      <c r="AE61" s="1172" t="str">
        <f t="shared" si="16"/>
        <v/>
      </c>
      <c r="AF61" s="1406" t="str">
        <f t="shared" si="17"/>
        <v/>
      </c>
      <c r="AG61" s="1408" t="str">
        <f t="shared" si="18"/>
        <v/>
      </c>
      <c r="AH61" s="1407"/>
      <c r="AI61" s="822" t="str">
        <f t="shared" si="19"/>
        <v/>
      </c>
      <c r="AJ61" s="482"/>
      <c r="AK61" s="1180" t="str" cm="1">
        <f t="array" ref="AK61">_xlfn.IFS(Q61="","",(IFERROR(VALUE(TRIM(SUBSTITUTE(AI61,CHAR(160),""))),0))=0,"Attention : montant présenté entièrement écarté",ROUND(AE61,2)&lt;ROUND(15%,2),"Attention : Montant temps d’affectation inférieur à 15%. La dépense doit être rejetée, ou vérifier que le personnel est affecté sur un autre type d'action",ROUND(AI61,2)&gt;ROUND(Q61,2),"KO : Le montant retenu est supérieur au montant présenté. Merci de revoir la ligne de dépense ou plafonner son montant.",Q61=0,"",ROUND(AI61,2)=ROUND(Q61,2),"OK",ROUND(AI61,2)&lt;ROUND(Q61,2),"Attention : Montant présenté partiellement écarté",TRUE,"")</f>
        <v/>
      </c>
      <c r="AL61" s="485" t="str">
        <f t="shared" si="20"/>
        <v/>
      </c>
    </row>
    <row r="62" spans="1:38" ht="15.95">
      <c r="A62" s="1833"/>
      <c r="B62" s="360">
        <v>54</v>
      </c>
      <c r="C62" s="35"/>
      <c r="D62" s="11"/>
      <c r="E62" s="35"/>
      <c r="F62" s="35"/>
      <c r="G62" s="35"/>
      <c r="H62" s="35"/>
      <c r="I62" s="35"/>
      <c r="J62" s="35"/>
      <c r="K62" s="3"/>
      <c r="L62" s="4"/>
      <c r="M62" s="356" t="str">
        <f t="shared" si="3"/>
        <v/>
      </c>
      <c r="N62" s="1196"/>
      <c r="O62" s="820"/>
      <c r="P62" s="37"/>
      <c r="Q62" s="1401" t="str">
        <f t="shared" si="4"/>
        <v/>
      </c>
      <c r="R62" s="1400"/>
      <c r="S62" s="215" t="str">
        <f t="shared" si="5"/>
        <v/>
      </c>
      <c r="T62" s="57" t="str">
        <f t="shared" si="22"/>
        <v/>
      </c>
      <c r="U62" s="57" t="str">
        <f t="shared" si="7"/>
        <v/>
      </c>
      <c r="V62" s="691" t="str">
        <f t="shared" si="8"/>
        <v/>
      </c>
      <c r="W62" s="418" t="str">
        <f t="shared" si="21"/>
        <v/>
      </c>
      <c r="X62" s="814" t="str">
        <f t="shared" si="9"/>
        <v/>
      </c>
      <c r="Y62" s="57" t="str">
        <f t="shared" si="10"/>
        <v/>
      </c>
      <c r="Z62" s="57" t="str">
        <f t="shared" si="11"/>
        <v/>
      </c>
      <c r="AA62" s="379" t="str">
        <f t="shared" si="12"/>
        <v/>
      </c>
      <c r="AB62" s="809" t="str">
        <f t="shared" si="13"/>
        <v/>
      </c>
      <c r="AC62" s="811" t="str">
        <f t="shared" si="14"/>
        <v/>
      </c>
      <c r="AD62" s="1170" t="str">
        <f t="shared" si="15"/>
        <v/>
      </c>
      <c r="AE62" s="1172" t="str">
        <f t="shared" si="16"/>
        <v/>
      </c>
      <c r="AF62" s="1406" t="str">
        <f t="shared" si="17"/>
        <v/>
      </c>
      <c r="AG62" s="1408" t="str">
        <f t="shared" si="18"/>
        <v/>
      </c>
      <c r="AH62" s="1407"/>
      <c r="AI62" s="822" t="str">
        <f t="shared" si="19"/>
        <v/>
      </c>
      <c r="AJ62" s="482"/>
      <c r="AK62" s="1180" t="str" cm="1">
        <f t="array" ref="AK62">_xlfn.IFS(Q62="","",(IFERROR(VALUE(TRIM(SUBSTITUTE(AI62,CHAR(160),""))),0))=0,"Attention : montant présenté entièrement écarté",ROUND(AE62,2)&lt;ROUND(15%,2),"Attention : Montant temps d’affectation inférieur à 15%. La dépense doit être rejetée, ou vérifier que le personnel est affecté sur un autre type d'action",ROUND(AI62,2)&gt;ROUND(Q62,2),"KO : Le montant retenu est supérieur au montant présenté. Merci de revoir la ligne de dépense ou plafonner son montant.",Q62=0,"",ROUND(AI62,2)=ROUND(Q62,2),"OK",ROUND(AI62,2)&lt;ROUND(Q62,2),"Attention : Montant présenté partiellement écarté",TRUE,"")</f>
        <v/>
      </c>
      <c r="AL62" s="485" t="str">
        <f t="shared" si="20"/>
        <v/>
      </c>
    </row>
    <row r="63" spans="1:38" ht="15.95">
      <c r="A63" s="1833"/>
      <c r="B63" s="360">
        <v>55</v>
      </c>
      <c r="C63" s="35"/>
      <c r="D63" s="11"/>
      <c r="E63" s="35"/>
      <c r="F63" s="35"/>
      <c r="G63" s="35"/>
      <c r="H63" s="35"/>
      <c r="I63" s="35"/>
      <c r="J63" s="35"/>
      <c r="K63" s="3"/>
      <c r="L63" s="4"/>
      <c r="M63" s="356" t="str">
        <f t="shared" si="3"/>
        <v/>
      </c>
      <c r="N63" s="1196"/>
      <c r="O63" s="820"/>
      <c r="P63" s="37"/>
      <c r="Q63" s="1401" t="str">
        <f t="shared" si="4"/>
        <v/>
      </c>
      <c r="R63" s="1400"/>
      <c r="S63" s="215" t="str">
        <f t="shared" si="5"/>
        <v/>
      </c>
      <c r="T63" s="57" t="str">
        <f t="shared" si="22"/>
        <v/>
      </c>
      <c r="U63" s="57" t="str">
        <f t="shared" si="7"/>
        <v/>
      </c>
      <c r="V63" s="691" t="str">
        <f t="shared" si="8"/>
        <v/>
      </c>
      <c r="W63" s="418" t="str">
        <f t="shared" si="21"/>
        <v/>
      </c>
      <c r="X63" s="814" t="str">
        <f t="shared" si="9"/>
        <v/>
      </c>
      <c r="Y63" s="57" t="str">
        <f t="shared" si="10"/>
        <v/>
      </c>
      <c r="Z63" s="57" t="str">
        <f t="shared" si="11"/>
        <v/>
      </c>
      <c r="AA63" s="379" t="str">
        <f t="shared" si="12"/>
        <v/>
      </c>
      <c r="AB63" s="809" t="str">
        <f t="shared" si="13"/>
        <v/>
      </c>
      <c r="AC63" s="811" t="str">
        <f t="shared" si="14"/>
        <v/>
      </c>
      <c r="AD63" s="1170" t="str">
        <f t="shared" si="15"/>
        <v/>
      </c>
      <c r="AE63" s="1172" t="str">
        <f t="shared" si="16"/>
        <v/>
      </c>
      <c r="AF63" s="1406" t="str">
        <f t="shared" si="17"/>
        <v/>
      </c>
      <c r="AG63" s="1408" t="str">
        <f t="shared" si="18"/>
        <v/>
      </c>
      <c r="AH63" s="1407"/>
      <c r="AI63" s="822" t="str">
        <f t="shared" si="19"/>
        <v/>
      </c>
      <c r="AJ63" s="482"/>
      <c r="AK63" s="1180" t="str" cm="1">
        <f t="array" ref="AK63">_xlfn.IFS(Q63="","",(IFERROR(VALUE(TRIM(SUBSTITUTE(AI63,CHAR(160),""))),0))=0,"Attention : montant présenté entièrement écarté",ROUND(AE63,2)&lt;ROUND(15%,2),"Attention : Montant temps d’affectation inférieur à 15%. La dépense doit être rejetée, ou vérifier que le personnel est affecté sur un autre type d'action",ROUND(AI63,2)&gt;ROUND(Q63,2),"KO : Le montant retenu est supérieur au montant présenté. Merci de revoir la ligne de dépense ou plafonner son montant.",Q63=0,"",ROUND(AI63,2)=ROUND(Q63,2),"OK",ROUND(AI63,2)&lt;ROUND(Q63,2),"Attention : Montant présenté partiellement écarté",TRUE,"")</f>
        <v/>
      </c>
      <c r="AL63" s="485" t="str">
        <f t="shared" si="20"/>
        <v/>
      </c>
    </row>
    <row r="64" spans="1:38" ht="15.95">
      <c r="A64" s="1833"/>
      <c r="B64" s="360">
        <v>56</v>
      </c>
      <c r="C64" s="35"/>
      <c r="D64" s="11"/>
      <c r="E64" s="35"/>
      <c r="F64" s="35"/>
      <c r="G64" s="35"/>
      <c r="H64" s="35"/>
      <c r="I64" s="35"/>
      <c r="J64" s="35"/>
      <c r="K64" s="3"/>
      <c r="L64" s="4"/>
      <c r="M64" s="356" t="str">
        <f t="shared" si="3"/>
        <v/>
      </c>
      <c r="N64" s="1196"/>
      <c r="O64" s="820"/>
      <c r="P64" s="37"/>
      <c r="Q64" s="1401" t="str">
        <f t="shared" si="4"/>
        <v/>
      </c>
      <c r="R64" s="1400"/>
      <c r="S64" s="215" t="str">
        <f t="shared" si="5"/>
        <v/>
      </c>
      <c r="T64" s="57" t="str">
        <f t="shared" si="22"/>
        <v/>
      </c>
      <c r="U64" s="57" t="str">
        <f t="shared" si="7"/>
        <v/>
      </c>
      <c r="V64" s="691" t="str">
        <f t="shared" si="8"/>
        <v/>
      </c>
      <c r="W64" s="418" t="str">
        <f t="shared" si="21"/>
        <v/>
      </c>
      <c r="X64" s="814" t="str">
        <f t="shared" si="9"/>
        <v/>
      </c>
      <c r="Y64" s="57" t="str">
        <f t="shared" si="10"/>
        <v/>
      </c>
      <c r="Z64" s="57" t="str">
        <f t="shared" si="11"/>
        <v/>
      </c>
      <c r="AA64" s="379" t="str">
        <f t="shared" si="12"/>
        <v/>
      </c>
      <c r="AB64" s="809" t="str">
        <f t="shared" si="13"/>
        <v/>
      </c>
      <c r="AC64" s="811" t="str">
        <f t="shared" si="14"/>
        <v/>
      </c>
      <c r="AD64" s="1170" t="str">
        <f t="shared" si="15"/>
        <v/>
      </c>
      <c r="AE64" s="1172" t="str">
        <f t="shared" si="16"/>
        <v/>
      </c>
      <c r="AF64" s="1406" t="str">
        <f t="shared" si="17"/>
        <v/>
      </c>
      <c r="AG64" s="1408" t="str">
        <f t="shared" si="18"/>
        <v/>
      </c>
      <c r="AH64" s="1407"/>
      <c r="AI64" s="822" t="str">
        <f t="shared" si="19"/>
        <v/>
      </c>
      <c r="AJ64" s="482"/>
      <c r="AK64" s="1180" t="str" cm="1">
        <f t="array" ref="AK64">_xlfn.IFS(Q64="","",(IFERROR(VALUE(TRIM(SUBSTITUTE(AI64,CHAR(160),""))),0))=0,"Attention : montant présenté entièrement écarté",ROUND(AE64,2)&lt;ROUND(15%,2),"Attention : Montant temps d’affectation inférieur à 15%. La dépense doit être rejetée, ou vérifier que le personnel est affecté sur un autre type d'action",ROUND(AI64,2)&gt;ROUND(Q64,2),"KO : Le montant retenu est supérieur au montant présenté. Merci de revoir la ligne de dépense ou plafonner son montant.",Q64=0,"",ROUND(AI64,2)=ROUND(Q64,2),"OK",ROUND(AI64,2)&lt;ROUND(Q64,2),"Attention : Montant présenté partiellement écarté",TRUE,"")</f>
        <v/>
      </c>
      <c r="AL64" s="485" t="str">
        <f t="shared" si="20"/>
        <v/>
      </c>
    </row>
    <row r="65" spans="1:38" ht="15.95">
      <c r="A65" s="1833"/>
      <c r="B65" s="360">
        <v>57</v>
      </c>
      <c r="C65" s="35"/>
      <c r="D65" s="11"/>
      <c r="E65" s="35"/>
      <c r="F65" s="35"/>
      <c r="G65" s="35"/>
      <c r="H65" s="35"/>
      <c r="I65" s="35"/>
      <c r="J65" s="35"/>
      <c r="K65" s="3"/>
      <c r="L65" s="4"/>
      <c r="M65" s="356" t="str">
        <f t="shared" si="3"/>
        <v/>
      </c>
      <c r="N65" s="1196"/>
      <c r="O65" s="820"/>
      <c r="P65" s="37"/>
      <c r="Q65" s="1401" t="str">
        <f t="shared" si="4"/>
        <v/>
      </c>
      <c r="R65" s="1400"/>
      <c r="S65" s="215" t="str">
        <f t="shared" si="5"/>
        <v/>
      </c>
      <c r="T65" s="57" t="str">
        <f t="shared" si="22"/>
        <v/>
      </c>
      <c r="U65" s="57" t="str">
        <f t="shared" si="7"/>
        <v/>
      </c>
      <c r="V65" s="691" t="str">
        <f t="shared" si="8"/>
        <v/>
      </c>
      <c r="W65" s="418" t="str">
        <f t="shared" si="21"/>
        <v/>
      </c>
      <c r="X65" s="814" t="str">
        <f t="shared" si="9"/>
        <v/>
      </c>
      <c r="Y65" s="57" t="str">
        <f t="shared" si="10"/>
        <v/>
      </c>
      <c r="Z65" s="57" t="str">
        <f t="shared" si="11"/>
        <v/>
      </c>
      <c r="AA65" s="379" t="str">
        <f t="shared" si="12"/>
        <v/>
      </c>
      <c r="AB65" s="809" t="str">
        <f t="shared" si="13"/>
        <v/>
      </c>
      <c r="AC65" s="811" t="str">
        <f t="shared" si="14"/>
        <v/>
      </c>
      <c r="AD65" s="1170" t="str">
        <f t="shared" si="15"/>
        <v/>
      </c>
      <c r="AE65" s="1172" t="str">
        <f t="shared" si="16"/>
        <v/>
      </c>
      <c r="AF65" s="1406" t="str">
        <f t="shared" si="17"/>
        <v/>
      </c>
      <c r="AG65" s="1408" t="str">
        <f t="shared" si="18"/>
        <v/>
      </c>
      <c r="AH65" s="1407"/>
      <c r="AI65" s="822" t="str">
        <f t="shared" si="19"/>
        <v/>
      </c>
      <c r="AJ65" s="482"/>
      <c r="AK65" s="1180" t="str" cm="1">
        <f t="array" ref="AK65">_xlfn.IFS(Q65="","",(IFERROR(VALUE(TRIM(SUBSTITUTE(AI65,CHAR(160),""))),0))=0,"Attention : montant présenté entièrement écarté",ROUND(AE65,2)&lt;ROUND(15%,2),"Attention : Montant temps d’affectation inférieur à 15%. La dépense doit être rejetée, ou vérifier que le personnel est affecté sur un autre type d'action",ROUND(AI65,2)&gt;ROUND(Q65,2),"KO : Le montant retenu est supérieur au montant présenté. Merci de revoir la ligne de dépense ou plafonner son montant.",Q65=0,"",ROUND(AI65,2)=ROUND(Q65,2),"OK",ROUND(AI65,2)&lt;ROUND(Q65,2),"Attention : Montant présenté partiellement écarté",TRUE,"")</f>
        <v/>
      </c>
      <c r="AL65" s="485" t="str">
        <f t="shared" si="20"/>
        <v/>
      </c>
    </row>
    <row r="66" spans="1:38" ht="15.95">
      <c r="A66" s="1833"/>
      <c r="B66" s="360">
        <v>58</v>
      </c>
      <c r="C66" s="35"/>
      <c r="D66" s="11"/>
      <c r="E66" s="35"/>
      <c r="F66" s="35"/>
      <c r="G66" s="35"/>
      <c r="H66" s="35"/>
      <c r="I66" s="35"/>
      <c r="J66" s="35"/>
      <c r="K66" s="3"/>
      <c r="L66" s="4"/>
      <c r="M66" s="356" t="str">
        <f t="shared" si="3"/>
        <v/>
      </c>
      <c r="N66" s="1196"/>
      <c r="O66" s="820"/>
      <c r="P66" s="37"/>
      <c r="Q66" s="1401" t="str">
        <f t="shared" si="4"/>
        <v/>
      </c>
      <c r="R66" s="1400"/>
      <c r="S66" s="215" t="str">
        <f t="shared" si="5"/>
        <v/>
      </c>
      <c r="T66" s="57" t="str">
        <f t="shared" si="22"/>
        <v/>
      </c>
      <c r="U66" s="57" t="str">
        <f t="shared" si="7"/>
        <v/>
      </c>
      <c r="V66" s="691" t="str">
        <f t="shared" si="8"/>
        <v/>
      </c>
      <c r="W66" s="418" t="str">
        <f t="shared" si="21"/>
        <v/>
      </c>
      <c r="X66" s="814" t="str">
        <f t="shared" si="9"/>
        <v/>
      </c>
      <c r="Y66" s="57" t="str">
        <f t="shared" si="10"/>
        <v/>
      </c>
      <c r="Z66" s="57" t="str">
        <f t="shared" si="11"/>
        <v/>
      </c>
      <c r="AA66" s="379" t="str">
        <f t="shared" si="12"/>
        <v/>
      </c>
      <c r="AB66" s="809" t="str">
        <f t="shared" si="13"/>
        <v/>
      </c>
      <c r="AC66" s="811" t="str">
        <f t="shared" si="14"/>
        <v/>
      </c>
      <c r="AD66" s="1170" t="str">
        <f t="shared" si="15"/>
        <v/>
      </c>
      <c r="AE66" s="1172" t="str">
        <f t="shared" si="16"/>
        <v/>
      </c>
      <c r="AF66" s="1406" t="str">
        <f t="shared" si="17"/>
        <v/>
      </c>
      <c r="AG66" s="1408" t="str">
        <f t="shared" si="18"/>
        <v/>
      </c>
      <c r="AH66" s="1407"/>
      <c r="AI66" s="822" t="str">
        <f t="shared" si="19"/>
        <v/>
      </c>
      <c r="AJ66" s="482"/>
      <c r="AK66" s="1180" t="str" cm="1">
        <f t="array" ref="AK66">_xlfn.IFS(Q66="","",(IFERROR(VALUE(TRIM(SUBSTITUTE(AI66,CHAR(160),""))),0))=0,"Attention : montant présenté entièrement écarté",ROUND(AE66,2)&lt;ROUND(15%,2),"Attention : Montant temps d’affectation inférieur à 15%. La dépense doit être rejetée, ou vérifier que le personnel est affecté sur un autre type d'action",ROUND(AI66,2)&gt;ROUND(Q66,2),"KO : Le montant retenu est supérieur au montant présenté. Merci de revoir la ligne de dépense ou plafonner son montant.",Q66=0,"",ROUND(AI66,2)=ROUND(Q66,2),"OK",ROUND(AI66,2)&lt;ROUND(Q66,2),"Attention : Montant présenté partiellement écarté",TRUE,"")</f>
        <v/>
      </c>
      <c r="AL66" s="485" t="str">
        <f t="shared" si="20"/>
        <v/>
      </c>
    </row>
    <row r="67" spans="1:38" ht="15.95">
      <c r="A67" s="1833"/>
      <c r="B67" s="360">
        <v>59</v>
      </c>
      <c r="C67" s="35"/>
      <c r="D67" s="11"/>
      <c r="E67" s="35"/>
      <c r="F67" s="35"/>
      <c r="G67" s="35"/>
      <c r="H67" s="35"/>
      <c r="I67" s="35"/>
      <c r="J67" s="35"/>
      <c r="K67" s="3"/>
      <c r="L67" s="4"/>
      <c r="M67" s="356" t="str">
        <f t="shared" si="3"/>
        <v/>
      </c>
      <c r="N67" s="1196"/>
      <c r="O67" s="820"/>
      <c r="P67" s="37"/>
      <c r="Q67" s="1401" t="str">
        <f t="shared" si="4"/>
        <v/>
      </c>
      <c r="R67" s="1400"/>
      <c r="S67" s="215" t="str">
        <f t="shared" si="5"/>
        <v/>
      </c>
      <c r="T67" s="57" t="str">
        <f t="shared" si="22"/>
        <v/>
      </c>
      <c r="U67" s="57" t="str">
        <f t="shared" si="7"/>
        <v/>
      </c>
      <c r="V67" s="691" t="str">
        <f t="shared" si="8"/>
        <v/>
      </c>
      <c r="W67" s="418" t="str">
        <f t="shared" si="21"/>
        <v/>
      </c>
      <c r="X67" s="814" t="str">
        <f t="shared" si="9"/>
        <v/>
      </c>
      <c r="Y67" s="57" t="str">
        <f t="shared" si="10"/>
        <v/>
      </c>
      <c r="Z67" s="57" t="str">
        <f t="shared" si="11"/>
        <v/>
      </c>
      <c r="AA67" s="379" t="str">
        <f t="shared" si="12"/>
        <v/>
      </c>
      <c r="AB67" s="809" t="str">
        <f t="shared" si="13"/>
        <v/>
      </c>
      <c r="AC67" s="811" t="str">
        <f t="shared" si="14"/>
        <v/>
      </c>
      <c r="AD67" s="1170" t="str">
        <f t="shared" si="15"/>
        <v/>
      </c>
      <c r="AE67" s="1172" t="str">
        <f t="shared" si="16"/>
        <v/>
      </c>
      <c r="AF67" s="1406" t="str">
        <f t="shared" si="17"/>
        <v/>
      </c>
      <c r="AG67" s="1408" t="str">
        <f t="shared" si="18"/>
        <v/>
      </c>
      <c r="AH67" s="1407"/>
      <c r="AI67" s="822" t="str">
        <f t="shared" si="19"/>
        <v/>
      </c>
      <c r="AJ67" s="482"/>
      <c r="AK67" s="1180" t="str" cm="1">
        <f t="array" ref="AK67">_xlfn.IFS(Q67="","",(IFERROR(VALUE(TRIM(SUBSTITUTE(AI67,CHAR(160),""))),0))=0,"Attention : montant présenté entièrement écarté",ROUND(AE67,2)&lt;ROUND(15%,2),"Attention : Montant temps d’affectation inférieur à 15%. La dépense doit être rejetée, ou vérifier que le personnel est affecté sur un autre type d'action",ROUND(AI67,2)&gt;ROUND(Q67,2),"KO : Le montant retenu est supérieur au montant présenté. Merci de revoir la ligne de dépense ou plafonner son montant.",Q67=0,"",ROUND(AI67,2)=ROUND(Q67,2),"OK",ROUND(AI67,2)&lt;ROUND(Q67,2),"Attention : Montant présenté partiellement écarté",TRUE,"")</f>
        <v/>
      </c>
      <c r="AL67" s="485" t="str">
        <f t="shared" si="20"/>
        <v/>
      </c>
    </row>
    <row r="68" spans="1:38" ht="17.100000000000001" thickBot="1">
      <c r="B68" s="58">
        <v>60</v>
      </c>
      <c r="C68" s="373"/>
      <c r="D68" s="374"/>
      <c r="E68" s="375"/>
      <c r="F68" s="375"/>
      <c r="G68" s="375"/>
      <c r="H68" s="375"/>
      <c r="I68" s="375"/>
      <c r="J68" s="375"/>
      <c r="K68" s="376"/>
      <c r="L68" s="377"/>
      <c r="M68" s="1398" t="str">
        <f t="shared" si="3"/>
        <v/>
      </c>
      <c r="N68" s="1167"/>
      <c r="O68" s="821"/>
      <c r="P68" s="389"/>
      <c r="Q68" s="1399" t="str">
        <f t="shared" si="4"/>
        <v/>
      </c>
      <c r="R68" s="378"/>
      <c r="S68" s="398" t="str">
        <f t="shared" si="5"/>
        <v/>
      </c>
      <c r="T68" s="57" t="str">
        <f t="shared" si="22"/>
        <v/>
      </c>
      <c r="U68" s="390" t="str">
        <f t="shared" si="7"/>
        <v/>
      </c>
      <c r="V68" s="812" t="str">
        <f t="shared" si="8"/>
        <v/>
      </c>
      <c r="W68" s="418" t="str">
        <f t="shared" si="21"/>
        <v/>
      </c>
      <c r="X68" s="390" t="str">
        <f t="shared" si="9"/>
        <v/>
      </c>
      <c r="Y68" s="390" t="str">
        <f t="shared" si="10"/>
        <v/>
      </c>
      <c r="Z68" s="390" t="str">
        <f t="shared" si="11"/>
        <v/>
      </c>
      <c r="AA68" s="391" t="str">
        <f t="shared" si="12"/>
        <v/>
      </c>
      <c r="AB68" s="810" t="str">
        <f t="shared" si="13"/>
        <v/>
      </c>
      <c r="AC68" s="811" t="str">
        <f t="shared" si="14"/>
        <v/>
      </c>
      <c r="AD68" s="1170" t="str">
        <f t="shared" si="15"/>
        <v/>
      </c>
      <c r="AE68" s="1172" t="str">
        <f t="shared" si="16"/>
        <v/>
      </c>
      <c r="AF68" s="1170" t="str">
        <f t="shared" si="17"/>
        <v/>
      </c>
      <c r="AG68" s="1405" t="str">
        <f t="shared" si="18"/>
        <v/>
      </c>
      <c r="AH68" s="392"/>
      <c r="AI68" s="823" t="str">
        <f t="shared" si="19"/>
        <v/>
      </c>
      <c r="AJ68" s="483"/>
      <c r="AK68" s="574" t="str" cm="1">
        <f t="array" ref="AK68">_xlfn.IFS(Q68="","",(IFERROR(VALUE(TRIM(SUBSTITUTE(AI68,CHAR(160),""))),0))=0,"Attention : montant présenté entièrement écarté",ROUND(AE68,2)&lt;ROUND(15%,2),"Attention : Montant temps d’affectation inférieur à 15%. La dépense doit être rejetée, ou vérifier que le personnel est affecté sur un autre type d'action",ROUND(AI68,2)&gt;ROUND(Q68,2),"KO : Le montant retenu est supérieur au montant présenté. Merci de revoir la ligne de dépense ou plafonner son montant.",Q68=0,"",ROUND(AI68,2)=ROUND(Q68,2),"OK",ROUND(AI68,2)&lt;ROUND(Q68,2),"Attention : Montant présenté partiellement écarté",TRUE,"")</f>
        <v/>
      </c>
      <c r="AL68" s="486" t="str">
        <f t="shared" si="20"/>
        <v/>
      </c>
    </row>
    <row r="69" spans="1:38" ht="21" thickBot="1">
      <c r="C69" s="185"/>
      <c r="D69" s="185"/>
      <c r="E69" s="185"/>
      <c r="F69" s="261"/>
      <c r="G69" s="261"/>
      <c r="H69" s="261"/>
      <c r="I69" s="261"/>
      <c r="J69" s="261"/>
      <c r="K69" s="355"/>
      <c r="L69" s="355"/>
      <c r="M69" s="355"/>
      <c r="N69" s="355"/>
      <c r="O69" s="381"/>
      <c r="P69" s="382" t="s">
        <v>146</v>
      </c>
      <c r="Q69" s="358">
        <f>SUM(Q9:Q68)</f>
        <v>0</v>
      </c>
      <c r="R69" s="262"/>
      <c r="S69" s="185"/>
      <c r="T69" s="185"/>
      <c r="U69" s="185"/>
      <c r="V69" s="185"/>
      <c r="W69" s="185"/>
      <c r="X69" s="185"/>
      <c r="Y69" s="383"/>
      <c r="Z69" s="383"/>
      <c r="AA69" s="355"/>
      <c r="AB69" s="355"/>
      <c r="AC69" s="355"/>
      <c r="AD69" s="355"/>
      <c r="AE69" s="1176"/>
      <c r="AF69" s="383"/>
      <c r="AG69" s="384"/>
      <c r="AH69" s="385" t="s">
        <v>147</v>
      </c>
      <c r="AI69" s="386">
        <f>SUM(AI9:AI68)</f>
        <v>0</v>
      </c>
      <c r="AJ69" s="185"/>
      <c r="AK69" s="387" t="s">
        <v>148</v>
      </c>
      <c r="AL69" s="388">
        <f>SUM(AL9:AL68)</f>
        <v>0</v>
      </c>
    </row>
    <row r="70" spans="1:38" s="266" customFormat="1" ht="20.100000000000001" thickBot="1">
      <c r="A70" s="245"/>
      <c r="B70" s="245"/>
      <c r="C70" s="245"/>
      <c r="D70" s="245"/>
      <c r="E70" s="245"/>
      <c r="F70" s="261"/>
      <c r="G70" s="261"/>
      <c r="H70" s="261"/>
      <c r="I70" s="263"/>
      <c r="J70" s="263"/>
      <c r="K70" s="59"/>
      <c r="L70" s="59"/>
      <c r="M70" s="59"/>
      <c r="N70" s="59"/>
      <c r="O70" s="264"/>
      <c r="P70" s="264"/>
      <c r="Q70" s="60"/>
      <c r="R70" s="265"/>
      <c r="Y70" s="267"/>
      <c r="Z70" s="267"/>
      <c r="AA70" s="59"/>
      <c r="AB70" s="59"/>
      <c r="AC70" s="59"/>
      <c r="AD70" s="59"/>
      <c r="AE70" s="1177"/>
      <c r="AF70" s="267"/>
      <c r="AG70" s="59"/>
      <c r="AH70" s="59"/>
      <c r="AI70" s="59"/>
      <c r="AK70" s="267"/>
      <c r="AL70" s="59"/>
    </row>
    <row r="71" spans="1:38">
      <c r="D71" s="62" t="s">
        <v>149</v>
      </c>
      <c r="E71" s="63"/>
      <c r="F71" s="64"/>
      <c r="G71" s="66"/>
      <c r="I71"/>
      <c r="J71"/>
    </row>
    <row r="72" spans="1:38">
      <c r="D72" s="65"/>
      <c r="E72" s="66"/>
      <c r="F72" s="67"/>
      <c r="G72" s="66"/>
      <c r="I72"/>
      <c r="J72"/>
    </row>
    <row r="73" spans="1:38">
      <c r="D73" s="68" t="s">
        <v>150</v>
      </c>
      <c r="E73" s="69"/>
      <c r="F73" s="67"/>
      <c r="G73" s="66"/>
      <c r="I73"/>
      <c r="J73"/>
    </row>
    <row r="74" spans="1:38">
      <c r="D74" s="68"/>
      <c r="E74" s="66"/>
      <c r="F74" s="67"/>
      <c r="G74" s="66"/>
      <c r="I74"/>
      <c r="J74"/>
    </row>
    <row r="75" spans="1:38">
      <c r="D75" s="68"/>
      <c r="E75" s="66"/>
      <c r="F75" s="67"/>
      <c r="G75" s="66"/>
      <c r="I75"/>
      <c r="J75"/>
    </row>
    <row r="76" spans="1:38">
      <c r="D76" s="68" t="s">
        <v>151</v>
      </c>
      <c r="E76" s="69"/>
      <c r="F76" s="67"/>
      <c r="G76" s="66"/>
      <c r="I76"/>
      <c r="J76"/>
    </row>
    <row r="77" spans="1:38">
      <c r="D77" s="70"/>
      <c r="E77" s="66"/>
      <c r="F77" s="67"/>
      <c r="G77" s="66"/>
      <c r="I77"/>
      <c r="J77"/>
    </row>
    <row r="78" spans="1:38">
      <c r="D78" s="70"/>
      <c r="E78" s="66"/>
      <c r="F78" s="67"/>
      <c r="G78" s="66"/>
      <c r="I78"/>
      <c r="J78"/>
    </row>
    <row r="79" spans="1:38">
      <c r="D79" s="70"/>
      <c r="E79" s="66"/>
      <c r="F79" s="67"/>
      <c r="G79" s="66"/>
      <c r="I79"/>
      <c r="J79"/>
    </row>
    <row r="80" spans="1:38">
      <c r="D80" s="70"/>
      <c r="E80" s="66"/>
      <c r="F80" s="67"/>
      <c r="G80" s="66"/>
      <c r="I80"/>
      <c r="J80"/>
    </row>
    <row r="81" spans="4:10" ht="15.95" thickBot="1">
      <c r="D81" s="71"/>
      <c r="E81" s="72"/>
      <c r="F81" s="73"/>
      <c r="G81" s="66"/>
      <c r="I81"/>
      <c r="J81"/>
    </row>
  </sheetData>
  <sheetProtection algorithmName="SHA-512" hashValue="AwSAy8PeJZbcTZAGX6L9HIZjOpDtzIANINiZnxgQlXOinMmlnqg36rizHARc3bSRXgMCi9IMxJ4YWNjIG6iwiw==" saltValue="V6GBrENzK2dpblXkqJc6Kw==" spinCount="100000" sheet="1" formatCells="0" formatColumns="0" formatRows="0" insertColumns="0" insertRows="0" insertHyperlinks="0" deleteColumns="0" deleteRows="0" sort="0" autoFilter="0" pivotTables="0"/>
  <mergeCells count="10">
    <mergeCell ref="D2:I2"/>
    <mergeCell ref="D3:I3"/>
    <mergeCell ref="S5:AL5"/>
    <mergeCell ref="A8:A55"/>
    <mergeCell ref="A56:A67"/>
    <mergeCell ref="C4:D4"/>
    <mergeCell ref="K6:M6"/>
    <mergeCell ref="AA6:AC6"/>
    <mergeCell ref="B5:R5"/>
    <mergeCell ref="B6:B7"/>
  </mergeCells>
  <phoneticPr fontId="31" type="noConversion"/>
  <conditionalFormatting sqref="S9:AG68">
    <cfRule type="expression" dxfId="51" priority="73">
      <formula>S9&lt;&gt;C9</formula>
    </cfRule>
  </conditionalFormatting>
  <conditionalFormatting sqref="AH9:AH68">
    <cfRule type="containsText" dxfId="50" priority="3" stopIfTrue="1" operator="containsText" text="Non">
      <formula>NOT(ISERROR(SEARCH("Non",AH9)))</formula>
    </cfRule>
  </conditionalFormatting>
  <conditionalFormatting sqref="AK8:AK68">
    <cfRule type="containsText" dxfId="49" priority="4" operator="containsText" text="Attention">
      <formula>NOT(ISERROR(SEARCH("Attention",AK8)))</formula>
    </cfRule>
    <cfRule type="containsText" dxfId="48" priority="8" stopIfTrue="1" operator="containsText" text="KO">
      <formula>NOT(ISERROR(SEARCH("KO",AK8)))</formula>
    </cfRule>
    <cfRule type="containsText" dxfId="47" priority="9" operator="containsText" text="OK">
      <formula>NOT(ISERROR(SEARCH("OK",AK8)))</formula>
    </cfRule>
  </conditionalFormatting>
  <dataValidations count="6">
    <dataValidation type="list" allowBlank="1" showInputMessage="1" showErrorMessage="1" sqref="J8:J68" xr:uid="{2DD15F6A-A86F-4ECA-A6A8-3216617C257E}">
      <formula1>"Fiche de paie,Journal de paie,Déclaration sociale nominative,Autre document probant"</formula1>
    </dataValidation>
    <dataValidation type="list" allowBlank="1" showInputMessage="1" showErrorMessage="1" sqref="D8:D68 T9:T68" xr:uid="{AF65B5A7-12F8-4CD2-B0C7-A1870A157940}">
      <formula1>"Création groupes opérationnels, Projets groupes opérationnels, Diffusion résultats"</formula1>
    </dataValidation>
    <dataValidation type="list" allowBlank="1" showInputMessage="1" showErrorMessage="1" sqref="AH8:AH68" xr:uid="{B2F31B55-3015-4C69-9268-BE4B7D6AFA29}">
      <formula1>"Oui,Non,Sans objet"</formula1>
    </dataValidation>
    <dataValidation type="list" allowBlank="1" showInputMessage="1" showErrorMessage="1" sqref="I8:I68" xr:uid="{87A3D2D9-656C-4D2D-B8D0-235AA25AC538}">
      <formula1>"Oui,Non"</formula1>
    </dataValidation>
    <dataValidation type="list" allowBlank="1" showInputMessage="1" showErrorMessage="1" sqref="C8:C68" xr:uid="{3BC8BEE1-514A-4DB0-AAC9-D333666708D5}">
      <formula1>"Chef de file,Partenaire 1,Partenaire 2, Partenaire 3,Partenaire 4, Partenaire 5,Partenaire 6,Partenaire 7"</formula1>
    </dataValidation>
    <dataValidation type="list" allowBlank="1" showInputMessage="1" showErrorMessage="1" sqref="G9:G69" xr:uid="{7E7427CB-FDE3-418F-A7C6-C78F3EF7AFC9}">
      <formula1>"Directeur chercheur,Ingénieur,Technicien,Non"</formula1>
    </dataValidation>
  </dataValidations>
  <pageMargins left="0.7" right="0.7" top="0.75" bottom="0.75" header="0.3" footer="0.3"/>
  <pageSetup paperSize="9" orientation="portrait" verticalDpi="597"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6EF82-214B-B245-BF1B-29AE0A1893B2}">
  <sheetPr codeName="Feuil5">
    <tabColor theme="8" tint="0.59999389629810485"/>
  </sheetPr>
  <dimension ref="B1:CH114"/>
  <sheetViews>
    <sheetView showGridLines="0" topLeftCell="A2" zoomScale="40" zoomScaleNormal="40" workbookViewId="0">
      <pane xSplit="2" topLeftCell="CF1" activePane="topRight" state="frozen"/>
      <selection pane="topRight" activeCell="DI9" sqref="DI9"/>
      <selection activeCell="A9" sqref="A9"/>
    </sheetView>
  </sheetViews>
  <sheetFormatPr defaultColWidth="11.42578125" defaultRowHeight="15" outlineLevelCol="1"/>
  <cols>
    <col min="1" max="1" width="5.42578125" style="185" customWidth="1"/>
    <col min="2" max="2" width="10.42578125" style="185" customWidth="1"/>
    <col min="3" max="3" width="20.42578125" style="185" customWidth="1"/>
    <col min="4" max="4" width="48.42578125" style="185" customWidth="1"/>
    <col min="5" max="5" width="52.42578125" style="185" customWidth="1"/>
    <col min="6" max="6" width="36.140625" style="185" customWidth="1"/>
    <col min="7" max="8" width="32.140625" style="185" customWidth="1"/>
    <col min="9" max="10" width="21.140625" style="185" customWidth="1"/>
    <col min="11" max="11" width="42.85546875" style="185" customWidth="1"/>
    <col min="12" max="12" width="18.42578125" style="185" customWidth="1"/>
    <col min="13" max="13" width="20.85546875" style="185" customWidth="1"/>
    <col min="14" max="14" width="19.42578125" style="185" customWidth="1"/>
    <col min="15" max="16" width="19.140625" style="185" customWidth="1"/>
    <col min="17" max="19" width="14.42578125" style="185" customWidth="1"/>
    <col min="20" max="20" width="18.85546875" style="185" customWidth="1"/>
    <col min="21" max="21" width="16.42578125" style="185" customWidth="1"/>
    <col min="22" max="24" width="20.85546875" style="185" customWidth="1"/>
    <col min="25" max="26" width="16.42578125" style="185" customWidth="1"/>
    <col min="27" max="29" width="21.42578125" style="185" customWidth="1"/>
    <col min="30" max="30" width="17.42578125" style="185" customWidth="1"/>
    <col min="31" max="31" width="18.42578125" style="185" customWidth="1"/>
    <col min="32" max="32" width="21.42578125" style="185" customWidth="1"/>
    <col min="33" max="36" width="19" style="185" customWidth="1"/>
    <col min="37" max="37" width="33.42578125" style="185" customWidth="1"/>
    <col min="38" max="38" width="34.42578125" style="185" customWidth="1"/>
    <col min="39" max="39" width="18.42578125" style="185" hidden="1" customWidth="1" outlineLevel="1"/>
    <col min="40" max="41" width="16.85546875" style="185" hidden="1" customWidth="1" outlineLevel="1"/>
    <col min="42" max="42" width="18" style="185" hidden="1" customWidth="1" outlineLevel="1"/>
    <col min="43" max="43" width="23.42578125" style="185" hidden="1" customWidth="1" outlineLevel="1"/>
    <col min="44" max="44" width="42" style="185" hidden="1" customWidth="1" outlineLevel="1"/>
    <col min="45" max="46" width="20.42578125" style="185" hidden="1" customWidth="1" outlineLevel="1"/>
    <col min="47" max="47" width="19.42578125" style="185" hidden="1" customWidth="1" outlineLevel="1"/>
    <col min="48" max="48" width="18.42578125" style="185" hidden="1" customWidth="1" outlineLevel="1"/>
    <col min="49" max="49" width="16.85546875" style="185" hidden="1" customWidth="1" outlineLevel="1"/>
    <col min="50" max="50" width="18" style="185" hidden="1" customWidth="1" outlineLevel="1"/>
    <col min="51" max="53" width="17.85546875" style="185" hidden="1" customWidth="1" outlineLevel="1"/>
    <col min="54" max="58" width="16.42578125" style="185" hidden="1" customWidth="1" outlineLevel="1"/>
    <col min="59" max="59" width="14.42578125" style="185" hidden="1" customWidth="1" outlineLevel="1"/>
    <col min="60" max="60" width="18.85546875" style="185" hidden="1" customWidth="1" outlineLevel="1"/>
    <col min="61" max="61" width="16.42578125" style="185" hidden="1" customWidth="1" outlineLevel="1"/>
    <col min="62" max="62" width="14.85546875" style="185" hidden="1" customWidth="1" outlineLevel="1"/>
    <col min="63" max="63" width="16" style="185" hidden="1" customWidth="1" outlineLevel="1"/>
    <col min="64" max="64" width="15.140625" style="185" hidden="1" customWidth="1" outlineLevel="1"/>
    <col min="65" max="65" width="15.42578125" style="185" hidden="1" customWidth="1" outlineLevel="1"/>
    <col min="66" max="66" width="24.42578125" style="185" hidden="1" customWidth="1" outlineLevel="1"/>
    <col min="67" max="67" width="15" style="185" hidden="1" customWidth="1" outlineLevel="1"/>
    <col min="68" max="68" width="15.42578125" style="185" hidden="1" customWidth="1" outlineLevel="1"/>
    <col min="69" max="69" width="16" style="185" hidden="1" customWidth="1" outlineLevel="1"/>
    <col min="70" max="70" width="16" style="405" hidden="1" customWidth="1" outlineLevel="1"/>
    <col min="71" max="71" width="18.85546875" style="185" hidden="1" customWidth="1" outlineLevel="1"/>
    <col min="72" max="72" width="16" style="185" hidden="1" customWidth="1" outlineLevel="1"/>
    <col min="73" max="73" width="30" style="185" hidden="1" customWidth="1" outlineLevel="1"/>
    <col min="74" max="74" width="24.85546875" style="185" hidden="1" customWidth="1" outlineLevel="1"/>
    <col min="75" max="76" width="16" style="185" hidden="1" customWidth="1" outlineLevel="1"/>
    <col min="77" max="77" width="27" style="185" hidden="1" customWidth="1" outlineLevel="1"/>
    <col min="78" max="78" width="41.42578125" style="185" hidden="1" customWidth="1" outlineLevel="1"/>
    <col min="79" max="79" width="33.140625" style="185" hidden="1" customWidth="1" outlineLevel="1"/>
    <col min="80" max="80" width="22.85546875" style="185" hidden="1" customWidth="1" outlineLevel="1"/>
    <col min="81" max="83" width="16" style="185" hidden="1" customWidth="1" outlineLevel="1"/>
    <col min="84" max="84" width="11.42578125" collapsed="1"/>
    <col min="85" max="16384" width="11.42578125" style="185"/>
  </cols>
  <sheetData>
    <row r="1" spans="2:84" ht="15.95" thickBot="1"/>
    <row r="2" spans="2:84" ht="39.950000000000003" customHeight="1">
      <c r="D2" s="1857" t="s">
        <v>152</v>
      </c>
      <c r="E2" s="1858"/>
      <c r="F2" s="1858"/>
      <c r="G2" s="1858"/>
      <c r="H2" s="1858"/>
      <c r="I2" s="1858"/>
      <c r="J2" s="1858"/>
      <c r="K2" s="1859"/>
      <c r="L2" s="268"/>
      <c r="M2" s="1851" t="s">
        <v>153</v>
      </c>
      <c r="N2" s="1852"/>
      <c r="O2" s="1852"/>
      <c r="P2" s="1852"/>
      <c r="Q2" s="1852"/>
      <c r="R2" s="1852"/>
      <c r="S2" s="1852"/>
      <c r="T2" s="1852"/>
      <c r="U2" s="1852"/>
      <c r="V2" s="1852"/>
      <c r="W2" s="1852"/>
      <c r="X2" s="1852"/>
      <c r="Y2" s="1852"/>
      <c r="Z2" s="1852"/>
      <c r="AA2" s="1853"/>
      <c r="AB2" s="1200"/>
      <c r="AC2" s="1200"/>
      <c r="AD2" s="269"/>
      <c r="AE2" s="269"/>
      <c r="AF2" s="269"/>
      <c r="AG2" s="269"/>
      <c r="AH2" s="269"/>
      <c r="AI2" s="269"/>
      <c r="AJ2" s="269"/>
      <c r="AK2" s="269"/>
      <c r="AL2" s="269"/>
    </row>
    <row r="3" spans="2:84" ht="408.95" customHeight="1" thickBot="1">
      <c r="D3" s="1860" t="s">
        <v>154</v>
      </c>
      <c r="E3" s="1861"/>
      <c r="F3" s="1861"/>
      <c r="G3" s="1861"/>
      <c r="H3" s="1861"/>
      <c r="I3" s="1861"/>
      <c r="J3" s="1861"/>
      <c r="K3" s="1862"/>
      <c r="L3" s="270"/>
      <c r="M3" s="1854"/>
      <c r="N3" s="1855"/>
      <c r="O3" s="1855"/>
      <c r="P3" s="1855"/>
      <c r="Q3" s="1855"/>
      <c r="R3" s="1855"/>
      <c r="S3" s="1855"/>
      <c r="T3" s="1855"/>
      <c r="U3" s="1855"/>
      <c r="V3" s="1855"/>
      <c r="W3" s="1855"/>
      <c r="X3" s="1855"/>
      <c r="Y3" s="1855"/>
      <c r="Z3" s="1855"/>
      <c r="AA3" s="1856"/>
      <c r="AB3" s="1200"/>
      <c r="AC3" s="1200"/>
      <c r="AD3" s="271"/>
      <c r="AE3" s="271"/>
      <c r="AF3" s="271"/>
      <c r="AG3" s="271"/>
      <c r="AH3" s="271"/>
      <c r="AI3" s="271"/>
      <c r="AJ3" s="271"/>
      <c r="AK3" s="271"/>
      <c r="AL3" s="271"/>
      <c r="BT3" s="272"/>
    </row>
    <row r="4" spans="2: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BZ4"/>
    </row>
    <row r="5" spans="2:84">
      <c r="B5"/>
      <c r="C5"/>
      <c r="D5"/>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BZ5"/>
    </row>
    <row r="6" spans="2:84" ht="15.95" thickBot="1">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BZ6"/>
    </row>
    <row r="7" spans="2:84" ht="38.1" customHeight="1" thickBot="1">
      <c r="B7" s="1863" t="s">
        <v>155</v>
      </c>
      <c r="C7" s="1864"/>
      <c r="D7" s="1864"/>
      <c r="E7" s="1864"/>
      <c r="F7" s="1864"/>
      <c r="G7" s="1864"/>
      <c r="H7" s="1864"/>
      <c r="I7" s="1864"/>
      <c r="J7" s="1864"/>
      <c r="K7" s="1864"/>
      <c r="L7" s="1864"/>
      <c r="M7" s="1864"/>
      <c r="N7" s="1864"/>
      <c r="O7" s="1864"/>
      <c r="P7" s="1865"/>
      <c r="Q7" s="1865"/>
      <c r="R7" s="1865"/>
      <c r="S7" s="1865"/>
      <c r="T7" s="1865"/>
      <c r="U7" s="1865"/>
      <c r="V7" s="1865"/>
      <c r="W7" s="1865"/>
      <c r="X7" s="1865"/>
      <c r="Y7" s="1865"/>
      <c r="Z7" s="1865"/>
      <c r="AA7" s="1865"/>
      <c r="AB7" s="1865"/>
      <c r="AC7" s="1865"/>
      <c r="AD7" s="1865"/>
      <c r="AE7" s="1864"/>
      <c r="AF7" s="1864"/>
      <c r="AG7" s="1864"/>
      <c r="AH7" s="1864"/>
      <c r="AI7" s="1864"/>
      <c r="AJ7" s="1845" t="s">
        <v>156</v>
      </c>
      <c r="AK7" s="1846"/>
      <c r="AL7" s="1846"/>
      <c r="AM7" s="1846"/>
      <c r="AN7" s="1846"/>
      <c r="AO7" s="1846"/>
      <c r="AP7" s="1846"/>
      <c r="AQ7" s="1846"/>
      <c r="AR7" s="1846"/>
      <c r="AS7" s="1846"/>
      <c r="AT7" s="1846"/>
      <c r="AU7" s="1846"/>
      <c r="AV7" s="1846"/>
      <c r="AW7" s="1846"/>
      <c r="AX7" s="1846"/>
      <c r="AY7" s="1846"/>
      <c r="AZ7" s="1846"/>
      <c r="BA7" s="1846"/>
      <c r="BB7" s="1846"/>
      <c r="BC7" s="1846"/>
      <c r="BD7" s="1846"/>
      <c r="BE7" s="1846"/>
      <c r="BF7" s="1846"/>
      <c r="BG7" s="1846"/>
      <c r="BH7" s="1846"/>
      <c r="BI7" s="1846"/>
      <c r="BJ7" s="1846"/>
      <c r="BK7" s="1846"/>
      <c r="BL7" s="1846"/>
      <c r="BM7" s="1846"/>
      <c r="BN7" s="1846"/>
      <c r="BO7" s="1846"/>
      <c r="BP7" s="1846"/>
      <c r="BQ7" s="1846"/>
      <c r="BR7" s="1846"/>
      <c r="BS7" s="1846"/>
      <c r="BT7" s="1846"/>
      <c r="BU7" s="1846"/>
      <c r="BV7" s="1846"/>
      <c r="BW7" s="1846"/>
      <c r="BX7" s="1846"/>
      <c r="BY7" s="1847"/>
      <c r="BZ7"/>
      <c r="CD7"/>
      <c r="CE7"/>
    </row>
    <row r="8" spans="2:84" ht="83.1" customHeight="1" thickTop="1">
      <c r="B8" s="1848" t="s">
        <v>97</v>
      </c>
      <c r="C8" s="113" t="s">
        <v>98</v>
      </c>
      <c r="D8" s="114" t="s">
        <v>77</v>
      </c>
      <c r="E8" s="114" t="s">
        <v>157</v>
      </c>
      <c r="F8" s="114" t="s">
        <v>158</v>
      </c>
      <c r="G8" s="114" t="s">
        <v>159</v>
      </c>
      <c r="H8" s="1453" t="s">
        <v>160</v>
      </c>
      <c r="I8" s="114" t="s">
        <v>161</v>
      </c>
      <c r="J8" s="114" t="s">
        <v>162</v>
      </c>
      <c r="K8" s="114" t="s">
        <v>163</v>
      </c>
      <c r="L8" s="114" t="s">
        <v>164</v>
      </c>
      <c r="M8" s="114" t="s">
        <v>165</v>
      </c>
      <c r="N8" s="114" t="s">
        <v>166</v>
      </c>
      <c r="O8" s="340" t="s">
        <v>167</v>
      </c>
      <c r="P8" s="1550" t="s">
        <v>168</v>
      </c>
      <c r="Q8" s="1551" t="s">
        <v>169</v>
      </c>
      <c r="R8" s="1551" t="s">
        <v>170</v>
      </c>
      <c r="S8" s="1551" t="s">
        <v>171</v>
      </c>
      <c r="T8" s="1556" t="s">
        <v>172</v>
      </c>
      <c r="U8" s="1557" t="s">
        <v>173</v>
      </c>
      <c r="V8" s="1558" t="s">
        <v>174</v>
      </c>
      <c r="W8" s="1558" t="s">
        <v>175</v>
      </c>
      <c r="X8" s="1558" t="s">
        <v>176</v>
      </c>
      <c r="Y8" s="1563" t="s">
        <v>177</v>
      </c>
      <c r="Z8" s="1564" t="s">
        <v>178</v>
      </c>
      <c r="AA8" s="1565" t="s">
        <v>179</v>
      </c>
      <c r="AB8" s="1565" t="s">
        <v>180</v>
      </c>
      <c r="AC8" s="1565" t="s">
        <v>181</v>
      </c>
      <c r="AD8" s="1566" t="s">
        <v>182</v>
      </c>
      <c r="AE8" s="1515" t="s">
        <v>183</v>
      </c>
      <c r="AF8" s="114" t="s">
        <v>32</v>
      </c>
      <c r="AG8" s="114" t="s">
        <v>184</v>
      </c>
      <c r="AH8" s="114" t="s">
        <v>33</v>
      </c>
      <c r="AI8" s="340" t="s">
        <v>34</v>
      </c>
      <c r="AJ8" s="1215" t="s">
        <v>98</v>
      </c>
      <c r="AK8" s="274" t="s">
        <v>77</v>
      </c>
      <c r="AL8" s="274" t="s">
        <v>185</v>
      </c>
      <c r="AM8" s="274" t="s">
        <v>158</v>
      </c>
      <c r="AN8" s="274" t="s">
        <v>159</v>
      </c>
      <c r="AO8" s="1454" t="s">
        <v>160</v>
      </c>
      <c r="AP8" s="274" t="s">
        <v>161</v>
      </c>
      <c r="AQ8" s="274" t="s">
        <v>162</v>
      </c>
      <c r="AR8" s="274" t="s">
        <v>163</v>
      </c>
      <c r="AS8" s="274" t="s">
        <v>164</v>
      </c>
      <c r="AT8" s="274" t="s">
        <v>165</v>
      </c>
      <c r="AU8" s="274" t="s">
        <v>166</v>
      </c>
      <c r="AV8" s="1251" t="s">
        <v>167</v>
      </c>
      <c r="AW8" s="1531" t="s">
        <v>168</v>
      </c>
      <c r="AX8" s="1532" t="s">
        <v>186</v>
      </c>
      <c r="AY8" s="1532" t="s">
        <v>170</v>
      </c>
      <c r="AZ8" s="1532" t="s">
        <v>171</v>
      </c>
      <c r="BA8" s="1536" t="s">
        <v>172</v>
      </c>
      <c r="BB8" s="1525" t="s">
        <v>173</v>
      </c>
      <c r="BC8" s="1526" t="s">
        <v>174</v>
      </c>
      <c r="BD8" s="1526" t="s">
        <v>187</v>
      </c>
      <c r="BE8" s="1526" t="s">
        <v>188</v>
      </c>
      <c r="BF8" s="1538" t="s">
        <v>189</v>
      </c>
      <c r="BG8" s="1541" t="s">
        <v>178</v>
      </c>
      <c r="BH8" s="1542" t="s">
        <v>179</v>
      </c>
      <c r="BI8" s="1542" t="s">
        <v>190</v>
      </c>
      <c r="BJ8" s="1542" t="s">
        <v>191</v>
      </c>
      <c r="BK8" s="1543" t="s">
        <v>192</v>
      </c>
      <c r="BL8" s="1520" t="s">
        <v>193</v>
      </c>
      <c r="BM8" s="274" t="s">
        <v>114</v>
      </c>
      <c r="BN8" s="274" t="s">
        <v>194</v>
      </c>
      <c r="BO8" s="274" t="s">
        <v>195</v>
      </c>
      <c r="BP8" s="274" t="s">
        <v>196</v>
      </c>
      <c r="BQ8" s="274" t="s">
        <v>197</v>
      </c>
      <c r="BR8" s="274" t="s">
        <v>198</v>
      </c>
      <c r="BS8" s="274" t="s">
        <v>199</v>
      </c>
      <c r="BT8" s="274" t="s">
        <v>116</v>
      </c>
      <c r="BU8" s="274" t="s">
        <v>200</v>
      </c>
      <c r="BV8" s="274" t="s">
        <v>52</v>
      </c>
      <c r="BW8" s="274" t="s">
        <v>201</v>
      </c>
      <c r="BX8" s="274" t="s">
        <v>202</v>
      </c>
      <c r="BY8" s="905" t="s">
        <v>203</v>
      </c>
      <c r="CB8"/>
      <c r="CF8" s="185"/>
    </row>
    <row r="9" spans="2:84" s="291" customFormat="1" ht="224.1" customHeight="1">
      <c r="B9" s="1848"/>
      <c r="C9" s="328" t="s">
        <v>117</v>
      </c>
      <c r="D9" s="328" t="s">
        <v>118</v>
      </c>
      <c r="E9" s="1301" t="s">
        <v>204</v>
      </c>
      <c r="F9" s="328" t="s">
        <v>205</v>
      </c>
      <c r="G9" s="328" t="s">
        <v>206</v>
      </c>
      <c r="H9" s="1293" t="s">
        <v>207</v>
      </c>
      <c r="I9" s="1293" t="s">
        <v>208</v>
      </c>
      <c r="J9" s="1302" t="s">
        <v>209</v>
      </c>
      <c r="K9" s="1303" t="s">
        <v>210</v>
      </c>
      <c r="L9" s="1303" t="s">
        <v>211</v>
      </c>
      <c r="M9" s="1303" t="s">
        <v>212</v>
      </c>
      <c r="N9" s="1301" t="s">
        <v>213</v>
      </c>
      <c r="O9" s="1300" t="s">
        <v>214</v>
      </c>
      <c r="P9" s="1573" t="s">
        <v>215</v>
      </c>
      <c r="Q9" s="1574" t="s">
        <v>216</v>
      </c>
      <c r="R9" s="1574" t="s">
        <v>217</v>
      </c>
      <c r="S9" s="1575" t="s">
        <v>218</v>
      </c>
      <c r="T9" s="1576" t="s">
        <v>219</v>
      </c>
      <c r="U9" s="1577" t="s">
        <v>215</v>
      </c>
      <c r="V9" s="1578" t="s">
        <v>216</v>
      </c>
      <c r="W9" s="1578" t="s">
        <v>217</v>
      </c>
      <c r="X9" s="1579" t="s">
        <v>218</v>
      </c>
      <c r="Y9" s="1580" t="s">
        <v>219</v>
      </c>
      <c r="Z9" s="1581" t="s">
        <v>215</v>
      </c>
      <c r="AA9" s="1582" t="s">
        <v>216</v>
      </c>
      <c r="AB9" s="1582" t="s">
        <v>217</v>
      </c>
      <c r="AC9" s="1583" t="s">
        <v>218</v>
      </c>
      <c r="AD9" s="1584" t="s">
        <v>219</v>
      </c>
      <c r="AE9" s="1585" t="s">
        <v>220</v>
      </c>
      <c r="AF9" s="1301" t="s">
        <v>57</v>
      </c>
      <c r="AG9" s="1303" t="s">
        <v>57</v>
      </c>
      <c r="AH9" s="1303" t="s">
        <v>57</v>
      </c>
      <c r="AI9" s="1318" t="s">
        <v>221</v>
      </c>
      <c r="AJ9" s="1264" t="s">
        <v>57</v>
      </c>
      <c r="AK9" s="288" t="s">
        <v>57</v>
      </c>
      <c r="AL9" s="1321" t="s">
        <v>54</v>
      </c>
      <c r="AM9" s="585" t="s">
        <v>54</v>
      </c>
      <c r="AN9" s="288" t="s">
        <v>222</v>
      </c>
      <c r="AO9" s="1294" t="s">
        <v>223</v>
      </c>
      <c r="AP9" s="1294" t="s">
        <v>224</v>
      </c>
      <c r="AQ9" s="1322" t="s">
        <v>223</v>
      </c>
      <c r="AR9" s="288" t="s">
        <v>225</v>
      </c>
      <c r="AS9" s="288" t="s">
        <v>54</v>
      </c>
      <c r="AT9" s="288" t="s">
        <v>54</v>
      </c>
      <c r="AU9" s="1321" t="s">
        <v>213</v>
      </c>
      <c r="AV9" s="1586" t="s">
        <v>214</v>
      </c>
      <c r="AW9" s="1587" t="s">
        <v>54</v>
      </c>
      <c r="AX9" s="1588" t="s">
        <v>54</v>
      </c>
      <c r="AY9" s="1588" t="s">
        <v>54</v>
      </c>
      <c r="AZ9" s="1589" t="s">
        <v>218</v>
      </c>
      <c r="BA9" s="1590" t="s">
        <v>219</v>
      </c>
      <c r="BB9" s="1591" t="s">
        <v>54</v>
      </c>
      <c r="BC9" s="1592" t="s">
        <v>54</v>
      </c>
      <c r="BD9" s="1592" t="s">
        <v>54</v>
      </c>
      <c r="BE9" s="1593" t="s">
        <v>218</v>
      </c>
      <c r="BF9" s="1594" t="s">
        <v>219</v>
      </c>
      <c r="BG9" s="1595" t="s">
        <v>54</v>
      </c>
      <c r="BH9" s="1596" t="s">
        <v>54</v>
      </c>
      <c r="BI9" s="1596" t="s">
        <v>54</v>
      </c>
      <c r="BJ9" s="1597" t="s">
        <v>218</v>
      </c>
      <c r="BK9" s="1598" t="s">
        <v>219</v>
      </c>
      <c r="BL9" s="1599" t="s">
        <v>223</v>
      </c>
      <c r="BM9" s="288" t="s">
        <v>226</v>
      </c>
      <c r="BN9" s="288" t="s">
        <v>54</v>
      </c>
      <c r="BO9" s="288" t="s">
        <v>54</v>
      </c>
      <c r="BP9" s="288" t="s">
        <v>54</v>
      </c>
      <c r="BQ9" s="288" t="s">
        <v>54</v>
      </c>
      <c r="BR9" s="288" t="s">
        <v>54</v>
      </c>
      <c r="BS9" s="1294" t="s">
        <v>227</v>
      </c>
      <c r="BT9" s="288" t="s">
        <v>228</v>
      </c>
      <c r="BU9" s="1322" t="s">
        <v>229</v>
      </c>
      <c r="BV9" s="288" t="s">
        <v>230</v>
      </c>
      <c r="BW9" s="288" t="s">
        <v>57</v>
      </c>
      <c r="BX9" s="288" t="s">
        <v>57</v>
      </c>
      <c r="BY9" s="1266" t="s">
        <v>57</v>
      </c>
      <c r="CB9" s="290"/>
    </row>
    <row r="10" spans="2:84" s="295" customFormat="1" ht="30" customHeight="1" thickBot="1">
      <c r="B10" s="302" t="s">
        <v>84</v>
      </c>
      <c r="C10" s="292" t="s">
        <v>11</v>
      </c>
      <c r="D10" s="292" t="s">
        <v>88</v>
      </c>
      <c r="E10" s="292" t="s">
        <v>231</v>
      </c>
      <c r="F10" s="292" t="s">
        <v>141</v>
      </c>
      <c r="G10" s="292" t="s">
        <v>139</v>
      </c>
      <c r="H10" s="1628" t="s">
        <v>139</v>
      </c>
      <c r="I10" s="1629" t="s">
        <v>232</v>
      </c>
      <c r="J10" s="1630" t="s">
        <v>233</v>
      </c>
      <c r="K10" s="1631" t="s">
        <v>141</v>
      </c>
      <c r="L10" s="1629">
        <v>2</v>
      </c>
      <c r="M10" s="61">
        <v>1</v>
      </c>
      <c r="N10" s="1632">
        <v>200</v>
      </c>
      <c r="O10" s="1633" t="s">
        <v>234</v>
      </c>
      <c r="P10" s="1634" t="s">
        <v>235</v>
      </c>
      <c r="Q10" s="1635" t="s">
        <v>236</v>
      </c>
      <c r="R10" s="1636">
        <v>20000</v>
      </c>
      <c r="S10" s="1636">
        <v>1700</v>
      </c>
      <c r="T10" s="1637">
        <f>R10+S10</f>
        <v>21700</v>
      </c>
      <c r="U10" s="1638" t="s">
        <v>237</v>
      </c>
      <c r="V10" s="1639" t="s">
        <v>238</v>
      </c>
      <c r="W10" s="1640">
        <v>35000</v>
      </c>
      <c r="X10" s="1640">
        <v>2975</v>
      </c>
      <c r="Y10" s="1641">
        <f>W10+X10</f>
        <v>37975</v>
      </c>
      <c r="Z10" s="1642" t="s">
        <v>239</v>
      </c>
      <c r="AA10" s="1643" t="s">
        <v>240</v>
      </c>
      <c r="AB10" s="1643">
        <v>28000</v>
      </c>
      <c r="AC10" s="1643">
        <v>3000</v>
      </c>
      <c r="AD10" s="1644">
        <f>AB10+AC10</f>
        <v>31000</v>
      </c>
      <c r="AE10" s="1645" t="s">
        <v>241</v>
      </c>
      <c r="AF10" s="91">
        <v>20000</v>
      </c>
      <c r="AG10" s="91">
        <v>1700</v>
      </c>
      <c r="AH10" s="91">
        <v>21700</v>
      </c>
      <c r="AI10" s="1646"/>
      <c r="AJ10" s="258" t="s">
        <v>11</v>
      </c>
      <c r="AK10" s="292" t="s">
        <v>88</v>
      </c>
      <c r="AL10" s="292" t="s">
        <v>231</v>
      </c>
      <c r="AM10" s="292" t="s">
        <v>141</v>
      </c>
      <c r="AN10" s="292" t="s">
        <v>139</v>
      </c>
      <c r="AO10" s="1647" t="str">
        <f>IF(K10="","",K10)</f>
        <v>Oui</v>
      </c>
      <c r="AP10" s="1629" t="s">
        <v>232</v>
      </c>
      <c r="AQ10" s="243">
        <f>IF(M10="","",M10)</f>
        <v>1</v>
      </c>
      <c r="AR10" s="1629" t="s">
        <v>242</v>
      </c>
      <c r="AS10" s="1629">
        <v>2</v>
      </c>
      <c r="AT10" s="61">
        <v>1</v>
      </c>
      <c r="AU10" s="1632">
        <v>200</v>
      </c>
      <c r="AV10" s="1633" t="s">
        <v>234</v>
      </c>
      <c r="AW10" s="1634" t="s">
        <v>236</v>
      </c>
      <c r="AX10" s="1635" t="s">
        <v>235</v>
      </c>
      <c r="AY10" s="1636">
        <v>20000</v>
      </c>
      <c r="AZ10" s="1636">
        <v>1700</v>
      </c>
      <c r="BA10" s="1648">
        <v>21700</v>
      </c>
      <c r="BB10" s="1649"/>
      <c r="BC10" s="1640"/>
      <c r="BD10" s="1640">
        <v>35000</v>
      </c>
      <c r="BE10" s="1640">
        <v>2975</v>
      </c>
      <c r="BF10" s="1641">
        <v>37975</v>
      </c>
      <c r="BG10" s="1642"/>
      <c r="BH10" s="1643"/>
      <c r="BI10" s="1643"/>
      <c r="BJ10" s="1643"/>
      <c r="BK10" s="1644"/>
      <c r="BL10" s="1645" t="s">
        <v>241</v>
      </c>
      <c r="BM10" s="92" t="s">
        <v>141</v>
      </c>
      <c r="BN10" s="293">
        <v>23000</v>
      </c>
      <c r="BO10" s="293">
        <v>1955</v>
      </c>
      <c r="BP10" s="293">
        <v>24955</v>
      </c>
      <c r="BQ10" s="91">
        <v>20000</v>
      </c>
      <c r="BR10" s="91">
        <v>1700</v>
      </c>
      <c r="BS10" s="91">
        <v>21700</v>
      </c>
      <c r="BT10" s="93"/>
      <c r="BU10" s="1650" t="str" cm="1">
        <f t="array" ref="BU10">IF(OR(BS10="",BP10="",BQ10="",BN10="",BR10="",BO10=""),"",_xlfn.IFS(
ROUND(IFERROR(VALUE(TRIM(SUBSTITUTE(BS10,CHAR(160),""))),0),2)&gt;
ROUND(IFERROR(VALUE(TRIM(SUBSTITUTE(BP10,CHAR(160),""))),0),2),
"KO : Le montant retenu TTC est supérieur au montant raisonnable TTC. Merci de revoir la ligne de dépense ou plafonner son montant.",
ROUND(IFERROR(VALUE(TRIM(SUBSTITUTE(BQ10,CHAR(160),""))),0),2)&gt;
ROUND(IFERROR(VALUE(TRIM(SUBSTITUTE(BN10,CHAR(160),""))),0),2),
"Attention : Le montant retenu HT est supérieur au montant HT raisonnable. Merci de revoir la ligne de dépense, plafonner son montant, ou justifier la reventillation HT / TVA.",
ROUND(IFERROR(VALUE(TRIM(SUBSTITUTE(BR10,CHAR(160),""))),0),2)&gt;
ROUND(IFERROR(VALUE(TRIM(SUBSTITUTE(BO10,CHAR(160),""))),0),2),
"Attention : Le montant TVA retenu est supérieur au montant TVA raisonnable. Merci de revoir la ligne de dépense, plafonner son montant, ou justifier la reventillation HT / TVA.",
ROUND(IFERROR(VALUE(TRIM(SUBSTITUTE(BS10,CHAR(160),""))),0),2)&gt;
ROUND(IFERROR(VALUE(TRIM(SUBSTITUTE(MIN(T10,Y10,AD10),CHAR(160),""))),0),2),
"Attention : Le devis retenu n'est pas le moins cher. Une justification de la part du porteur est nécessaire.",
ROUND(IFERROR(VALUE(TRIM(SUBSTITUTE(BS10,CHAR(160),""))),0),2)=0,
"Attention : montant présenté entièrement écarté",
ROUND(IFERROR(VALUE(TRIM(SUBSTITUTE(BP10,CHAR(160),""))),0),2)=
ROUND(IFERROR(VALUE(TRIM(SUBSTITUTE(BS10,CHAR(160),""))),0),2),
"OK",
ROUND(IFERROR(VALUE(TRIM(SUBSTITUTE(BP10,CHAR(160),""))),0),2)&gt;
ROUND(IFERROR(VALUE(TRIM(SUBSTITUTE(BS10,CHAR(160),""))),0),2),
" OK : Montant instruit inférieur au montant raisonnable.",
TRUE,""
))</f>
        <v xml:space="preserve"> OK : Montant instruit inférieur au montant raisonnable.</v>
      </c>
      <c r="BV10" s="1651" t="str" cm="1">
        <f t="array" ref="BV10">IF(OR(BS10="",AH10="",BQ10="",AF10="",BR10="",AG10=""),"",_xlfn.IFS(
ROUND(IFERROR(VALUE(TRIM(SUBSTITUTE(BS10,CHAR(160),""))),0),2)&gt;
ROUND(IFERROR(VALUE(TRIM(SUBSTITUTE(AH10,CHAR(160),""))),0),2),
"KO : Le montant retenu TTC est supérieur au montant présenté TTC. Merci de revoir la ligne de dépense ou plafonner son montant.",
ROUND(IFERROR(VALUE(TRIM(SUBSTITUTE(BQ10,CHAR(160),""))),0),2)&gt;
ROUND(IFERROR(VALUE(TRIM(SUBSTITUTE(AF10,CHAR(160),""))),0),2),
"Attention : Le montant retenu HT est supérieur au montant HT présenté. Merci de revoir la ligne de dépense, plafonner son montant, ou justifier la reventillation HT / TVA.",
ROUND(IFERROR(VALUE(TRIM(SUBSTITUTE(BR10,CHAR(160),""))),0),2)&gt;
ROUND(IFERROR(VALUE(TRIM(SUBSTITUTE(AG10,CHAR(160),""))),0),2),
"Attention : Le montant TVA retenu est supérieur au montant TVA présenté. Merci de revoir la ligne de dépense, plafonner son montant, ou justifier la reventillation HT / TVA.",
ROUND(IFERROR(VALUE(TRIM(SUBSTITUTE(AH10,CHAR(160),""))),0),2)=0,
"",
ROUND(IFERROR(VALUE(TRIM(SUBSTITUTE(BS10,CHAR(160),""))),0),2)=
ROUND(IFERROR(VALUE(TRIM(SUBSTITUTE(AH10,CHAR(160),""))),0),2),
"OK",
ROUND(IFERROR(VALUE(TRIM(SUBSTITUTE(BS10,CHAR(160),""))),0),2)=0,
"Attention : Montant présenté entièrement rejeté.",
ROUND(IFERROR(VALUE(TRIM(SUBSTITUTE(BS10,CHAR(160),""))),0),2)&lt;
ROUND(IFERROR(VALUE(TRIM(SUBSTITUTE(AH10,CHAR(160),""))),0),2),
"Attention : Montant présenté partiellement rejeté.",
TRUE,""
))</f>
        <v>OK</v>
      </c>
      <c r="BW10" s="91">
        <v>0</v>
      </c>
      <c r="BX10" s="91">
        <v>0</v>
      </c>
      <c r="BY10" s="1652">
        <v>0</v>
      </c>
    </row>
    <row r="11" spans="2:84" ht="20.100000000000001" customHeight="1">
      <c r="B11" s="1600">
        <v>1</v>
      </c>
      <c r="C11" s="19"/>
      <c r="D11" s="19"/>
      <c r="E11" s="36"/>
      <c r="F11" s="36"/>
      <c r="G11" s="36"/>
      <c r="H11" s="36"/>
      <c r="I11" s="19"/>
      <c r="J11" s="1601"/>
      <c r="K11" s="1602"/>
      <c r="L11" s="19"/>
      <c r="M11" s="5"/>
      <c r="N11" s="1603"/>
      <c r="O11" s="141"/>
      <c r="P11" s="1604"/>
      <c r="Q11" s="1605"/>
      <c r="R11" s="1606"/>
      <c r="S11" s="1606"/>
      <c r="T11" s="1607" t="str">
        <f>IF(OR(R11="", S11=""), "", IFERROR(VALUE(TRIM(SUBSTITUTE(R11,CHAR(160),""))),0) + IFERROR(VALUE(TRIM(SUBSTITUTE(S11,CHAR(160),""))),0))</f>
        <v/>
      </c>
      <c r="U11" s="1608"/>
      <c r="V11" s="1609"/>
      <c r="W11" s="1610"/>
      <c r="X11" s="1610"/>
      <c r="Y11" s="1611" t="str">
        <f>IF(OR(W11="", X11=""), "", IFERROR(VALUE(TRIM(SUBSTITUTE(W11,CHAR(160),""))),0) + IFERROR(VALUE(TRIM(SUBSTITUTE(X11,CHAR(160),""))),0))</f>
        <v/>
      </c>
      <c r="Z11" s="1612"/>
      <c r="AA11" s="1613"/>
      <c r="AB11" s="1614"/>
      <c r="AC11" s="1614"/>
      <c r="AD11" s="1615" t="str">
        <f>IF(OR(AB11="", AC11=""), "", IFERROR(VALUE(TRIM(SUBSTITUTE(AB11,CHAR(160),""))),0) + IFERROR(VALUE(TRIM(SUBSTITUTE(AC11,CHAR(160),""))),0))</f>
        <v/>
      </c>
      <c r="AE11" s="20"/>
      <c r="AF11" s="1616" t="str" cm="1">
        <f t="array" ref="AF11">IF((_xlfn.IFS(TRIM(SUBSTITUTE(AE11,CHAR(160),""))="Devis 1",IFERROR(VALUE(TRIM(SUBSTITUTE(R11,CHAR(160),""))),0),TRIM(SUBSTITUTE(AE11,CHAR(160),""))="Devis 2",IFERROR(VALUE(TRIM(SUBSTITUTE(W11,CHAR(160),""))),0),TRIM(SUBSTITUTE(AE11,CHAR(160),""))="Devis 3",IFERROR(VALUE(TRIM(SUBSTITUTE(AB11,CHAR(160),""))),0),TRUE,0)*IFERROR(VALUE(TRIM(SUBSTITUTE(M11,CHAR(160),""))),0))=0,"",_xlfn.IFS(TRIM(SUBSTITUTE(AE11,CHAR(160),""))="Devis 1",IFERROR(VALUE(TRIM(SUBSTITUTE(R11,CHAR(160),""))),0),TRIM(SUBSTITUTE(AE11,CHAR(160),""))="Devis 2",IFERROR(VALUE(TRIM(SUBSTITUTE(W11,CHAR(160),""))),0),TRIM(SUBSTITUTE(AE11,CHAR(160),""))="Devis 3",IFERROR(VALUE(TRIM(SUBSTITUTE(AB11,CHAR(160),""))),0),TRUE,0)*IFERROR(VALUE(TRIM(SUBSTITUTE(M11,CHAR(160),""))),0))</f>
        <v/>
      </c>
      <c r="AG11" s="1616" t="str" cm="1">
        <f t="array" ref="AG11">IF((_xlfn.IFS(TRIM(SUBSTITUTE(AE11,CHAR(160),""))="Devis 1",IFERROR(VALUE(TRIM(SUBSTITUTE(S11,CHAR(160),""))),0),TRIM(SUBSTITUTE(AE11,CHAR(160),""))="Devis 2",IFERROR(VALUE(TRIM(SUBSTITUTE(X11,CHAR(160),""))),0),TRIM(SUBSTITUTE(AE11,CHAR(160),""))="Devis 3",IFERROR(VALUE(TRIM(SUBSTITUTE(AC11,CHAR(160),""))),0),TRUE,0)*IFERROR(VALUE(TRIM(SUBSTITUTE(M11,CHAR(160),""))),0))=0,"",_xlfn.IFS(TRIM(SUBSTITUTE(AE11,CHAR(160),""))="Devis 1",IFERROR(VALUE(TRIM(SUBSTITUTE(S11,CHAR(160),""))),0),TRIM(SUBSTITUTE(AF11,CHAR(160),""))="Devis 2",IFERROR(VALUE(TRIM(SUBSTITUTE(X11,CHAR(160),""))),0),TRIM(SUBSTITUTE(AF11,CHAR(160),""))="Devis 3",IFERROR(VALUE(TRIM(SUBSTITUTE(AC11,CHAR(160),""))),0),TRUE,0)*IFERROR(VALUE(TRIM(SUBSTITUTE(M11,CHAR(160),""))),0))</f>
        <v/>
      </c>
      <c r="AH11" s="1616" t="str" cm="1">
        <f t="array" ref="AH11">IF((_xlfn.IFS(TRIM(SUBSTITUTE(AE11,CHAR(160),""))="Devis 1",IFERROR(VALUE(TRIM(SUBSTITUTE(T11,CHAR(160),""))),0),TRIM(SUBSTITUTE(AE11,CHAR(160),""))="Devis 2",IFERROR(VALUE(TRIM(SUBSTITUTE(Y11,CHAR(160),""))),0),TRIM(SUBSTITUTE(AE11,CHAR(160),""))="Devis 3",IFERROR(VALUE(TRIM(SUBSTITUTE(AD11,CHAR(160),""))),0),TRUE,0)*IFERROR(VALUE(TRIM(SUBSTITUTE(M11,CHAR(160),""))),0))=0,"",_xlfn.IFS(TRIM(SUBSTITUTE(AE11,CHAR(160),""))="Devis 1",IFERROR(VALUE(TRIM(SUBSTITUTE(T11,CHAR(160),""))),0),TRIM(SUBSTITUTE(AE11,CHAR(160),""))="Devis 2",IFERROR(VALUE(TRIM(SUBSTITUTE(Y11,CHAR(160),""))),0),TRIM(SUBSTITUTE(AE11,CHAR(160),""))="Devis 3",IFERROR(VALUE(TRIM(SUBSTITUTE(AD11,CHAR(160),""))),0),TRUE,0)*IFERROR(VALUE(TRIM(SUBSTITUTE(M11,CHAR(160),""))),0))</f>
        <v/>
      </c>
      <c r="AI11" s="1617"/>
      <c r="AJ11" s="213" t="str">
        <f t="shared" ref="AJ11:AS12" si="0">IF(C11="","",C11)</f>
        <v/>
      </c>
      <c r="AK11" s="165" t="str">
        <f t="shared" si="0"/>
        <v/>
      </c>
      <c r="AL11" s="165" t="str">
        <f t="shared" si="0"/>
        <v/>
      </c>
      <c r="AM11" s="165" t="str">
        <f t="shared" si="0"/>
        <v/>
      </c>
      <c r="AN11" s="165" t="str">
        <f t="shared" si="0"/>
        <v/>
      </c>
      <c r="AO11" s="165" t="str">
        <f t="shared" si="0"/>
        <v/>
      </c>
      <c r="AP11" s="165" t="str">
        <f t="shared" si="0"/>
        <v/>
      </c>
      <c r="AQ11" s="165" t="str">
        <f t="shared" si="0"/>
        <v/>
      </c>
      <c r="AR11" s="165" t="str">
        <f t="shared" si="0"/>
        <v/>
      </c>
      <c r="AS11" s="165" t="str">
        <f t="shared" si="0"/>
        <v/>
      </c>
      <c r="AT11" s="1665" t="str">
        <f t="shared" ref="AT11:AZ12" si="1">IF(M11="","",M11)</f>
        <v/>
      </c>
      <c r="AU11" s="165" t="str">
        <f t="shared" si="1"/>
        <v/>
      </c>
      <c r="AV11" s="1618" t="str">
        <f t="shared" si="1"/>
        <v/>
      </c>
      <c r="AW11" s="1619" t="str">
        <f t="shared" si="1"/>
        <v/>
      </c>
      <c r="AX11" s="1620" t="str">
        <f t="shared" si="1"/>
        <v/>
      </c>
      <c r="AY11" s="1662" t="str">
        <f t="shared" si="1"/>
        <v/>
      </c>
      <c r="AZ11" s="1662" t="str">
        <f t="shared" si="1"/>
        <v/>
      </c>
      <c r="BA11" s="1607" t="str">
        <f t="shared" ref="BA11:BA50" si="2">IF(OR(AY11="", AZ11=""), "", IFERROR(VALUE(TRIM(SUBSTITUTE(AY11,CHAR(160),""))),0) + IFERROR(VALUE(TRIM(SUBSTITUTE(AZ11,CHAR(160),""))),0))</f>
        <v/>
      </c>
      <c r="BB11" s="1621" t="str">
        <f t="shared" ref="BB11:BB50" si="3">IF(U11="","",U11)</f>
        <v/>
      </c>
      <c r="BC11" s="1622" t="str">
        <f t="shared" ref="BC11:BC50" si="4">IF(V11="","",V11)</f>
        <v/>
      </c>
      <c r="BD11" s="1653" t="str">
        <f t="shared" ref="BD11:BD50" si="5">IF(W11="","",W11)</f>
        <v/>
      </c>
      <c r="BE11" s="1656" t="str">
        <f t="shared" ref="BE11:BE50" si="6">IF(X11="","",X11)</f>
        <v/>
      </c>
      <c r="BF11" s="1611" t="str">
        <f t="shared" ref="BF11:BF50" si="7">IF(OR(BD11="",BE11=""),"",IFERROR(VALUE(TRIM(SUBSTITUTE(BD11,CHAR(160),""))),0)+IFERROR(VALUE(TRIM(SUBSTITUTE(BE11,CHAR(160),""))),0))</f>
        <v/>
      </c>
      <c r="BG11" s="1623" t="str">
        <f t="shared" ref="BG11:BG50" si="8">IF(Z11="","",Z11)</f>
        <v/>
      </c>
      <c r="BH11" s="1624" t="str">
        <f t="shared" ref="BH11:BH50" si="9">IF(AA11="","",AA11)</f>
        <v/>
      </c>
      <c r="BI11" s="1659" t="str">
        <f t="shared" ref="BI11:BI50" si="10">IF(AB11="","",AB11)</f>
        <v/>
      </c>
      <c r="BJ11" s="1659" t="str">
        <f t="shared" ref="BJ11:BJ50" si="11">IF(AC11="","",AC11)</f>
        <v/>
      </c>
      <c r="BK11" s="1615" t="str">
        <f t="shared" ref="BK11:BK50" si="12">IF(OR(BI11="",BJ11=""),"",IFERROR(VALUE(TRIM(SUBSTITUTE(BI11,CHAR(160),""))),0)+IFERROR(VALUE(TRIM(SUBSTITUTE(BJ11,CHAR(160),""))),0))</f>
        <v/>
      </c>
      <c r="BL11" s="1625" t="str">
        <f t="shared" ref="BL11" si="13">IF(AE11="","",AE11)</f>
        <v/>
      </c>
      <c r="BM11" s="1626"/>
      <c r="BN11" s="1667" t="str">
        <f>IF($AT11="","",
IF(
AND(
IFERROR(VALUE(TRIM(SUBSTITUTE(AY11,CHAR(160),""))),0)=0,
IFERROR(VALUE(TRIM(SUBSTITUTE(BD11,CHAR(160),""))),0)=0,
IFERROR(VALUE(TRIM(SUBSTITUTE(BI11,CHAR(160),""))),0)=0
),
0,
IF(
1.15*
MIN(
IF(IFERROR(VALUE(TRIM(SUBSTITUTE(AY11,CHAR(160),""))),0)=0,1E+30,IFERROR(VALUE(TRIM(SUBSTITUTE(AY11,CHAR(160),""))),0)),
IF(IFERROR(VALUE(TRIM(SUBSTITUTE(BD11,CHAR(160),""))),0)=0,1E+30,IFERROR(VALUE(TRIM(SUBSTITUTE(BD11,CHAR(160),""))),0)),
IF(IFERROR(VALUE(TRIM(SUBSTITUTE(BI11,CHAR(160),""))),0)=0,1E+30,IFERROR(VALUE(TRIM(SUBSTITUTE(BI11,CHAR(160),""))),0))
)
*IFERROR(VALUE(TRIM(SUBSTITUTE($AT11,CHAR(160),""))),0)
=0,
0,
1.15*
MIN(
IF(IFERROR(VALUE(TRIM(SUBSTITUTE(AY11,CHAR(160),""))),0)=0,1E+30,IFERROR(VALUE(TRIM(SUBSTITUTE(AY11,CHAR(160),""))),0)),
IF(IFERROR(VALUE(TRIM(SUBSTITUTE(BD11,CHAR(160),""))),0)=0,1E+30,IFERROR(VALUE(TRIM(SUBSTITUTE(BD11,CHAR(160),""))),0)),
IF(IFERROR(VALUE(TRIM(SUBSTITUTE(BI11,CHAR(160),""))),0)=0,1E+30,IFERROR(VALUE(TRIM(SUBSTITUTE(BI11,CHAR(160),""))),0))
)
*IFERROR(VALUE(TRIM(SUBSTITUTE($AT11,CHAR(160),""))),0)
)
)
)</f>
        <v/>
      </c>
      <c r="BO11" s="1667" t="str">
        <f>IF($AT11="","",
IF(
AND(
IFERROR(VALUE(TRIM(SUBSTITUTE(AZ11,CHAR(160),""))),0)=0,
IFERROR(VALUE(TRIM(SUBSTITUTE(BE11,CHAR(160),""))),0)=0,
IFERROR(VALUE(TRIM(SUBSTITUTE(BJ11,CHAR(160),""))),0)=0
),
0,
IF(
1.15*
MIN(
IF(IFERROR(VALUE(TRIM(SUBSTITUTE(AZ11,CHAR(160),""))),0)=0,1E+30,IFERROR(VALUE(TRIM(SUBSTITUTE(AZ11,CHAR(160),""))),0)),
IF(IFERROR(VALUE(TRIM(SUBSTITUTE(BE11,CHAR(160),""))),0)=0,1E+30,IFERROR(VALUE(TRIM(SUBSTITUTE(BE11,CHAR(160),""))),0)),
IF(IFERROR(VALUE(TRIM(SUBSTITUTE(BJ11,CHAR(160),""))),0)=0,1E+30,IFERROR(VALUE(TRIM(SUBSTITUTE(BJ11,CHAR(160),""))),0))
)
*IFERROR(VALUE(TRIM(SUBSTITUTE($AT11,CHAR(160),""))),0)
=0,
0,
1.15*
MIN(
IF(IFERROR(VALUE(TRIM(SUBSTITUTE(AZ11,CHAR(160),""))),0)=0,1E+30,IFERROR(VALUE(TRIM(SUBSTITUTE(AZ11,CHAR(160),""))),0)),
IF(IFERROR(VALUE(TRIM(SUBSTITUTE(BE11,CHAR(160),""))),0)=0,1E+30,IFERROR(VALUE(TRIM(SUBSTITUTE(BE11,CHAR(160),""))),0)),
IF(IFERROR(VALUE(TRIM(SUBSTITUTE(BJ11,CHAR(160),""))),0)=0,1E+30,IFERROR(VALUE(TRIM(SUBSTITUTE(BJ11,CHAR(160),""))),0))
)
*IFERROR(VALUE(TRIM(SUBSTITUTE($AT11,CHAR(160),""))),0)
)
)
)</f>
        <v/>
      </c>
      <c r="BP11" s="306" t="str">
        <f t="shared" ref="BP11:BP50" si="14">IF(BN11="","",BN11+BO11)</f>
        <v/>
      </c>
      <c r="BQ11" s="1470" t="str" cm="1">
        <f t="array" ref="BQ11">IF($AT11="","",
_xlfn.IFS(
$BL11="Devis 1",
IF(ISBLANK(AY11),"",IFERROR(VALUE(TRIM(SUBSTITUTE(AY11,CHAR(160),""))),0)*IFERROR(VALUE(TRIM(SUBSTITUTE($AT11,CHAR(160),""))),0)),
$BL11="Devis 2",
IF(ISBLANK(BD11),"",IFERROR(VALUE(TRIM(SUBSTITUTE(BD11,CHAR(160),""))),0)*IFERROR(VALUE(TRIM(SUBSTITUTE($AT11,CHAR(160),""))),0)),
$BL11="Devis 3",
IF(ISBLANK(BI11),"",IFERROR(VALUE(TRIM(SUBSTITUTE(BI11,CHAR(160),""))),0)*IFERROR(VALUE(TRIM(SUBSTITUTE($AT11,CHAR(160),""))),0)),
TRUE,0
)
)</f>
        <v/>
      </c>
      <c r="BR11" s="1470" t="str" cm="1">
        <f t="array" ref="BR11">IF($AT11="","",
_xlfn.IFS(
$BL11="Devis 1",
IF(ISBLANK(AZ11),"",IFERROR(VALUE(TRIM(SUBSTITUTE(AZ11,CHAR(160),""))),0)*IFERROR(VALUE(TRIM(SUBSTITUTE($AT11,CHAR(160),""))),0)),
$BL11="Devis 2",
IF(ISBLANK(BE11),"",IFERROR(VALUE(TRIM(SUBSTITUTE(BE11,CHAR(160),""))),0)*IFERROR(VALUE(TRIM(SUBSTITUTE($AT11,CHAR(160),""))),0)),
$BL11="Devis 3",
IF(ISBLANK(BJ11),"",IFERROR(VALUE(TRIM(SUBSTITUTE(BJ11,CHAR(160),""))),0)*IFERROR(VALUE(TRIM(SUBSTITUTE($AT11,CHAR(160),""))),0)),
TRUE,0
)
)</f>
        <v/>
      </c>
      <c r="BS11" s="1470" t="str">
        <f>IF(BQ11="","",BQ11+BR11)</f>
        <v/>
      </c>
      <c r="BT11" s="192"/>
      <c r="BU11" s="216" t="str" cm="1">
        <f t="array" ref="BU11">IF(OR(BS11="",BP11="",BQ11="",BN11="",BR11="",BO11=""),"",_xlfn.IFS(
ROUND(IFERROR(VALUE(TRIM(SUBSTITUTE(BS11,CHAR(160),""))),0),2)&gt;
ROUND(IFERROR(VALUE(TRIM(SUBSTITUTE(BP11,CHAR(160),""))),0),2),
"KO : Le montant retenu TTC est supérieur au montant raisonnable TTC. Merci de revoir la ligne de dépense ou plafonner son montant.",
ROUND(IFERROR(VALUE(TRIM(SUBSTITUTE(BQ11,CHAR(160),""))),0),2)&gt;
ROUND(IFERROR(VALUE(TRIM(SUBSTITUTE(BN11,CHAR(160),""))),0),2),
"Attention : Le montant retenu HT est supérieur au montant HT raisonnable. Merci de revoir la ligne de dépense, plafonner son montant, ou justifier la reventillation HT / TVA.",
ROUND(IFERROR(VALUE(TRIM(SUBSTITUTE(BR11,CHAR(160),""))),0),2)&gt;
ROUND(IFERROR(VALUE(TRIM(SUBSTITUTE(BO11,CHAR(160),""))),0),2),
"Attention : Le montant TVA retenu est supérieur au montant TVA raisonnable. Merci de revoir la ligne de dépense, plafonner son montant, ou justifier la reventillation HT / TVA.",
ROUND(IFERROR(VALUE(TRIM(SUBSTITUTE(BS11,CHAR(160),""))),0),2)&gt;
ROUND(IFERROR(VALUE(TRIM(SUBSTITUTE(MIN(T11,Y11,AD11),CHAR(160),""))),0),2),
"Attention : Le devis retenu n'est pas le moins cher. Une justification de la part du porteur est nécessaire.",
ROUND(IFERROR(VALUE(TRIM(SUBSTITUTE(BS11,CHAR(160),""))),0),2)=0,
"Attention : montant présenté entièrement écarté",
ROUND(IFERROR(VALUE(TRIM(SUBSTITUTE(BP11,CHAR(160),""))),0),2)=
ROUND(IFERROR(VALUE(TRIM(SUBSTITUTE(BS11,CHAR(160),""))),0),2),
"OK",
ROUND(IFERROR(VALUE(TRIM(SUBSTITUTE(BP11,CHAR(160),""))),0),2)&gt;
ROUND(IFERROR(VALUE(TRIM(SUBSTITUTE(BS11,CHAR(160),""))),0),2),
" OK : Montant instruit inférieur au montant raisonnable.",
TRUE,""
))</f>
        <v/>
      </c>
      <c r="BV11" s="57" t="str" cm="1">
        <f t="array" ref="BV11">IF(OR(BS11="",AH11="",BQ11="",AF11="",BR11="",AG11=""),"",_xlfn.IFS(
ROUND(IFERROR(VALUE(TRIM(SUBSTITUTE(BS11,CHAR(160),""))),0),2)&gt;
ROUND(IFERROR(VALUE(TRIM(SUBSTITUTE(AH11,CHAR(160),""))),0),2),
"KO : Le montant retenu TTC est supérieur au montant présenté TTC. Merci de revoir la ligne de dépense ou plafonner son montant.",
ROUND(IFERROR(VALUE(TRIM(SUBSTITUTE(BQ11,CHAR(160),""))),0),2)&gt;
ROUND(IFERROR(VALUE(TRIM(SUBSTITUTE(AF11,CHAR(160),""))),0),2),
"Attention : Le montant retenu HT est supérieur au montant HT présenté. Merci de revoir la ligne de dépense, plafonner son montant, ou justifier la reventillation HT / TVA.",
ROUND(IFERROR(VALUE(TRIM(SUBSTITUTE(BR11,CHAR(160),""))),0),2)&gt;
ROUND(IFERROR(VALUE(TRIM(SUBSTITUTE(AG11,CHAR(160),""))),0),2),
"Attention : Le montant TVA retenu est supérieur au montant TVA présenté. Merci de revoir la ligne de dépense, plafonner son montant, ou justifier la reventillation HT / TVA.",
ROUND(IFERROR(VALUE(TRIM(SUBSTITUTE(AH11,CHAR(160),""))),0),2)=0,
"",
ROUND(IFERROR(VALUE(TRIM(SUBSTITUTE(BS11,CHAR(160),""))),0),2)=
ROUND(IFERROR(VALUE(TRIM(SUBSTITUTE(AH11,CHAR(160),""))),0),2),
"OK",
ROUND(IFERROR(VALUE(TRIM(SUBSTITUTE(BS11,CHAR(160),""))),0),2)=0,
"Attention : Montant présenté entièrement rejeté.",
ROUND(IFERROR(VALUE(TRIM(SUBSTITUTE(BS11,CHAR(160),""))),0),2)&lt;
ROUND(IFERROR(VALUE(TRIM(SUBSTITUTE(AH11,CHAR(160),""))),0),2),
"Attention : Montant présenté partiellement rejeté.",
TRUE,""
))</f>
        <v/>
      </c>
      <c r="BW11" s="1616" t="str">
        <f t="shared" ref="BW11:BW50" si="15">IF(OR(AF11="",BQ11=""),"",(IFERROR(VALUE(TRIM(SUBSTITUTE(AF11,CHAR(160),""))),0))-(IFERROR(VALUE(TRIM(SUBSTITUTE(BQ11,CHAR(160),""))),0)))</f>
        <v/>
      </c>
      <c r="BX11" s="1616" t="str">
        <f t="shared" ref="BX11:BX50" si="16">IF(OR(AG11="",BR11=""),"",(IFERROR(VALUE(TRIM(SUBSTITUTE(AG11,CHAR(160),""))),0))-(IFERROR(VALUE(TRIM(SUBSTITUTE(BR11,CHAR(160),""))),0)))</f>
        <v/>
      </c>
      <c r="BY11" s="1627" t="str">
        <f t="shared" ref="BY11:BY50" si="17">IF(OR(AH11="",BS11=""),"",(IFERROR(VALUE(TRIM(SUBSTITUTE(AH11,CHAR(160),""))),0))-(IFERROR(VALUE(TRIM(SUBSTITUTE(BS11,CHAR(160),""))),0)))</f>
        <v/>
      </c>
      <c r="CB11"/>
      <c r="CF11" s="185"/>
    </row>
    <row r="12" spans="2:84" ht="20.100000000000001" customHeight="1">
      <c r="B12" s="1206">
        <v>2</v>
      </c>
      <c r="C12" s="11"/>
      <c r="D12" s="11"/>
      <c r="E12" s="22"/>
      <c r="F12" s="22"/>
      <c r="G12" s="22"/>
      <c r="H12" s="22"/>
      <c r="I12" s="11"/>
      <c r="J12" s="1201"/>
      <c r="K12" s="1512"/>
      <c r="L12" s="11"/>
      <c r="M12" s="2"/>
      <c r="N12" s="23"/>
      <c r="O12" s="25"/>
      <c r="P12" s="1552"/>
      <c r="Q12" s="1516"/>
      <c r="R12" s="1517"/>
      <c r="S12" s="1517"/>
      <c r="T12" s="1522" t="str">
        <f t="shared" ref="T12:T50" si="18">IF(OR(R12="", S12=""), "", IFERROR(VALUE(TRIM(SUBSTITUTE(R12,CHAR(160),""))),0) + IFERROR(VALUE(TRIM(SUBSTITUTE(S12,CHAR(160),""))),0))</f>
        <v/>
      </c>
      <c r="U12" s="1559"/>
      <c r="V12" s="1523"/>
      <c r="W12" s="1524"/>
      <c r="X12" s="1524"/>
      <c r="Y12" s="1539" t="str">
        <f t="shared" ref="Y12:Y50" si="19">IF(OR(W12="", X12=""), "", IFERROR(VALUE(TRIM(SUBSTITUTE(W12,CHAR(160),""))),0) + IFERROR(VALUE(TRIM(SUBSTITUTE(X12,CHAR(160),""))),0))</f>
        <v/>
      </c>
      <c r="Z12" s="1567"/>
      <c r="AA12" s="1568"/>
      <c r="AB12" s="1569"/>
      <c r="AC12" s="1569"/>
      <c r="AD12" s="1546" t="str">
        <f t="shared" ref="AD12:AD50" si="20">IF(OR(AB12="", AC12=""), "", IFERROR(VALUE(TRIM(SUBSTITUTE(AB12,CHAR(160),""))),0) + IFERROR(VALUE(TRIM(SUBSTITUTE(AC12,CHAR(160),""))),0))</f>
        <v/>
      </c>
      <c r="AE12" s="6"/>
      <c r="AF12" s="1202" t="str" cm="1">
        <f t="array" ref="AF12">IF((_xlfn.IFS(TRIM(SUBSTITUTE(AE12,CHAR(160),""))="Devis 1",IFERROR(VALUE(TRIM(SUBSTITUTE(R12,CHAR(160),""))),0),TRIM(SUBSTITUTE(AE12,CHAR(160),""))="Devis 2",IFERROR(VALUE(TRIM(SUBSTITUTE(W12,CHAR(160),""))),0),TRIM(SUBSTITUTE(AE12,CHAR(160),""))="Devis 3",IFERROR(VALUE(TRIM(SUBSTITUTE(AB12,CHAR(160),""))),0),TRUE,0)*IFERROR(VALUE(TRIM(SUBSTITUTE(M12,CHAR(160),""))),0))=0,"",_xlfn.IFS(TRIM(SUBSTITUTE(AE12,CHAR(160),""))="Devis 1",IFERROR(VALUE(TRIM(SUBSTITUTE(R12,CHAR(160),""))),0),TRIM(SUBSTITUTE(AE12,CHAR(160),""))="Devis 2",IFERROR(VALUE(TRIM(SUBSTITUTE(W12,CHAR(160),""))),0),TRIM(SUBSTITUTE(AE12,CHAR(160),""))="Devis 3",IFERROR(VALUE(TRIM(SUBSTITUTE(AB12,CHAR(160),""))),0),TRUE,0)*IFERROR(VALUE(TRIM(SUBSTITUTE(M12,CHAR(160),""))),0))</f>
        <v/>
      </c>
      <c r="AG12" s="1202" t="str" cm="1">
        <f t="array" ref="AG12">IF((_xlfn.IFS(TRIM(SUBSTITUTE(AE12,CHAR(160),""))="Devis 1",IFERROR(VALUE(TRIM(SUBSTITUTE(S12,CHAR(160),""))),0),TRIM(SUBSTITUTE(AE12,CHAR(160),""))="Devis 2",IFERROR(VALUE(TRIM(SUBSTITUTE(X12,CHAR(160),""))),0),TRIM(SUBSTITUTE(AE12,CHAR(160),""))="Devis 3",IFERROR(VALUE(TRIM(SUBSTITUTE(AC12,CHAR(160),""))),0),TRUE,0)*IFERROR(VALUE(TRIM(SUBSTITUTE(M12,CHAR(160),""))),0))=0,"",_xlfn.IFS(TRIM(SUBSTITUTE(AE12,CHAR(160),""))="Devis 1",IFERROR(VALUE(TRIM(SUBSTITUTE(S12,CHAR(160),""))),0),TRIM(SUBSTITUTE(AF12,CHAR(160),""))="Devis 2",IFERROR(VALUE(TRIM(SUBSTITUTE(X12,CHAR(160),""))),0),TRIM(SUBSTITUTE(AF12,CHAR(160),""))="Devis 3",IFERROR(VALUE(TRIM(SUBSTITUTE(AC12,CHAR(160),""))),0),TRUE,0)*IFERROR(VALUE(TRIM(SUBSTITUTE(M12,CHAR(160),""))),0))</f>
        <v/>
      </c>
      <c r="AH12" s="1202" t="str" cm="1">
        <f t="array" ref="AH12">IF((_xlfn.IFS(TRIM(SUBSTITUTE(AE12,CHAR(160),""))="Devis 1",IFERROR(VALUE(TRIM(SUBSTITUTE(T12,CHAR(160),""))),0),TRIM(SUBSTITUTE(AE12,CHAR(160),""))="Devis 2",IFERROR(VALUE(TRIM(SUBSTITUTE(Y12,CHAR(160),""))),0),TRIM(SUBSTITUTE(AE12,CHAR(160),""))="Devis 3",IFERROR(VALUE(TRIM(SUBSTITUTE(AD12,CHAR(160),""))),0),TRUE,0)*IFERROR(VALUE(TRIM(SUBSTITUTE(M12,CHAR(160),""))),0))=0,"",_xlfn.IFS(TRIM(SUBSTITUTE(AE12,CHAR(160),""))="Devis 1",IFERROR(VALUE(TRIM(SUBSTITUTE(T12,CHAR(160),""))),0),TRIM(SUBSTITUTE(AE12,CHAR(160),""))="Devis 2",IFERROR(VALUE(TRIM(SUBSTITUTE(Y12,CHAR(160),""))),0),TRIM(SUBSTITUTE(AE12,CHAR(160),""))="Devis 3",IFERROR(VALUE(TRIM(SUBSTITUTE(AD12,CHAR(160),""))),0),TRUE,0)*IFERROR(VALUE(TRIM(SUBSTITUTE(M12,CHAR(160),""))),0))</f>
        <v/>
      </c>
      <c r="AI12" s="488"/>
      <c r="AJ12" s="215" t="str">
        <f t="shared" si="0"/>
        <v/>
      </c>
      <c r="AK12" s="57" t="str">
        <f t="shared" si="0"/>
        <v/>
      </c>
      <c r="AL12" s="57" t="str">
        <f t="shared" si="0"/>
        <v/>
      </c>
      <c r="AM12" s="57" t="str">
        <f t="shared" si="0"/>
        <v/>
      </c>
      <c r="AN12" s="57" t="str">
        <f t="shared" ref="AN12:AN50" si="21">IF(G12="","",G12)</f>
        <v/>
      </c>
      <c r="AO12" s="57" t="str">
        <f t="shared" si="0"/>
        <v/>
      </c>
      <c r="AP12" s="57" t="str">
        <f t="shared" si="0"/>
        <v/>
      </c>
      <c r="AQ12" s="57" t="str">
        <f t="shared" si="0"/>
        <v/>
      </c>
      <c r="AR12" s="57" t="str">
        <f t="shared" si="0"/>
        <v/>
      </c>
      <c r="AS12" s="57" t="str">
        <f t="shared" si="0"/>
        <v/>
      </c>
      <c r="AT12" s="1172" t="str">
        <f t="shared" si="1"/>
        <v/>
      </c>
      <c r="AU12" s="57" t="str">
        <f t="shared" si="1"/>
        <v/>
      </c>
      <c r="AV12" s="691" t="str">
        <f t="shared" si="1"/>
        <v/>
      </c>
      <c r="AW12" s="1533" t="str">
        <f t="shared" si="1"/>
        <v/>
      </c>
      <c r="AX12" s="1521" t="str">
        <f t="shared" si="1"/>
        <v/>
      </c>
      <c r="AY12" s="1663" t="str">
        <f t="shared" si="1"/>
        <v/>
      </c>
      <c r="AZ12" s="1663" t="str">
        <f t="shared" si="1"/>
        <v/>
      </c>
      <c r="BA12" s="1522" t="str">
        <f t="shared" si="2"/>
        <v/>
      </c>
      <c r="BB12" s="1527" t="str">
        <f t="shared" si="3"/>
        <v/>
      </c>
      <c r="BC12" s="1528" t="str">
        <f t="shared" si="4"/>
        <v/>
      </c>
      <c r="BD12" s="1654" t="str">
        <f t="shared" si="5"/>
        <v/>
      </c>
      <c r="BE12" s="1657" t="str">
        <f t="shared" si="6"/>
        <v/>
      </c>
      <c r="BF12" s="1539" t="str">
        <f t="shared" si="7"/>
        <v/>
      </c>
      <c r="BG12" s="1544" t="str">
        <f t="shared" si="8"/>
        <v/>
      </c>
      <c r="BH12" s="1545" t="str">
        <f t="shared" si="9"/>
        <v/>
      </c>
      <c r="BI12" s="1660" t="str">
        <f t="shared" si="10"/>
        <v/>
      </c>
      <c r="BJ12" s="1660" t="str">
        <f t="shared" si="11"/>
        <v/>
      </c>
      <c r="BK12" s="1546" t="str">
        <f t="shared" si="12"/>
        <v/>
      </c>
      <c r="BL12" s="1467" t="str">
        <f t="shared" ref="BL12:BL50" si="22">IF(AE12="","",AE12)</f>
        <v/>
      </c>
      <c r="BM12" s="260"/>
      <c r="BN12" s="1667" t="str">
        <f t="shared" ref="BN12:BN50" si="23">IF($AT12="","",
IF(
AND(
IFERROR(VALUE(TRIM(SUBSTITUTE(AY12,CHAR(160),""))),0)=0,
IFERROR(VALUE(TRIM(SUBSTITUTE(BD12,CHAR(160),""))),0)=0,
IFERROR(VALUE(TRIM(SUBSTITUTE(BI12,CHAR(160),""))),0)=0
),
0,
IF(
1.15*
MIN(
IF(IFERROR(VALUE(TRIM(SUBSTITUTE(AY12,CHAR(160),""))),0)=0,1E+30,IFERROR(VALUE(TRIM(SUBSTITUTE(AY12,CHAR(160),""))),0)),
IF(IFERROR(VALUE(TRIM(SUBSTITUTE(BD12,CHAR(160),""))),0)=0,1E+30,IFERROR(VALUE(TRIM(SUBSTITUTE(BD12,CHAR(160),""))),0)),
IF(IFERROR(VALUE(TRIM(SUBSTITUTE(BI12,CHAR(160),""))),0)=0,1E+30,IFERROR(VALUE(TRIM(SUBSTITUTE(BI12,CHAR(160),""))),0))
)
*IFERROR(VALUE(TRIM(SUBSTITUTE($AT12,CHAR(160),""))),0)
=0,
0,
1.15*
MIN(
IF(IFERROR(VALUE(TRIM(SUBSTITUTE(AY12,CHAR(160),""))),0)=0,1E+30,IFERROR(VALUE(TRIM(SUBSTITUTE(AY12,CHAR(160),""))),0)),
IF(IFERROR(VALUE(TRIM(SUBSTITUTE(BD12,CHAR(160),""))),0)=0,1E+30,IFERROR(VALUE(TRIM(SUBSTITUTE(BD12,CHAR(160),""))),0)),
IF(IFERROR(VALUE(TRIM(SUBSTITUTE(BI12,CHAR(160),""))),0)=0,1E+30,IFERROR(VALUE(TRIM(SUBSTITUTE(BI12,CHAR(160),""))),0))
)
*IFERROR(VALUE(TRIM(SUBSTITUTE($AT12,CHAR(160),""))),0)
)
)
)</f>
        <v/>
      </c>
      <c r="BO12" s="1667" t="str">
        <f t="shared" ref="BO12:BO50" si="24">IF($AT12="","",
IF(
AND(
IFERROR(VALUE(TRIM(SUBSTITUTE(AZ12,CHAR(160),""))),0)=0,
IFERROR(VALUE(TRIM(SUBSTITUTE(BE12,CHAR(160),""))),0)=0,
IFERROR(VALUE(TRIM(SUBSTITUTE(BJ12,CHAR(160),""))),0)=0
),
0,
IF(
1.15*
MIN(
IF(IFERROR(VALUE(TRIM(SUBSTITUTE(AZ12,CHAR(160),""))),0)=0,1E+30,IFERROR(VALUE(TRIM(SUBSTITUTE(AZ12,CHAR(160),""))),0)),
IF(IFERROR(VALUE(TRIM(SUBSTITUTE(BE12,CHAR(160),""))),0)=0,1E+30,IFERROR(VALUE(TRIM(SUBSTITUTE(BE12,CHAR(160),""))),0)),
IF(IFERROR(VALUE(TRIM(SUBSTITUTE(BJ12,CHAR(160),""))),0)=0,1E+30,IFERROR(VALUE(TRIM(SUBSTITUTE(BJ12,CHAR(160),""))),0))
)
*IFERROR(VALUE(TRIM(SUBSTITUTE($AT12,CHAR(160),""))),0)
=0,
0,
1.15*
MIN(
IF(IFERROR(VALUE(TRIM(SUBSTITUTE(AZ12,CHAR(160),""))),0)=0,1E+30,IFERROR(VALUE(TRIM(SUBSTITUTE(AZ12,CHAR(160),""))),0)),
IF(IFERROR(VALUE(TRIM(SUBSTITUTE(BE12,CHAR(160),""))),0)=0,1E+30,IFERROR(VALUE(TRIM(SUBSTITUTE(BE12,CHAR(160),""))),0)),
IF(IFERROR(VALUE(TRIM(SUBSTITUTE(BJ12,CHAR(160),""))),0)=0,1E+30,IFERROR(VALUE(TRIM(SUBSTITUTE(BJ12,CHAR(160),""))),0))
)
*IFERROR(VALUE(TRIM(SUBSTITUTE($AT12,CHAR(160),""))),0)
)
)
)</f>
        <v/>
      </c>
      <c r="BP12" s="300" t="str">
        <f t="shared" si="14"/>
        <v/>
      </c>
      <c r="BQ12" s="1470" t="str" cm="1">
        <f t="array" ref="BQ12">IF($AT12="","",
_xlfn.IFS(
$BL12="Devis 1",
IF(ISBLANK(AY12),"",IFERROR(VALUE(TRIM(SUBSTITUTE(AY12,CHAR(160),""))),0)*IFERROR(VALUE(TRIM(SUBSTITUTE($AT12,CHAR(160),""))),0)),
$BL12="Devis 2",
IF(ISBLANK(BD12),"",IFERROR(VALUE(TRIM(SUBSTITUTE(BD12,CHAR(160),""))),0)*IFERROR(VALUE(TRIM(SUBSTITUTE($AT12,CHAR(160),""))),0)),
$BL12="Devis 3",
IF(ISBLANK(BI12),"",IFERROR(VALUE(TRIM(SUBSTITUTE(BI12,CHAR(160),""))),0)*IFERROR(VALUE(TRIM(SUBSTITUTE($AT12,CHAR(160),""))),0)),
TRUE,0
)
)</f>
        <v/>
      </c>
      <c r="BR12" s="1470" t="str" cm="1">
        <f t="array" ref="BR12">IF($AT12="","",
_xlfn.IFS(
$BL12="Devis 1",
IF(ISBLANK(AZ12),"",IFERROR(VALUE(TRIM(SUBSTITUTE(AZ12,CHAR(160),""))),0)*IFERROR(VALUE(TRIM(SUBSTITUTE($AT12,CHAR(160),""))),0)),
$BL12="Devis 2",
IF(ISBLANK(BE12),"",IFERROR(VALUE(TRIM(SUBSTITUTE(BE12,CHAR(160),""))),0)*IFERROR(VALUE(TRIM(SUBSTITUTE($AT12,CHAR(160),""))),0)),
$BL12="Devis 3",
IF(ISBLANK(BJ12),"",IFERROR(VALUE(TRIM(SUBSTITUTE(BJ12,CHAR(160),""))),0)*IFERROR(VALUE(TRIM(SUBSTITUTE($AT12,CHAR(160),""))),0)),
TRUE,0
)
)</f>
        <v/>
      </c>
      <c r="BS12" s="1470" t="str">
        <f t="shared" ref="BS12:BS50" si="25">IF(BQ12="","",BQ12+BR12)</f>
        <v/>
      </c>
      <c r="BT12" s="194"/>
      <c r="BU12" s="216" t="str" cm="1">
        <f t="array" ref="BU12">IF(OR(BS12="",BP12="",BQ12="",BN12="",BR12="",BO12=""),"",_xlfn.IFS(
ROUND(IFERROR(VALUE(TRIM(SUBSTITUTE(BS12,CHAR(160),""))),0),2)&gt;
ROUND(IFERROR(VALUE(TRIM(SUBSTITUTE(BP12,CHAR(160),""))),0),2),
"KO : Le montant retenu TTC est supérieur au montant raisonnable TTC. Merci de revoir la ligne de dépense ou plafonner son montant.",
ROUND(IFERROR(VALUE(TRIM(SUBSTITUTE(BQ12,CHAR(160),""))),0),2)&gt;
ROUND(IFERROR(VALUE(TRIM(SUBSTITUTE(BN12,CHAR(160),""))),0),2),
"Attention : Le montant retenu HT est supérieur au montant HT raisonnable. Merci de revoir la ligne de dépense, plafonner son montant, ou justifier la reventillation HT / TVA.",
ROUND(IFERROR(VALUE(TRIM(SUBSTITUTE(BR12,CHAR(160),""))),0),2)&gt;
ROUND(IFERROR(VALUE(TRIM(SUBSTITUTE(BO12,CHAR(160),""))),0),2),
"Attention : Le montant TVA retenu est supérieur au montant TVA raisonnable. Merci de revoir la ligne de dépense, plafonner son montant, ou justifier la reventillation HT / TVA.",
ROUND(IFERROR(VALUE(TRIM(SUBSTITUTE(BS12,CHAR(160),""))),0),2)&gt;
ROUND(IFERROR(VALUE(TRIM(SUBSTITUTE(MIN(T12,Y12,AD12),CHAR(160),""))),0),2),
"Attention : Le devis retenu n'est pas le moins cher. Une justification de la part du porteur est nécessaire.",
ROUND(IFERROR(VALUE(TRIM(SUBSTITUTE(BS12,CHAR(160),""))),0),2)=0,
"Attention : montant présenté entièrement écarté",
ROUND(IFERROR(VALUE(TRIM(SUBSTITUTE(BP12,CHAR(160),""))),0),2)=
ROUND(IFERROR(VALUE(TRIM(SUBSTITUTE(BS12,CHAR(160),""))),0),2),
"OK",
ROUND(IFERROR(VALUE(TRIM(SUBSTITUTE(BP12,CHAR(160),""))),0),2)&gt;
ROUND(IFERROR(VALUE(TRIM(SUBSTITUTE(BS12,CHAR(160),""))),0),2),
" OK : Montant instruit inférieur au montant raisonnable.",
TRUE,""
))</f>
        <v/>
      </c>
      <c r="BV12" s="57" t="str" cm="1">
        <f t="array" ref="BV12">IF(OR(BS12="",AH12="",BQ12="",AF12="",BR12="",AG12=""),"",_xlfn.IFS(
ROUND(IFERROR(VALUE(TRIM(SUBSTITUTE(BS12,CHAR(160),""))),0),2)&gt;
ROUND(IFERROR(VALUE(TRIM(SUBSTITUTE(AH12,CHAR(160),""))),0),2),
"KO : Le montant retenu TTC est supérieur au montant présenté TTC. Merci de revoir la ligne de dépense ou plafonner son montant.",
ROUND(IFERROR(VALUE(TRIM(SUBSTITUTE(BQ12,CHAR(160),""))),0),2)&gt;
ROUND(IFERROR(VALUE(TRIM(SUBSTITUTE(AF12,CHAR(160),""))),0),2),
"Attention : Le montant retenu HT est supérieur au montant HT présenté. Merci de revoir la ligne de dépense, plafonner son montant, ou justifier la reventillation HT / TVA.",
ROUND(IFERROR(VALUE(TRIM(SUBSTITUTE(BR12,CHAR(160),""))),0),2)&gt;
ROUND(IFERROR(VALUE(TRIM(SUBSTITUTE(AG12,CHAR(160),""))),0),2),
"Attention : Le montant TVA retenu est supérieur au montant TVA présenté. Merci de revoir la ligne de dépense, plafonner son montant, ou justifier la reventillation HT / TVA.",
ROUND(IFERROR(VALUE(TRIM(SUBSTITUTE(AH12,CHAR(160),""))),0),2)=0,
"",
ROUND(IFERROR(VALUE(TRIM(SUBSTITUTE(BS12,CHAR(160),""))),0),2)=
ROUND(IFERROR(VALUE(TRIM(SUBSTITUTE(AH12,CHAR(160),""))),0),2),
"OK",
ROUND(IFERROR(VALUE(TRIM(SUBSTITUTE(BS12,CHAR(160),""))),0),2)=0,
"Attention : Montant présenté entièrement rejeté.",
ROUND(IFERROR(VALUE(TRIM(SUBSTITUTE(BS12,CHAR(160),""))),0),2)&lt;
ROUND(IFERROR(VALUE(TRIM(SUBSTITUTE(AH12,CHAR(160),""))),0),2),
"Attention : Montant présenté partiellement rejeté.",
TRUE,""
))</f>
        <v/>
      </c>
      <c r="BW12" s="1202" t="str">
        <f t="shared" si="15"/>
        <v/>
      </c>
      <c r="BX12" s="1202" t="str">
        <f t="shared" si="16"/>
        <v/>
      </c>
      <c r="BY12" s="1216" t="str">
        <f t="shared" si="17"/>
        <v/>
      </c>
      <c r="CB12"/>
      <c r="CF12" s="185"/>
    </row>
    <row r="13" spans="2:84" ht="20.100000000000001" customHeight="1">
      <c r="B13" s="1206">
        <v>3</v>
      </c>
      <c r="C13" s="11"/>
      <c r="D13" s="11"/>
      <c r="E13" s="22"/>
      <c r="F13" s="22"/>
      <c r="G13" s="22"/>
      <c r="H13" s="22"/>
      <c r="I13" s="11"/>
      <c r="J13" s="1201"/>
      <c r="K13" s="1512"/>
      <c r="L13" s="11"/>
      <c r="M13" s="2"/>
      <c r="N13" s="23"/>
      <c r="O13" s="25"/>
      <c r="P13" s="1552"/>
      <c r="Q13" s="1516"/>
      <c r="R13" s="1517"/>
      <c r="S13" s="1517"/>
      <c r="T13" s="1522" t="str">
        <f t="shared" si="18"/>
        <v/>
      </c>
      <c r="U13" s="1559"/>
      <c r="V13" s="1523"/>
      <c r="W13" s="1524"/>
      <c r="X13" s="1524"/>
      <c r="Y13" s="1539" t="str">
        <f t="shared" si="19"/>
        <v/>
      </c>
      <c r="Z13" s="1567"/>
      <c r="AA13" s="1568"/>
      <c r="AB13" s="1569"/>
      <c r="AC13" s="1569"/>
      <c r="AD13" s="1546" t="str">
        <f t="shared" si="20"/>
        <v/>
      </c>
      <c r="AE13" s="6"/>
      <c r="AF13" s="1202" t="str" cm="1">
        <f t="array" ref="AF13">IF((_xlfn.IFS(TRIM(SUBSTITUTE(AE13,CHAR(160),""))="Devis 1",IFERROR(VALUE(TRIM(SUBSTITUTE(R13,CHAR(160),""))),0),TRIM(SUBSTITUTE(AE13,CHAR(160),""))="Devis 2",IFERROR(VALUE(TRIM(SUBSTITUTE(W13,CHAR(160),""))),0),TRIM(SUBSTITUTE(AE13,CHAR(160),""))="Devis 3",IFERROR(VALUE(TRIM(SUBSTITUTE(AB13,CHAR(160),""))),0),TRUE,0)*IFERROR(VALUE(TRIM(SUBSTITUTE(M13,CHAR(160),""))),0))=0,"",_xlfn.IFS(TRIM(SUBSTITUTE(AE13,CHAR(160),""))="Devis 1",IFERROR(VALUE(TRIM(SUBSTITUTE(R13,CHAR(160),""))),0),TRIM(SUBSTITUTE(AE13,CHAR(160),""))="Devis 2",IFERROR(VALUE(TRIM(SUBSTITUTE(W13,CHAR(160),""))),0),TRIM(SUBSTITUTE(AE13,CHAR(160),""))="Devis 3",IFERROR(VALUE(TRIM(SUBSTITUTE(AB13,CHAR(160),""))),0),TRUE,0)*IFERROR(VALUE(TRIM(SUBSTITUTE(M13,CHAR(160),""))),0))</f>
        <v/>
      </c>
      <c r="AG13" s="1202" t="str" cm="1">
        <f t="array" ref="AG13">IF((_xlfn.IFS(TRIM(SUBSTITUTE(AE13,CHAR(160),""))="Devis 1",IFERROR(VALUE(TRIM(SUBSTITUTE(S13,CHAR(160),""))),0),TRIM(SUBSTITUTE(AE13,CHAR(160),""))="Devis 2",IFERROR(VALUE(TRIM(SUBSTITUTE(X13,CHAR(160),""))),0),TRIM(SUBSTITUTE(AE13,CHAR(160),""))="Devis 3",IFERROR(VALUE(TRIM(SUBSTITUTE(AC13,CHAR(160),""))),0),TRUE,0)*IFERROR(VALUE(TRIM(SUBSTITUTE(M13,CHAR(160),""))),0))=0,"",_xlfn.IFS(TRIM(SUBSTITUTE(AE13,CHAR(160),""))="Devis 1",IFERROR(VALUE(TRIM(SUBSTITUTE(S13,CHAR(160),""))),0),TRIM(SUBSTITUTE(AF13,CHAR(160),""))="Devis 2",IFERROR(VALUE(TRIM(SUBSTITUTE(X13,CHAR(160),""))),0),TRIM(SUBSTITUTE(AF13,CHAR(160),""))="Devis 3",IFERROR(VALUE(TRIM(SUBSTITUTE(AC13,CHAR(160),""))),0),TRUE,0)*IFERROR(VALUE(TRIM(SUBSTITUTE(M13,CHAR(160),""))),0))</f>
        <v/>
      </c>
      <c r="AH13" s="1202" t="str" cm="1">
        <f t="array" ref="AH13">IF((_xlfn.IFS(TRIM(SUBSTITUTE(AE13,CHAR(160),""))="Devis 1",IFERROR(VALUE(TRIM(SUBSTITUTE(T13,CHAR(160),""))),0),TRIM(SUBSTITUTE(AE13,CHAR(160),""))="Devis 2",IFERROR(VALUE(TRIM(SUBSTITUTE(Y13,CHAR(160),""))),0),TRIM(SUBSTITUTE(AE13,CHAR(160),""))="Devis 3",IFERROR(VALUE(TRIM(SUBSTITUTE(AD13,CHAR(160),""))),0),TRUE,0)*IFERROR(VALUE(TRIM(SUBSTITUTE(M13,CHAR(160),""))),0))=0,"",_xlfn.IFS(TRIM(SUBSTITUTE(AE13,CHAR(160),""))="Devis 1",IFERROR(VALUE(TRIM(SUBSTITUTE(T13,CHAR(160),""))),0),TRIM(SUBSTITUTE(AE13,CHAR(160),""))="Devis 2",IFERROR(VALUE(TRIM(SUBSTITUTE(Y13,CHAR(160),""))),0),TRIM(SUBSTITUTE(AE13,CHAR(160),""))="Devis 3",IFERROR(VALUE(TRIM(SUBSTITUTE(AD13,CHAR(160),""))),0),TRUE,0)*IFERROR(VALUE(TRIM(SUBSTITUTE(M13,CHAR(160),""))),0))</f>
        <v/>
      </c>
      <c r="AI13" s="488"/>
      <c r="AJ13" s="215" t="str">
        <f t="shared" ref="AJ13:AJ50" si="26">IF(C13="","",C13)</f>
        <v/>
      </c>
      <c r="AK13" s="57" t="str">
        <f t="shared" ref="AK13:AK50" si="27">IF(D13="","",D13)</f>
        <v/>
      </c>
      <c r="AL13" s="57" t="str">
        <f t="shared" ref="AL13:AL50" si="28">IF(E13="","",E13)</f>
        <v/>
      </c>
      <c r="AM13" s="57" t="str">
        <f t="shared" ref="AM13:AM50" si="29">IF(F13="","",F13)</f>
        <v/>
      </c>
      <c r="AN13" s="57" t="str">
        <f t="shared" si="21"/>
        <v/>
      </c>
      <c r="AO13" s="57" t="str">
        <f t="shared" ref="AO13:AO50" si="30">IF(H13="","",H13)</f>
        <v/>
      </c>
      <c r="AP13" s="57" t="str">
        <f t="shared" ref="AP13:AP50" si="31">IF(I13="","",I13)</f>
        <v/>
      </c>
      <c r="AQ13" s="57" t="str">
        <f t="shared" ref="AQ13:AQ50" si="32">IF(J13="","",J13)</f>
        <v/>
      </c>
      <c r="AR13" s="57" t="str">
        <f t="shared" ref="AR13:AR50" si="33">IF(K13="","",K13)</f>
        <v/>
      </c>
      <c r="AS13" s="57" t="str">
        <f t="shared" ref="AS13:AS50" si="34">IF(L13="","",L13)</f>
        <v/>
      </c>
      <c r="AT13" s="1172" t="str">
        <f t="shared" ref="AT13:AT50" si="35">IF(M13="","",M13)</f>
        <v/>
      </c>
      <c r="AU13" s="57" t="str">
        <f t="shared" ref="AU13:AU50" si="36">IF(N13="","",N13)</f>
        <v/>
      </c>
      <c r="AV13" s="691" t="str">
        <f t="shared" ref="AV13:AV50" si="37">IF(O13="","",O13)</f>
        <v/>
      </c>
      <c r="AW13" s="1533" t="str">
        <f t="shared" ref="AW13:AW50" si="38">IF(P13="","",P13)</f>
        <v/>
      </c>
      <c r="AX13" s="1521" t="str">
        <f t="shared" ref="AX13:AX50" si="39">IF(Q13="","",Q13)</f>
        <v/>
      </c>
      <c r="AY13" s="1663" t="str">
        <f t="shared" ref="AY13:AY50" si="40">IF(R13="","",R13)</f>
        <v/>
      </c>
      <c r="AZ13" s="1663" t="str">
        <f t="shared" ref="AZ13:AZ50" si="41">IF(S13="","",S13)</f>
        <v/>
      </c>
      <c r="BA13" s="1522" t="str">
        <f t="shared" si="2"/>
        <v/>
      </c>
      <c r="BB13" s="1527" t="str">
        <f t="shared" si="3"/>
        <v/>
      </c>
      <c r="BC13" s="1528" t="str">
        <f t="shared" si="4"/>
        <v/>
      </c>
      <c r="BD13" s="1654" t="str">
        <f t="shared" si="5"/>
        <v/>
      </c>
      <c r="BE13" s="1657" t="str">
        <f t="shared" si="6"/>
        <v/>
      </c>
      <c r="BF13" s="1539" t="str">
        <f t="shared" si="7"/>
        <v/>
      </c>
      <c r="BG13" s="1544" t="str">
        <f t="shared" si="8"/>
        <v/>
      </c>
      <c r="BH13" s="1545" t="str">
        <f t="shared" si="9"/>
        <v/>
      </c>
      <c r="BI13" s="1660" t="str">
        <f t="shared" si="10"/>
        <v/>
      </c>
      <c r="BJ13" s="1660" t="str">
        <f t="shared" si="11"/>
        <v/>
      </c>
      <c r="BK13" s="1546" t="str">
        <f t="shared" si="12"/>
        <v/>
      </c>
      <c r="BL13" s="1467" t="str">
        <f t="shared" si="22"/>
        <v/>
      </c>
      <c r="BM13" s="260"/>
      <c r="BN13" s="1667" t="str">
        <f t="shared" si="23"/>
        <v/>
      </c>
      <c r="BO13" s="1667" t="str">
        <f t="shared" si="24"/>
        <v/>
      </c>
      <c r="BP13" s="300" t="str">
        <f t="shared" si="14"/>
        <v/>
      </c>
      <c r="BQ13" s="1470" t="str" cm="1">
        <f t="array" ref="BQ13">IF($AT13="","",
_xlfn.IFS(
$BL13="Devis 1",
IF(ISBLANK(AY13),"",IFERROR(VALUE(TRIM(SUBSTITUTE(AY13,CHAR(160),""))),0)*IFERROR(VALUE(TRIM(SUBSTITUTE($AT13,CHAR(160),""))),0)),
$BL13="Devis 2",
IF(ISBLANK(BD13),"",IFERROR(VALUE(TRIM(SUBSTITUTE(BD13,CHAR(160),""))),0)*IFERROR(VALUE(TRIM(SUBSTITUTE($AT13,CHAR(160),""))),0)),
$BL13="Devis 3",
IF(ISBLANK(BI13),"",IFERROR(VALUE(TRIM(SUBSTITUTE(BI13,CHAR(160),""))),0)*IFERROR(VALUE(TRIM(SUBSTITUTE($AT13,CHAR(160),""))),0)),
TRUE,0
)
)</f>
        <v/>
      </c>
      <c r="BR13" s="1470" t="str" cm="1">
        <f t="array" ref="BR13">IF($AT13="","",
_xlfn.IFS(
$BL13="Devis 1",
IF(ISBLANK(AZ13),"",IFERROR(VALUE(TRIM(SUBSTITUTE(AZ13,CHAR(160),""))),0)*IFERROR(VALUE(TRIM(SUBSTITUTE($AT13,CHAR(160),""))),0)),
$BL13="Devis 2",
IF(ISBLANK(BE13),"",IFERROR(VALUE(TRIM(SUBSTITUTE(BE13,CHAR(160),""))),0)*IFERROR(VALUE(TRIM(SUBSTITUTE($AT13,CHAR(160),""))),0)),
$BL13="Devis 3",
IF(ISBLANK(BJ13),"",IFERROR(VALUE(TRIM(SUBSTITUTE(BJ13,CHAR(160),""))),0)*IFERROR(VALUE(TRIM(SUBSTITUTE($AT13,CHAR(160),""))),0)),
TRUE,0
)
)</f>
        <v/>
      </c>
      <c r="BS13" s="1470" t="str">
        <f t="shared" si="25"/>
        <v/>
      </c>
      <c r="BT13" s="194"/>
      <c r="BU13" s="216" t="str" cm="1">
        <f t="array" ref="BU13">IF(OR(BS13="",BP13="",BQ13="",BN13="",BR13="",BO13=""),"",_xlfn.IFS(
ROUND(IFERROR(VALUE(TRIM(SUBSTITUTE(BS13,CHAR(160),""))),0),2)&gt;
ROUND(IFERROR(VALUE(TRIM(SUBSTITUTE(BP13,CHAR(160),""))),0),2),
"KO : Le montant retenu TTC est supérieur au montant raisonnable TTC. Merci de revoir la ligne de dépense ou plafonner son montant.",
ROUND(IFERROR(VALUE(TRIM(SUBSTITUTE(BQ13,CHAR(160),""))),0),2)&gt;
ROUND(IFERROR(VALUE(TRIM(SUBSTITUTE(BN13,CHAR(160),""))),0),2),
"Attention : Le montant retenu HT est supérieur au montant HT raisonnable. Merci de revoir la ligne de dépense, plafonner son montant, ou justifier la reventillation HT / TVA.",
ROUND(IFERROR(VALUE(TRIM(SUBSTITUTE(BR13,CHAR(160),""))),0),2)&gt;
ROUND(IFERROR(VALUE(TRIM(SUBSTITUTE(BO13,CHAR(160),""))),0),2),
"Attention : Le montant TVA retenu est supérieur au montant TVA raisonnable. Merci de revoir la ligne de dépense, plafonner son montant, ou justifier la reventillation HT / TVA.",
ROUND(IFERROR(VALUE(TRIM(SUBSTITUTE(BS13,CHAR(160),""))),0),2)&gt;
ROUND(IFERROR(VALUE(TRIM(SUBSTITUTE(MIN(T13,Y13,AD13),CHAR(160),""))),0),2),
"Attention : Le devis retenu n'est pas le moins cher. Une justification de la part du porteur est nécessaire.",
ROUND(IFERROR(VALUE(TRIM(SUBSTITUTE(BS13,CHAR(160),""))),0),2)=0,
"Attention : montant présenté entièrement écarté",
ROUND(IFERROR(VALUE(TRIM(SUBSTITUTE(BP13,CHAR(160),""))),0),2)=
ROUND(IFERROR(VALUE(TRIM(SUBSTITUTE(BS13,CHAR(160),""))),0),2),
"OK",
ROUND(IFERROR(VALUE(TRIM(SUBSTITUTE(BP13,CHAR(160),""))),0),2)&gt;
ROUND(IFERROR(VALUE(TRIM(SUBSTITUTE(BS13,CHAR(160),""))),0),2),
" OK : Montant instruit inférieur au montant raisonnable.",
TRUE,""
))</f>
        <v/>
      </c>
      <c r="BV13" s="57" t="str" cm="1">
        <f t="array" ref="BV13">IF(OR(BS13="",AH13="",BQ13="",AF13="",BR13="",AG13=""),"",_xlfn.IFS(
ROUND(IFERROR(VALUE(TRIM(SUBSTITUTE(BS13,CHAR(160),""))),0),2)&gt;
ROUND(IFERROR(VALUE(TRIM(SUBSTITUTE(AH13,CHAR(160),""))),0),2),
"KO : Le montant retenu TTC est supérieur au montant présenté TTC. Merci de revoir la ligne de dépense ou plafonner son montant.",
ROUND(IFERROR(VALUE(TRIM(SUBSTITUTE(BQ13,CHAR(160),""))),0),2)&gt;
ROUND(IFERROR(VALUE(TRIM(SUBSTITUTE(AF13,CHAR(160),""))),0),2),
"Attention : Le montant retenu HT est supérieur au montant HT présenté. Merci de revoir la ligne de dépense, plafonner son montant, ou justifier la reventillation HT / TVA.",
ROUND(IFERROR(VALUE(TRIM(SUBSTITUTE(BR13,CHAR(160),""))),0),2)&gt;
ROUND(IFERROR(VALUE(TRIM(SUBSTITUTE(AG13,CHAR(160),""))),0),2),
"Attention : Le montant TVA retenu est supérieur au montant TVA présenté. Merci de revoir la ligne de dépense, plafonner son montant, ou justifier la reventillation HT / TVA.",
ROUND(IFERROR(VALUE(TRIM(SUBSTITUTE(AH13,CHAR(160),""))),0),2)=0,
"",
ROUND(IFERROR(VALUE(TRIM(SUBSTITUTE(BS13,CHAR(160),""))),0),2)=
ROUND(IFERROR(VALUE(TRIM(SUBSTITUTE(AH13,CHAR(160),""))),0),2),
"OK",
ROUND(IFERROR(VALUE(TRIM(SUBSTITUTE(BS13,CHAR(160),""))),0),2)=0,
"Attention : Montant présenté entièrement rejeté.",
ROUND(IFERROR(VALUE(TRIM(SUBSTITUTE(BS13,CHAR(160),""))),0),2)&lt;
ROUND(IFERROR(VALUE(TRIM(SUBSTITUTE(AH13,CHAR(160),""))),0),2),
"Attention : Montant présenté partiellement rejeté.",
TRUE,""
))</f>
        <v/>
      </c>
      <c r="BW13" s="1202" t="str">
        <f t="shared" si="15"/>
        <v/>
      </c>
      <c r="BX13" s="1202" t="str">
        <f t="shared" si="16"/>
        <v/>
      </c>
      <c r="BY13" s="1216" t="str">
        <f t="shared" si="17"/>
        <v/>
      </c>
      <c r="CB13"/>
      <c r="CF13" s="185"/>
    </row>
    <row r="14" spans="2:84" ht="20.100000000000001" customHeight="1">
      <c r="B14" s="1206">
        <v>4</v>
      </c>
      <c r="C14" s="11"/>
      <c r="D14" s="11"/>
      <c r="E14" s="22"/>
      <c r="F14" s="22"/>
      <c r="G14" s="22"/>
      <c r="H14" s="22"/>
      <c r="I14" s="11"/>
      <c r="J14" s="1201"/>
      <c r="K14" s="1512"/>
      <c r="L14" s="11"/>
      <c r="M14" s="2"/>
      <c r="N14" s="23"/>
      <c r="O14" s="25"/>
      <c r="P14" s="1552"/>
      <c r="Q14" s="1516"/>
      <c r="R14" s="1517"/>
      <c r="S14" s="1517"/>
      <c r="T14" s="1522" t="str">
        <f t="shared" si="18"/>
        <v/>
      </c>
      <c r="U14" s="1559"/>
      <c r="V14" s="1523"/>
      <c r="W14" s="1524"/>
      <c r="X14" s="1524"/>
      <c r="Y14" s="1539" t="str">
        <f t="shared" si="19"/>
        <v/>
      </c>
      <c r="Z14" s="1567"/>
      <c r="AA14" s="1568"/>
      <c r="AB14" s="1569"/>
      <c r="AC14" s="1569"/>
      <c r="AD14" s="1546" t="str">
        <f t="shared" si="20"/>
        <v/>
      </c>
      <c r="AE14" s="6"/>
      <c r="AF14" s="1202" t="str" cm="1">
        <f t="array" ref="AF14">IF((_xlfn.IFS(TRIM(SUBSTITUTE(AE14,CHAR(160),""))="Devis 1",IFERROR(VALUE(TRIM(SUBSTITUTE(R14,CHAR(160),""))),0),TRIM(SUBSTITUTE(AE14,CHAR(160),""))="Devis 2",IFERROR(VALUE(TRIM(SUBSTITUTE(W14,CHAR(160),""))),0),TRIM(SUBSTITUTE(AE14,CHAR(160),""))="Devis 3",IFERROR(VALUE(TRIM(SUBSTITUTE(AB14,CHAR(160),""))),0),TRUE,0)*IFERROR(VALUE(TRIM(SUBSTITUTE(M14,CHAR(160),""))),0))=0,"",_xlfn.IFS(TRIM(SUBSTITUTE(AE14,CHAR(160),""))="Devis 1",IFERROR(VALUE(TRIM(SUBSTITUTE(R14,CHAR(160),""))),0),TRIM(SUBSTITUTE(AE14,CHAR(160),""))="Devis 2",IFERROR(VALUE(TRIM(SUBSTITUTE(W14,CHAR(160),""))),0),TRIM(SUBSTITUTE(AE14,CHAR(160),""))="Devis 3",IFERROR(VALUE(TRIM(SUBSTITUTE(AB14,CHAR(160),""))),0),TRUE,0)*IFERROR(VALUE(TRIM(SUBSTITUTE(M14,CHAR(160),""))),0))</f>
        <v/>
      </c>
      <c r="AG14" s="1202" t="str" cm="1">
        <f t="array" ref="AG14">IF((_xlfn.IFS(TRIM(SUBSTITUTE(AE14,CHAR(160),""))="Devis 1",IFERROR(VALUE(TRIM(SUBSTITUTE(S14,CHAR(160),""))),0),TRIM(SUBSTITUTE(AE14,CHAR(160),""))="Devis 2",IFERROR(VALUE(TRIM(SUBSTITUTE(X14,CHAR(160),""))),0),TRIM(SUBSTITUTE(AE14,CHAR(160),""))="Devis 3",IFERROR(VALUE(TRIM(SUBSTITUTE(AC14,CHAR(160),""))),0),TRUE,0)*IFERROR(VALUE(TRIM(SUBSTITUTE(M14,CHAR(160),""))),0))=0,"",_xlfn.IFS(TRIM(SUBSTITUTE(AE14,CHAR(160),""))="Devis 1",IFERROR(VALUE(TRIM(SUBSTITUTE(S14,CHAR(160),""))),0),TRIM(SUBSTITUTE(AF14,CHAR(160),""))="Devis 2",IFERROR(VALUE(TRIM(SUBSTITUTE(X14,CHAR(160),""))),0),TRIM(SUBSTITUTE(AF14,CHAR(160),""))="Devis 3",IFERROR(VALUE(TRIM(SUBSTITUTE(AC14,CHAR(160),""))),0),TRUE,0)*IFERROR(VALUE(TRIM(SUBSTITUTE(M14,CHAR(160),""))),0))</f>
        <v/>
      </c>
      <c r="AH14" s="1202" t="str" cm="1">
        <f t="array" ref="AH14">IF((_xlfn.IFS(TRIM(SUBSTITUTE(AE14,CHAR(160),""))="Devis 1",IFERROR(VALUE(TRIM(SUBSTITUTE(T14,CHAR(160),""))),0),TRIM(SUBSTITUTE(AE14,CHAR(160),""))="Devis 2",IFERROR(VALUE(TRIM(SUBSTITUTE(Y14,CHAR(160),""))),0),TRIM(SUBSTITUTE(AE14,CHAR(160),""))="Devis 3",IFERROR(VALUE(TRIM(SUBSTITUTE(AD14,CHAR(160),""))),0),TRUE,0)*IFERROR(VALUE(TRIM(SUBSTITUTE(M14,CHAR(160),""))),0))=0,"",_xlfn.IFS(TRIM(SUBSTITUTE(AE14,CHAR(160),""))="Devis 1",IFERROR(VALUE(TRIM(SUBSTITUTE(T14,CHAR(160),""))),0),TRIM(SUBSTITUTE(AE14,CHAR(160),""))="Devis 2",IFERROR(VALUE(TRIM(SUBSTITUTE(Y14,CHAR(160),""))),0),TRIM(SUBSTITUTE(AE14,CHAR(160),""))="Devis 3",IFERROR(VALUE(TRIM(SUBSTITUTE(AD14,CHAR(160),""))),0),TRUE,0)*IFERROR(VALUE(TRIM(SUBSTITUTE(M14,CHAR(160),""))),0))</f>
        <v/>
      </c>
      <c r="AI14" s="488"/>
      <c r="AJ14" s="215" t="str">
        <f t="shared" si="26"/>
        <v/>
      </c>
      <c r="AK14" s="57" t="str">
        <f t="shared" si="27"/>
        <v/>
      </c>
      <c r="AL14" s="57" t="str">
        <f t="shared" si="28"/>
        <v/>
      </c>
      <c r="AM14" s="57" t="str">
        <f t="shared" si="29"/>
        <v/>
      </c>
      <c r="AN14" s="57" t="str">
        <f t="shared" si="21"/>
        <v/>
      </c>
      <c r="AO14" s="57" t="str">
        <f t="shared" si="30"/>
        <v/>
      </c>
      <c r="AP14" s="57" t="str">
        <f t="shared" si="31"/>
        <v/>
      </c>
      <c r="AQ14" s="57" t="str">
        <f t="shared" si="32"/>
        <v/>
      </c>
      <c r="AR14" s="57" t="str">
        <f t="shared" si="33"/>
        <v/>
      </c>
      <c r="AS14" s="57" t="str">
        <f t="shared" si="34"/>
        <v/>
      </c>
      <c r="AT14" s="1172" t="str">
        <f t="shared" si="35"/>
        <v/>
      </c>
      <c r="AU14" s="57" t="str">
        <f t="shared" si="36"/>
        <v/>
      </c>
      <c r="AV14" s="691" t="str">
        <f t="shared" si="37"/>
        <v/>
      </c>
      <c r="AW14" s="1533" t="str">
        <f t="shared" si="38"/>
        <v/>
      </c>
      <c r="AX14" s="1521" t="str">
        <f t="shared" si="39"/>
        <v/>
      </c>
      <c r="AY14" s="1663" t="str">
        <f t="shared" si="40"/>
        <v/>
      </c>
      <c r="AZ14" s="1663" t="str">
        <f t="shared" si="41"/>
        <v/>
      </c>
      <c r="BA14" s="1522" t="str">
        <f t="shared" si="2"/>
        <v/>
      </c>
      <c r="BB14" s="1527" t="str">
        <f t="shared" si="3"/>
        <v/>
      </c>
      <c r="BC14" s="1528" t="str">
        <f t="shared" si="4"/>
        <v/>
      </c>
      <c r="BD14" s="1654" t="str">
        <f t="shared" si="5"/>
        <v/>
      </c>
      <c r="BE14" s="1657" t="str">
        <f t="shared" si="6"/>
        <v/>
      </c>
      <c r="BF14" s="1539" t="str">
        <f t="shared" si="7"/>
        <v/>
      </c>
      <c r="BG14" s="1544" t="str">
        <f t="shared" si="8"/>
        <v/>
      </c>
      <c r="BH14" s="1545" t="str">
        <f t="shared" si="9"/>
        <v/>
      </c>
      <c r="BI14" s="1660" t="str">
        <f t="shared" si="10"/>
        <v/>
      </c>
      <c r="BJ14" s="1660" t="str">
        <f t="shared" si="11"/>
        <v/>
      </c>
      <c r="BK14" s="1546" t="str">
        <f t="shared" si="12"/>
        <v/>
      </c>
      <c r="BL14" s="1467" t="str">
        <f t="shared" si="22"/>
        <v/>
      </c>
      <c r="BM14" s="260" t="s">
        <v>141</v>
      </c>
      <c r="BN14" s="1667" t="str">
        <f t="shared" si="23"/>
        <v/>
      </c>
      <c r="BO14" s="1667" t="str">
        <f t="shared" si="24"/>
        <v/>
      </c>
      <c r="BP14" s="300" t="str">
        <f t="shared" si="14"/>
        <v/>
      </c>
      <c r="BQ14" s="1470" t="str" cm="1">
        <f t="array" ref="BQ14">IF($AT14="","",
_xlfn.IFS(
$BL14="Devis 1",
IF(ISBLANK(AY14),"",IFERROR(VALUE(TRIM(SUBSTITUTE(AY14,CHAR(160),""))),0)*IFERROR(VALUE(TRIM(SUBSTITUTE($AT14,CHAR(160),""))),0)),
$BL14="Devis 2",
IF(ISBLANK(BD14),"",IFERROR(VALUE(TRIM(SUBSTITUTE(BD14,CHAR(160),""))),0)*IFERROR(VALUE(TRIM(SUBSTITUTE($AT14,CHAR(160),""))),0)),
$BL14="Devis 3",
IF(ISBLANK(BI14),"",IFERROR(VALUE(TRIM(SUBSTITUTE(BI14,CHAR(160),""))),0)*IFERROR(VALUE(TRIM(SUBSTITUTE($AT14,CHAR(160),""))),0)),
TRUE,0
)
)</f>
        <v/>
      </c>
      <c r="BR14" s="1470" t="str" cm="1">
        <f t="array" ref="BR14">IF($AT14="","",
_xlfn.IFS(
$BL14="Devis 1",
IF(ISBLANK(AZ14),"",IFERROR(VALUE(TRIM(SUBSTITUTE(AZ14,CHAR(160),""))),0)*IFERROR(VALUE(TRIM(SUBSTITUTE($AT14,CHAR(160),""))),0)),
$BL14="Devis 2",
IF(ISBLANK(BE14),"",IFERROR(VALUE(TRIM(SUBSTITUTE(BE14,CHAR(160),""))),0)*IFERROR(VALUE(TRIM(SUBSTITUTE($AT14,CHAR(160),""))),0)),
$BL14="Devis 3",
IF(ISBLANK(BJ14),"",IFERROR(VALUE(TRIM(SUBSTITUTE(BJ14,CHAR(160),""))),0)*IFERROR(VALUE(TRIM(SUBSTITUTE($AT14,CHAR(160),""))),0)),
TRUE,0
)
)</f>
        <v/>
      </c>
      <c r="BS14" s="1470" t="str">
        <f t="shared" si="25"/>
        <v/>
      </c>
      <c r="BT14" s="194"/>
      <c r="BU14" s="216" t="str" cm="1">
        <f t="array" ref="BU14">IF(OR(BS14="",BP14="",BQ14="",BN14="",BR14="",BO14=""),"",_xlfn.IFS(
ROUND(IFERROR(VALUE(TRIM(SUBSTITUTE(BS14,CHAR(160),""))),0),2)&gt;
ROUND(IFERROR(VALUE(TRIM(SUBSTITUTE(BP14,CHAR(160),""))),0),2),
"KO : Le montant retenu TTC est supérieur au montant raisonnable TTC. Merci de revoir la ligne de dépense ou plafonner son montant.",
ROUND(IFERROR(VALUE(TRIM(SUBSTITUTE(BQ14,CHAR(160),""))),0),2)&gt;
ROUND(IFERROR(VALUE(TRIM(SUBSTITUTE(BN14,CHAR(160),""))),0),2),
"Attention : Le montant retenu HT est supérieur au montant HT raisonnable. Merci de revoir la ligne de dépense, plafonner son montant, ou justifier la reventillation HT / TVA.",
ROUND(IFERROR(VALUE(TRIM(SUBSTITUTE(BR14,CHAR(160),""))),0),2)&gt;
ROUND(IFERROR(VALUE(TRIM(SUBSTITUTE(BO14,CHAR(160),""))),0),2),
"Attention : Le montant TVA retenu est supérieur au montant TVA raisonnable. Merci de revoir la ligne de dépense, plafonner son montant, ou justifier la reventillation HT / TVA.",
ROUND(IFERROR(VALUE(TRIM(SUBSTITUTE(BS14,CHAR(160),""))),0),2)&gt;
ROUND(IFERROR(VALUE(TRIM(SUBSTITUTE(MIN(T14,Y14,AD14),CHAR(160),""))),0),2),
"Attention : Le devis retenu n'est pas le moins cher. Une justification de la part du porteur est nécessaire.",
ROUND(IFERROR(VALUE(TRIM(SUBSTITUTE(BS14,CHAR(160),""))),0),2)=0,
"Attention : montant présenté entièrement écarté",
ROUND(IFERROR(VALUE(TRIM(SUBSTITUTE(BP14,CHAR(160),""))),0),2)=
ROUND(IFERROR(VALUE(TRIM(SUBSTITUTE(BS14,CHAR(160),""))),0),2),
"OK",
ROUND(IFERROR(VALUE(TRIM(SUBSTITUTE(BP14,CHAR(160),""))),0),2)&gt;
ROUND(IFERROR(VALUE(TRIM(SUBSTITUTE(BS14,CHAR(160),""))),0),2),
" OK : Montant instruit inférieur au montant raisonnable.",
TRUE,""
))</f>
        <v/>
      </c>
      <c r="BV14" s="57" t="str" cm="1">
        <f t="array" ref="BV14">IF(OR(BS14="",AH14="",BQ14="",AF14="",BR14="",AG14=""),"",_xlfn.IFS(
ROUND(IFERROR(VALUE(TRIM(SUBSTITUTE(BS14,CHAR(160),""))),0),2)&gt;
ROUND(IFERROR(VALUE(TRIM(SUBSTITUTE(AH14,CHAR(160),""))),0),2),
"KO : Le montant retenu TTC est supérieur au montant présenté TTC. Merci de revoir la ligne de dépense ou plafonner son montant.",
ROUND(IFERROR(VALUE(TRIM(SUBSTITUTE(BQ14,CHAR(160),""))),0),2)&gt;
ROUND(IFERROR(VALUE(TRIM(SUBSTITUTE(AF14,CHAR(160),""))),0),2),
"Attention : Le montant retenu HT est supérieur au montant HT présenté. Merci de revoir la ligne de dépense, plafonner son montant, ou justifier la reventillation HT / TVA.",
ROUND(IFERROR(VALUE(TRIM(SUBSTITUTE(BR14,CHAR(160),""))),0),2)&gt;
ROUND(IFERROR(VALUE(TRIM(SUBSTITUTE(AG14,CHAR(160),""))),0),2),
"Attention : Le montant TVA retenu est supérieur au montant TVA présenté. Merci de revoir la ligne de dépense, plafonner son montant, ou justifier la reventillation HT / TVA.",
ROUND(IFERROR(VALUE(TRIM(SUBSTITUTE(AH14,CHAR(160),""))),0),2)=0,
"",
ROUND(IFERROR(VALUE(TRIM(SUBSTITUTE(BS14,CHAR(160),""))),0),2)=
ROUND(IFERROR(VALUE(TRIM(SUBSTITUTE(AH14,CHAR(160),""))),0),2),
"OK",
ROUND(IFERROR(VALUE(TRIM(SUBSTITUTE(BS14,CHAR(160),""))),0),2)=0,
"Attention : Montant présenté entièrement rejeté.",
ROUND(IFERROR(VALUE(TRIM(SUBSTITUTE(BS14,CHAR(160),""))),0),2)&lt;
ROUND(IFERROR(VALUE(TRIM(SUBSTITUTE(AH14,CHAR(160),""))),0),2),
"Attention : Montant présenté partiellement rejeté.",
TRUE,""
))</f>
        <v/>
      </c>
      <c r="BW14" s="1202" t="str">
        <f t="shared" si="15"/>
        <v/>
      </c>
      <c r="BX14" s="1202" t="str">
        <f t="shared" si="16"/>
        <v/>
      </c>
      <c r="BY14" s="1216" t="str">
        <f t="shared" si="17"/>
        <v/>
      </c>
      <c r="CB14"/>
      <c r="CF14" s="185"/>
    </row>
    <row r="15" spans="2:84" ht="20.100000000000001" customHeight="1">
      <c r="B15" s="1206">
        <v>5</v>
      </c>
      <c r="C15" s="11"/>
      <c r="D15" s="11"/>
      <c r="E15" s="1204"/>
      <c r="F15" s="22"/>
      <c r="G15" s="22"/>
      <c r="H15" s="22"/>
      <c r="I15" s="11"/>
      <c r="J15" s="1201"/>
      <c r="K15" s="1512"/>
      <c r="L15" s="11"/>
      <c r="M15" s="2"/>
      <c r="N15" s="23"/>
      <c r="O15" s="25"/>
      <c r="P15" s="1552"/>
      <c r="Q15" s="1518"/>
      <c r="R15" s="1517"/>
      <c r="S15" s="1517"/>
      <c r="T15" s="1522" t="str">
        <f t="shared" si="18"/>
        <v/>
      </c>
      <c r="U15" s="1559"/>
      <c r="V15" s="1523"/>
      <c r="W15" s="1524"/>
      <c r="X15" s="1524"/>
      <c r="Y15" s="1539" t="str">
        <f t="shared" si="19"/>
        <v/>
      </c>
      <c r="Z15" s="1567"/>
      <c r="AA15" s="1568"/>
      <c r="AB15" s="1569"/>
      <c r="AC15" s="1569"/>
      <c r="AD15" s="1546" t="str">
        <f t="shared" si="20"/>
        <v/>
      </c>
      <c r="AE15" s="6"/>
      <c r="AF15" s="1202" t="str" cm="1">
        <f t="array" ref="AF15">IF((_xlfn.IFS(TRIM(SUBSTITUTE(AE15,CHAR(160),""))="Devis 1",IFERROR(VALUE(TRIM(SUBSTITUTE(R15,CHAR(160),""))),0),TRIM(SUBSTITUTE(AE15,CHAR(160),""))="Devis 2",IFERROR(VALUE(TRIM(SUBSTITUTE(W15,CHAR(160),""))),0),TRIM(SUBSTITUTE(AE15,CHAR(160),""))="Devis 3",IFERROR(VALUE(TRIM(SUBSTITUTE(AB15,CHAR(160),""))),0),TRUE,0)*IFERROR(VALUE(TRIM(SUBSTITUTE(M15,CHAR(160),""))),0))=0,"",_xlfn.IFS(TRIM(SUBSTITUTE(AE15,CHAR(160),""))="Devis 1",IFERROR(VALUE(TRIM(SUBSTITUTE(R15,CHAR(160),""))),0),TRIM(SUBSTITUTE(AE15,CHAR(160),""))="Devis 2",IFERROR(VALUE(TRIM(SUBSTITUTE(W15,CHAR(160),""))),0),TRIM(SUBSTITUTE(AE15,CHAR(160),""))="Devis 3",IFERROR(VALUE(TRIM(SUBSTITUTE(AB15,CHAR(160),""))),0),TRUE,0)*IFERROR(VALUE(TRIM(SUBSTITUTE(M15,CHAR(160),""))),0))</f>
        <v/>
      </c>
      <c r="AG15" s="1202" t="str" cm="1">
        <f t="array" ref="AG15">IF((_xlfn.IFS(TRIM(SUBSTITUTE(AE15,CHAR(160),""))="Devis 1",IFERROR(VALUE(TRIM(SUBSTITUTE(S15,CHAR(160),""))),0),TRIM(SUBSTITUTE(AE15,CHAR(160),""))="Devis 2",IFERROR(VALUE(TRIM(SUBSTITUTE(X15,CHAR(160),""))),0),TRIM(SUBSTITUTE(AE15,CHAR(160),""))="Devis 3",IFERROR(VALUE(TRIM(SUBSTITUTE(AC15,CHAR(160),""))),0),TRUE,0)*IFERROR(VALUE(TRIM(SUBSTITUTE(M15,CHAR(160),""))),0))=0,"",_xlfn.IFS(TRIM(SUBSTITUTE(AE15,CHAR(160),""))="Devis 1",IFERROR(VALUE(TRIM(SUBSTITUTE(S15,CHAR(160),""))),0),TRIM(SUBSTITUTE(AF15,CHAR(160),""))="Devis 2",IFERROR(VALUE(TRIM(SUBSTITUTE(X15,CHAR(160),""))),0),TRIM(SUBSTITUTE(AF15,CHAR(160),""))="Devis 3",IFERROR(VALUE(TRIM(SUBSTITUTE(AC15,CHAR(160),""))),0),TRUE,0)*IFERROR(VALUE(TRIM(SUBSTITUTE(M15,CHAR(160),""))),0))</f>
        <v/>
      </c>
      <c r="AH15" s="1202" t="str" cm="1">
        <f t="array" ref="AH15">IF((_xlfn.IFS(TRIM(SUBSTITUTE(AE15,CHAR(160),""))="Devis 1",IFERROR(VALUE(TRIM(SUBSTITUTE(T15,CHAR(160),""))),0),TRIM(SUBSTITUTE(AE15,CHAR(160),""))="Devis 2",IFERROR(VALUE(TRIM(SUBSTITUTE(Y15,CHAR(160),""))),0),TRIM(SUBSTITUTE(AE15,CHAR(160),""))="Devis 3",IFERROR(VALUE(TRIM(SUBSTITUTE(AD15,CHAR(160),""))),0),TRUE,0)*IFERROR(VALUE(TRIM(SUBSTITUTE(M15,CHAR(160),""))),0))=0,"",_xlfn.IFS(TRIM(SUBSTITUTE(AE15,CHAR(160),""))="Devis 1",IFERROR(VALUE(TRIM(SUBSTITUTE(T15,CHAR(160),""))),0),TRIM(SUBSTITUTE(AE15,CHAR(160),""))="Devis 2",IFERROR(VALUE(TRIM(SUBSTITUTE(Y15,CHAR(160),""))),0),TRIM(SUBSTITUTE(AE15,CHAR(160),""))="Devis 3",IFERROR(VALUE(TRIM(SUBSTITUTE(AD15,CHAR(160),""))),0),TRUE,0)*IFERROR(VALUE(TRIM(SUBSTITUTE(M15,CHAR(160),""))),0))</f>
        <v/>
      </c>
      <c r="AI15" s="488"/>
      <c r="AJ15" s="215" t="str">
        <f t="shared" si="26"/>
        <v/>
      </c>
      <c r="AK15" s="57" t="str">
        <f t="shared" si="27"/>
        <v/>
      </c>
      <c r="AL15" s="57" t="str">
        <f t="shared" si="28"/>
        <v/>
      </c>
      <c r="AM15" s="57" t="str">
        <f t="shared" si="29"/>
        <v/>
      </c>
      <c r="AN15" s="57" t="str">
        <f t="shared" si="21"/>
        <v/>
      </c>
      <c r="AO15" s="57" t="str">
        <f t="shared" si="30"/>
        <v/>
      </c>
      <c r="AP15" s="57" t="str">
        <f t="shared" si="31"/>
        <v/>
      </c>
      <c r="AQ15" s="57" t="str">
        <f t="shared" si="32"/>
        <v/>
      </c>
      <c r="AR15" s="57" t="str">
        <f t="shared" si="33"/>
        <v/>
      </c>
      <c r="AS15" s="57" t="str">
        <f t="shared" si="34"/>
        <v/>
      </c>
      <c r="AT15" s="1172" t="str">
        <f t="shared" si="35"/>
        <v/>
      </c>
      <c r="AU15" s="57" t="str">
        <f t="shared" si="36"/>
        <v/>
      </c>
      <c r="AV15" s="691" t="str">
        <f t="shared" si="37"/>
        <v/>
      </c>
      <c r="AW15" s="1533" t="str">
        <f t="shared" si="38"/>
        <v/>
      </c>
      <c r="AX15" s="1521" t="str">
        <f t="shared" si="39"/>
        <v/>
      </c>
      <c r="AY15" s="1663" t="str">
        <f t="shared" si="40"/>
        <v/>
      </c>
      <c r="AZ15" s="1663" t="str">
        <f t="shared" si="41"/>
        <v/>
      </c>
      <c r="BA15" s="1522" t="str">
        <f t="shared" si="2"/>
        <v/>
      </c>
      <c r="BB15" s="1527" t="str">
        <f t="shared" si="3"/>
        <v/>
      </c>
      <c r="BC15" s="1528" t="str">
        <f t="shared" si="4"/>
        <v/>
      </c>
      <c r="BD15" s="1654" t="str">
        <f t="shared" si="5"/>
        <v/>
      </c>
      <c r="BE15" s="1657" t="str">
        <f t="shared" si="6"/>
        <v/>
      </c>
      <c r="BF15" s="1539" t="str">
        <f t="shared" si="7"/>
        <v/>
      </c>
      <c r="BG15" s="1544" t="str">
        <f t="shared" si="8"/>
        <v/>
      </c>
      <c r="BH15" s="1545" t="str">
        <f t="shared" si="9"/>
        <v/>
      </c>
      <c r="BI15" s="1660" t="str">
        <f t="shared" si="10"/>
        <v/>
      </c>
      <c r="BJ15" s="1660" t="str">
        <f t="shared" si="11"/>
        <v/>
      </c>
      <c r="BK15" s="1546" t="str">
        <f t="shared" si="12"/>
        <v/>
      </c>
      <c r="BL15" s="1467" t="str">
        <f t="shared" si="22"/>
        <v/>
      </c>
      <c r="BM15" s="260"/>
      <c r="BN15" s="1667" t="str">
        <f t="shared" si="23"/>
        <v/>
      </c>
      <c r="BO15" s="1667" t="str">
        <f t="shared" si="24"/>
        <v/>
      </c>
      <c r="BP15" s="300" t="str">
        <f t="shared" si="14"/>
        <v/>
      </c>
      <c r="BQ15" s="1470" t="str" cm="1">
        <f t="array" ref="BQ15">IF($AT15="","",
_xlfn.IFS(
$BL15="Devis 1",
IF(ISBLANK(AY15),"",IFERROR(VALUE(TRIM(SUBSTITUTE(AY15,CHAR(160),""))),0)*IFERROR(VALUE(TRIM(SUBSTITUTE($AT15,CHAR(160),""))),0)),
$BL15="Devis 2",
IF(ISBLANK(BD15),"",IFERROR(VALUE(TRIM(SUBSTITUTE(BD15,CHAR(160),""))),0)*IFERROR(VALUE(TRIM(SUBSTITUTE($AT15,CHAR(160),""))),0)),
$BL15="Devis 3",
IF(ISBLANK(BI15),"",IFERROR(VALUE(TRIM(SUBSTITUTE(BI15,CHAR(160),""))),0)*IFERROR(VALUE(TRIM(SUBSTITUTE($AT15,CHAR(160),""))),0)),
TRUE,0
)
)</f>
        <v/>
      </c>
      <c r="BR15" s="1470" t="str" cm="1">
        <f t="array" ref="BR15">IF($AT15="","",
_xlfn.IFS(
$BL15="Devis 1",
IF(ISBLANK(AZ15),"",IFERROR(VALUE(TRIM(SUBSTITUTE(AZ15,CHAR(160),""))),0)*IFERROR(VALUE(TRIM(SUBSTITUTE($AT15,CHAR(160),""))),0)),
$BL15="Devis 2",
IF(ISBLANK(BE15),"",IFERROR(VALUE(TRIM(SUBSTITUTE(BE15,CHAR(160),""))),0)*IFERROR(VALUE(TRIM(SUBSTITUTE($AT15,CHAR(160),""))),0)),
$BL15="Devis 3",
IF(ISBLANK(BJ15),"",IFERROR(VALUE(TRIM(SUBSTITUTE(BJ15,CHAR(160),""))),0)*IFERROR(VALUE(TRIM(SUBSTITUTE($AT15,CHAR(160),""))),0)),
TRUE,0
)
)</f>
        <v/>
      </c>
      <c r="BS15" s="1470" t="str">
        <f t="shared" si="25"/>
        <v/>
      </c>
      <c r="BT15" s="194"/>
      <c r="BU15" s="216" t="str" cm="1">
        <f t="array" ref="BU15">IF(OR(BS15="",BP15="",BQ15="",BN15="",BR15="",BO15=""),"",_xlfn.IFS(
ROUND(IFERROR(VALUE(TRIM(SUBSTITUTE(BS15,CHAR(160),""))),0),2)&gt;
ROUND(IFERROR(VALUE(TRIM(SUBSTITUTE(BP15,CHAR(160),""))),0),2),
"KO : Le montant retenu TTC est supérieur au montant raisonnable TTC. Merci de revoir la ligne de dépense ou plafonner son montant.",
ROUND(IFERROR(VALUE(TRIM(SUBSTITUTE(BQ15,CHAR(160),""))),0),2)&gt;
ROUND(IFERROR(VALUE(TRIM(SUBSTITUTE(BN15,CHAR(160),""))),0),2),
"Attention : Le montant retenu HT est supérieur au montant HT raisonnable. Merci de revoir la ligne de dépense, plafonner son montant, ou justifier la reventillation HT / TVA.",
ROUND(IFERROR(VALUE(TRIM(SUBSTITUTE(BR15,CHAR(160),""))),0),2)&gt;
ROUND(IFERROR(VALUE(TRIM(SUBSTITUTE(BO15,CHAR(160),""))),0),2),
"Attention : Le montant TVA retenu est supérieur au montant TVA raisonnable. Merci de revoir la ligne de dépense, plafonner son montant, ou justifier la reventillation HT / TVA.",
ROUND(IFERROR(VALUE(TRIM(SUBSTITUTE(BS15,CHAR(160),""))),0),2)&gt;
ROUND(IFERROR(VALUE(TRIM(SUBSTITUTE(MIN(T15,Y15,AD15),CHAR(160),""))),0),2),
"Attention : Le devis retenu n'est pas le moins cher. Une justification de la part du porteur est nécessaire.",
ROUND(IFERROR(VALUE(TRIM(SUBSTITUTE(BS15,CHAR(160),""))),0),2)=0,
"Attention : montant présenté entièrement écarté",
ROUND(IFERROR(VALUE(TRIM(SUBSTITUTE(BP15,CHAR(160),""))),0),2)=
ROUND(IFERROR(VALUE(TRIM(SUBSTITUTE(BS15,CHAR(160),""))),0),2),
"OK",
ROUND(IFERROR(VALUE(TRIM(SUBSTITUTE(BP15,CHAR(160),""))),0),2)&gt;
ROUND(IFERROR(VALUE(TRIM(SUBSTITUTE(BS15,CHAR(160),""))),0),2),
" OK : Montant instruit inférieur au montant raisonnable.",
TRUE,""
))</f>
        <v/>
      </c>
      <c r="BV15" s="57" t="str" cm="1">
        <f t="array" ref="BV15">IF(OR(BS15="",AH15="",BQ15="",AF15="",BR15="",AG15=""),"",_xlfn.IFS(
ROUND(IFERROR(VALUE(TRIM(SUBSTITUTE(BS15,CHAR(160),""))),0),2)&gt;
ROUND(IFERROR(VALUE(TRIM(SUBSTITUTE(AH15,CHAR(160),""))),0),2),
"KO : Le montant retenu TTC est supérieur au montant présenté TTC. Merci de revoir la ligne de dépense ou plafonner son montant.",
ROUND(IFERROR(VALUE(TRIM(SUBSTITUTE(BQ15,CHAR(160),""))),0),2)&gt;
ROUND(IFERROR(VALUE(TRIM(SUBSTITUTE(AF15,CHAR(160),""))),0),2),
"Attention : Le montant retenu HT est supérieur au montant HT présenté. Merci de revoir la ligne de dépense, plafonner son montant, ou justifier la reventillation HT / TVA.",
ROUND(IFERROR(VALUE(TRIM(SUBSTITUTE(BR15,CHAR(160),""))),0),2)&gt;
ROUND(IFERROR(VALUE(TRIM(SUBSTITUTE(AG15,CHAR(160),""))),0),2),
"Attention : Le montant TVA retenu est supérieur au montant TVA présenté. Merci de revoir la ligne de dépense, plafonner son montant, ou justifier la reventillation HT / TVA.",
ROUND(IFERROR(VALUE(TRIM(SUBSTITUTE(AH15,CHAR(160),""))),0),2)=0,
"",
ROUND(IFERROR(VALUE(TRIM(SUBSTITUTE(BS15,CHAR(160),""))),0),2)=
ROUND(IFERROR(VALUE(TRIM(SUBSTITUTE(AH15,CHAR(160),""))),0),2),
"OK",
ROUND(IFERROR(VALUE(TRIM(SUBSTITUTE(BS15,CHAR(160),""))),0),2)=0,
"Attention : Montant présenté entièrement rejeté.",
ROUND(IFERROR(VALUE(TRIM(SUBSTITUTE(BS15,CHAR(160),""))),0),2)&lt;
ROUND(IFERROR(VALUE(TRIM(SUBSTITUTE(AH15,CHAR(160),""))),0),2),
"Attention : Montant présenté partiellement rejeté.",
TRUE,""
))</f>
        <v/>
      </c>
      <c r="BW15" s="1202" t="str">
        <f t="shared" si="15"/>
        <v/>
      </c>
      <c r="BX15" s="1202" t="str">
        <f t="shared" si="16"/>
        <v/>
      </c>
      <c r="BY15" s="1216" t="str">
        <f t="shared" si="17"/>
        <v/>
      </c>
      <c r="CB15"/>
      <c r="CF15" s="185"/>
    </row>
    <row r="16" spans="2:84" ht="20.100000000000001" customHeight="1">
      <c r="B16" s="1206">
        <v>6</v>
      </c>
      <c r="C16" s="11"/>
      <c r="D16" s="11"/>
      <c r="E16" s="22"/>
      <c r="F16" s="22"/>
      <c r="G16" s="22"/>
      <c r="H16" s="22"/>
      <c r="I16" s="11"/>
      <c r="J16" s="1201"/>
      <c r="K16" s="1512"/>
      <c r="L16" s="11"/>
      <c r="M16" s="2"/>
      <c r="N16" s="23"/>
      <c r="O16" s="25"/>
      <c r="P16" s="1552"/>
      <c r="Q16" s="1518"/>
      <c r="R16" s="1517"/>
      <c r="S16" s="1517"/>
      <c r="T16" s="1522" t="str">
        <f t="shared" si="18"/>
        <v/>
      </c>
      <c r="U16" s="1559"/>
      <c r="V16" s="1523"/>
      <c r="W16" s="1524"/>
      <c r="X16" s="1524"/>
      <c r="Y16" s="1539" t="str">
        <f t="shared" si="19"/>
        <v/>
      </c>
      <c r="Z16" s="1567"/>
      <c r="AA16" s="1568"/>
      <c r="AB16" s="1569"/>
      <c r="AC16" s="1569"/>
      <c r="AD16" s="1546" t="str">
        <f t="shared" si="20"/>
        <v/>
      </c>
      <c r="AE16" s="6"/>
      <c r="AF16" s="1202" t="str" cm="1">
        <f t="array" ref="AF16">IF((_xlfn.IFS(TRIM(SUBSTITUTE(AE16,CHAR(160),""))="Devis 1",IFERROR(VALUE(TRIM(SUBSTITUTE(R16,CHAR(160),""))),0),TRIM(SUBSTITUTE(AE16,CHAR(160),""))="Devis 2",IFERROR(VALUE(TRIM(SUBSTITUTE(W16,CHAR(160),""))),0),TRIM(SUBSTITUTE(AE16,CHAR(160),""))="Devis 3",IFERROR(VALUE(TRIM(SUBSTITUTE(AB16,CHAR(160),""))),0),TRUE,0)*IFERROR(VALUE(TRIM(SUBSTITUTE(M16,CHAR(160),""))),0))=0,"",_xlfn.IFS(TRIM(SUBSTITUTE(AE16,CHAR(160),""))="Devis 1",IFERROR(VALUE(TRIM(SUBSTITUTE(R16,CHAR(160),""))),0),TRIM(SUBSTITUTE(AE16,CHAR(160),""))="Devis 2",IFERROR(VALUE(TRIM(SUBSTITUTE(W16,CHAR(160),""))),0),TRIM(SUBSTITUTE(AE16,CHAR(160),""))="Devis 3",IFERROR(VALUE(TRIM(SUBSTITUTE(AB16,CHAR(160),""))),0),TRUE,0)*IFERROR(VALUE(TRIM(SUBSTITUTE(M16,CHAR(160),""))),0))</f>
        <v/>
      </c>
      <c r="AG16" s="1202" t="str" cm="1">
        <f t="array" ref="AG16">IF((_xlfn.IFS(TRIM(SUBSTITUTE(AE16,CHAR(160),""))="Devis 1",IFERROR(VALUE(TRIM(SUBSTITUTE(S16,CHAR(160),""))),0),TRIM(SUBSTITUTE(AE16,CHAR(160),""))="Devis 2",IFERROR(VALUE(TRIM(SUBSTITUTE(X16,CHAR(160),""))),0),TRIM(SUBSTITUTE(AE16,CHAR(160),""))="Devis 3",IFERROR(VALUE(TRIM(SUBSTITUTE(AC16,CHAR(160),""))),0),TRUE,0)*IFERROR(VALUE(TRIM(SUBSTITUTE(M16,CHAR(160),""))),0))=0,"",_xlfn.IFS(TRIM(SUBSTITUTE(AE16,CHAR(160),""))="Devis 1",IFERROR(VALUE(TRIM(SUBSTITUTE(S16,CHAR(160),""))),0),TRIM(SUBSTITUTE(AF16,CHAR(160),""))="Devis 2",IFERROR(VALUE(TRIM(SUBSTITUTE(X16,CHAR(160),""))),0),TRIM(SUBSTITUTE(AF16,CHAR(160),""))="Devis 3",IFERROR(VALUE(TRIM(SUBSTITUTE(AC16,CHAR(160),""))),0),TRUE,0)*IFERROR(VALUE(TRIM(SUBSTITUTE(M16,CHAR(160),""))),0))</f>
        <v/>
      </c>
      <c r="AH16" s="1202" t="str" cm="1">
        <f t="array" ref="AH16">IF((_xlfn.IFS(TRIM(SUBSTITUTE(AE16,CHAR(160),""))="Devis 1",IFERROR(VALUE(TRIM(SUBSTITUTE(T16,CHAR(160),""))),0),TRIM(SUBSTITUTE(AE16,CHAR(160),""))="Devis 2",IFERROR(VALUE(TRIM(SUBSTITUTE(Y16,CHAR(160),""))),0),TRIM(SUBSTITUTE(AE16,CHAR(160),""))="Devis 3",IFERROR(VALUE(TRIM(SUBSTITUTE(AD16,CHAR(160),""))),0),TRUE,0)*IFERROR(VALUE(TRIM(SUBSTITUTE(M16,CHAR(160),""))),0))=0,"",_xlfn.IFS(TRIM(SUBSTITUTE(AE16,CHAR(160),""))="Devis 1",IFERROR(VALUE(TRIM(SUBSTITUTE(T16,CHAR(160),""))),0),TRIM(SUBSTITUTE(AE16,CHAR(160),""))="Devis 2",IFERROR(VALUE(TRIM(SUBSTITUTE(Y16,CHAR(160),""))),0),TRIM(SUBSTITUTE(AE16,CHAR(160),""))="Devis 3",IFERROR(VALUE(TRIM(SUBSTITUTE(AD16,CHAR(160),""))),0),TRUE,0)*IFERROR(VALUE(TRIM(SUBSTITUTE(M16,CHAR(160),""))),0))</f>
        <v/>
      </c>
      <c r="AI16" s="488"/>
      <c r="AJ16" s="215" t="str">
        <f t="shared" si="26"/>
        <v/>
      </c>
      <c r="AK16" s="57" t="str">
        <f t="shared" si="27"/>
        <v/>
      </c>
      <c r="AL16" s="57" t="str">
        <f t="shared" si="28"/>
        <v/>
      </c>
      <c r="AM16" s="57" t="str">
        <f t="shared" si="29"/>
        <v/>
      </c>
      <c r="AN16" s="57" t="str">
        <f t="shared" si="21"/>
        <v/>
      </c>
      <c r="AO16" s="57" t="str">
        <f t="shared" si="30"/>
        <v/>
      </c>
      <c r="AP16" s="57" t="str">
        <f t="shared" si="31"/>
        <v/>
      </c>
      <c r="AQ16" s="57" t="str">
        <f t="shared" si="32"/>
        <v/>
      </c>
      <c r="AR16" s="57" t="str">
        <f t="shared" si="33"/>
        <v/>
      </c>
      <c r="AS16" s="57" t="str">
        <f t="shared" si="34"/>
        <v/>
      </c>
      <c r="AT16" s="1172" t="str">
        <f t="shared" si="35"/>
        <v/>
      </c>
      <c r="AU16" s="57" t="str">
        <f t="shared" si="36"/>
        <v/>
      </c>
      <c r="AV16" s="691" t="str">
        <f t="shared" si="37"/>
        <v/>
      </c>
      <c r="AW16" s="1533" t="str">
        <f t="shared" si="38"/>
        <v/>
      </c>
      <c r="AX16" s="1521" t="str">
        <f t="shared" si="39"/>
        <v/>
      </c>
      <c r="AY16" s="1663" t="str">
        <f t="shared" si="40"/>
        <v/>
      </c>
      <c r="AZ16" s="1663" t="str">
        <f t="shared" si="41"/>
        <v/>
      </c>
      <c r="BA16" s="1522" t="str">
        <f t="shared" si="2"/>
        <v/>
      </c>
      <c r="BB16" s="1527" t="str">
        <f t="shared" si="3"/>
        <v/>
      </c>
      <c r="BC16" s="1528" t="str">
        <f t="shared" si="4"/>
        <v/>
      </c>
      <c r="BD16" s="1654" t="str">
        <f t="shared" si="5"/>
        <v/>
      </c>
      <c r="BE16" s="1657" t="str">
        <f t="shared" si="6"/>
        <v/>
      </c>
      <c r="BF16" s="1539" t="str">
        <f t="shared" si="7"/>
        <v/>
      </c>
      <c r="BG16" s="1544" t="str">
        <f t="shared" si="8"/>
        <v/>
      </c>
      <c r="BH16" s="1545" t="str">
        <f t="shared" si="9"/>
        <v/>
      </c>
      <c r="BI16" s="1660" t="str">
        <f t="shared" si="10"/>
        <v/>
      </c>
      <c r="BJ16" s="1660" t="str">
        <f t="shared" si="11"/>
        <v/>
      </c>
      <c r="BK16" s="1546" t="str">
        <f t="shared" si="12"/>
        <v/>
      </c>
      <c r="BL16" s="1467" t="str">
        <f t="shared" si="22"/>
        <v/>
      </c>
      <c r="BM16" s="260"/>
      <c r="BN16" s="1667" t="str">
        <f t="shared" si="23"/>
        <v/>
      </c>
      <c r="BO16" s="1667" t="str">
        <f t="shared" si="24"/>
        <v/>
      </c>
      <c r="BP16" s="300" t="str">
        <f t="shared" si="14"/>
        <v/>
      </c>
      <c r="BQ16" s="1470" t="str" cm="1">
        <f t="array" ref="BQ16">IF($AT16="","",
_xlfn.IFS(
$BL16="Devis 1",
IF(ISBLANK(AY16),"",IFERROR(VALUE(TRIM(SUBSTITUTE(AY16,CHAR(160),""))),0)*IFERROR(VALUE(TRIM(SUBSTITUTE($AT16,CHAR(160),""))),0)),
$BL16="Devis 2",
IF(ISBLANK(BD16),"",IFERROR(VALUE(TRIM(SUBSTITUTE(BD16,CHAR(160),""))),0)*IFERROR(VALUE(TRIM(SUBSTITUTE($AT16,CHAR(160),""))),0)),
$BL16="Devis 3",
IF(ISBLANK(BI16),"",IFERROR(VALUE(TRIM(SUBSTITUTE(BI16,CHAR(160),""))),0)*IFERROR(VALUE(TRIM(SUBSTITUTE($AT16,CHAR(160),""))),0)),
TRUE,0
)
)</f>
        <v/>
      </c>
      <c r="BR16" s="1470" t="str" cm="1">
        <f t="array" ref="BR16">IF($AT16="","",
_xlfn.IFS(
$BL16="Devis 1",
IF(ISBLANK(AZ16),"",IFERROR(VALUE(TRIM(SUBSTITUTE(AZ16,CHAR(160),""))),0)*IFERROR(VALUE(TRIM(SUBSTITUTE($AT16,CHAR(160),""))),0)),
$BL16="Devis 2",
IF(ISBLANK(BE16),"",IFERROR(VALUE(TRIM(SUBSTITUTE(BE16,CHAR(160),""))),0)*IFERROR(VALUE(TRIM(SUBSTITUTE($AT16,CHAR(160),""))),0)),
$BL16="Devis 3",
IF(ISBLANK(BJ16),"",IFERROR(VALUE(TRIM(SUBSTITUTE(BJ16,CHAR(160),""))),0)*IFERROR(VALUE(TRIM(SUBSTITUTE($AT16,CHAR(160),""))),0)),
TRUE,0
)
)</f>
        <v/>
      </c>
      <c r="BS16" s="1470" t="str">
        <f t="shared" si="25"/>
        <v/>
      </c>
      <c r="BT16" s="194"/>
      <c r="BU16" s="216" t="str" cm="1">
        <f t="array" ref="BU16">IF(OR(BS16="",BP16="",BQ16="",BN16="",BR16="",BO16=""),"",_xlfn.IFS(
ROUND(IFERROR(VALUE(TRIM(SUBSTITUTE(BS16,CHAR(160),""))),0),2)&gt;
ROUND(IFERROR(VALUE(TRIM(SUBSTITUTE(BP16,CHAR(160),""))),0),2),
"KO : Le montant retenu TTC est supérieur au montant raisonnable TTC. Merci de revoir la ligne de dépense ou plafonner son montant.",
ROUND(IFERROR(VALUE(TRIM(SUBSTITUTE(BQ16,CHAR(160),""))),0),2)&gt;
ROUND(IFERROR(VALUE(TRIM(SUBSTITUTE(BN16,CHAR(160),""))),0),2),
"Attention : Le montant retenu HT est supérieur au montant HT raisonnable. Merci de revoir la ligne de dépense, plafonner son montant, ou justifier la reventillation HT / TVA.",
ROUND(IFERROR(VALUE(TRIM(SUBSTITUTE(BR16,CHAR(160),""))),0),2)&gt;
ROUND(IFERROR(VALUE(TRIM(SUBSTITUTE(BO16,CHAR(160),""))),0),2),
"Attention : Le montant TVA retenu est supérieur au montant TVA raisonnable. Merci de revoir la ligne de dépense, plafonner son montant, ou justifier la reventillation HT / TVA.",
ROUND(IFERROR(VALUE(TRIM(SUBSTITUTE(BS16,CHAR(160),""))),0),2)&gt;
ROUND(IFERROR(VALUE(TRIM(SUBSTITUTE(MIN(T16,Y16,AD16),CHAR(160),""))),0),2),
"Attention : Le devis retenu n'est pas le moins cher. Une justification de la part du porteur est nécessaire.",
ROUND(IFERROR(VALUE(TRIM(SUBSTITUTE(BS16,CHAR(160),""))),0),2)=0,
"Attention : montant présenté entièrement écarté",
ROUND(IFERROR(VALUE(TRIM(SUBSTITUTE(BP16,CHAR(160),""))),0),2)=
ROUND(IFERROR(VALUE(TRIM(SUBSTITUTE(BS16,CHAR(160),""))),0),2),
"OK",
ROUND(IFERROR(VALUE(TRIM(SUBSTITUTE(BP16,CHAR(160),""))),0),2)&gt;
ROUND(IFERROR(VALUE(TRIM(SUBSTITUTE(BS16,CHAR(160),""))),0),2),
" OK : Montant instruit inférieur au montant raisonnable.",
TRUE,""
))</f>
        <v/>
      </c>
      <c r="BV16" s="57" t="str" cm="1">
        <f t="array" ref="BV16">IF(OR(BS16="",AH16="",BQ16="",AF16="",BR16="",AG16=""),"",_xlfn.IFS(
ROUND(IFERROR(VALUE(TRIM(SUBSTITUTE(BS16,CHAR(160),""))),0),2)&gt;
ROUND(IFERROR(VALUE(TRIM(SUBSTITUTE(AH16,CHAR(160),""))),0),2),
"KO : Le montant retenu TTC est supérieur au montant présenté TTC. Merci de revoir la ligne de dépense ou plafonner son montant.",
ROUND(IFERROR(VALUE(TRIM(SUBSTITUTE(BQ16,CHAR(160),""))),0),2)&gt;
ROUND(IFERROR(VALUE(TRIM(SUBSTITUTE(AF16,CHAR(160),""))),0),2),
"Attention : Le montant retenu HT est supérieur au montant HT présenté. Merci de revoir la ligne de dépense, plafonner son montant, ou justifier la reventillation HT / TVA.",
ROUND(IFERROR(VALUE(TRIM(SUBSTITUTE(BR16,CHAR(160),""))),0),2)&gt;
ROUND(IFERROR(VALUE(TRIM(SUBSTITUTE(AG16,CHAR(160),""))),0),2),
"Attention : Le montant TVA retenu est supérieur au montant TVA présenté. Merci de revoir la ligne de dépense, plafonner son montant, ou justifier la reventillation HT / TVA.",
ROUND(IFERROR(VALUE(TRIM(SUBSTITUTE(AH16,CHAR(160),""))),0),2)=0,
"",
ROUND(IFERROR(VALUE(TRIM(SUBSTITUTE(BS16,CHAR(160),""))),0),2)=
ROUND(IFERROR(VALUE(TRIM(SUBSTITUTE(AH16,CHAR(160),""))),0),2),
"OK",
ROUND(IFERROR(VALUE(TRIM(SUBSTITUTE(BS16,CHAR(160),""))),0),2)=0,
"Attention : Montant présenté entièrement rejeté.",
ROUND(IFERROR(VALUE(TRIM(SUBSTITUTE(BS16,CHAR(160),""))),0),2)&lt;
ROUND(IFERROR(VALUE(TRIM(SUBSTITUTE(AH16,CHAR(160),""))),0),2),
"Attention : Montant présenté partiellement rejeté.",
TRUE,""
))</f>
        <v/>
      </c>
      <c r="BW16" s="1202" t="str">
        <f t="shared" si="15"/>
        <v/>
      </c>
      <c r="BX16" s="1202" t="str">
        <f t="shared" si="16"/>
        <v/>
      </c>
      <c r="BY16" s="1216" t="str">
        <f t="shared" si="17"/>
        <v/>
      </c>
      <c r="CB16"/>
      <c r="CF16" s="185"/>
    </row>
    <row r="17" spans="2:84" ht="20.100000000000001" customHeight="1">
      <c r="B17" s="1206">
        <v>7</v>
      </c>
      <c r="C17" s="11"/>
      <c r="D17" s="11"/>
      <c r="E17" s="22"/>
      <c r="F17" s="22"/>
      <c r="G17" s="22"/>
      <c r="H17" s="22"/>
      <c r="I17" s="11"/>
      <c r="J17" s="1201"/>
      <c r="K17" s="1512"/>
      <c r="L17" s="11"/>
      <c r="M17" s="2"/>
      <c r="N17" s="23"/>
      <c r="O17" s="25"/>
      <c r="P17" s="1552"/>
      <c r="Q17" s="1518"/>
      <c r="R17" s="1517"/>
      <c r="S17" s="1517"/>
      <c r="T17" s="1522" t="str">
        <f t="shared" si="18"/>
        <v/>
      </c>
      <c r="U17" s="1559"/>
      <c r="V17" s="1523"/>
      <c r="W17" s="1524"/>
      <c r="X17" s="1524"/>
      <c r="Y17" s="1539" t="str">
        <f t="shared" si="19"/>
        <v/>
      </c>
      <c r="Z17" s="1567"/>
      <c r="AA17" s="1568"/>
      <c r="AB17" s="1569"/>
      <c r="AC17" s="1569"/>
      <c r="AD17" s="1546" t="str">
        <f t="shared" si="20"/>
        <v/>
      </c>
      <c r="AE17" s="6"/>
      <c r="AF17" s="1202" t="str" cm="1">
        <f t="array" ref="AF17">IF((_xlfn.IFS(TRIM(SUBSTITUTE(AE17,CHAR(160),""))="Devis 1",IFERROR(VALUE(TRIM(SUBSTITUTE(R17,CHAR(160),""))),0),TRIM(SUBSTITUTE(AE17,CHAR(160),""))="Devis 2",IFERROR(VALUE(TRIM(SUBSTITUTE(W17,CHAR(160),""))),0),TRIM(SUBSTITUTE(AE17,CHAR(160),""))="Devis 3",IFERROR(VALUE(TRIM(SUBSTITUTE(AB17,CHAR(160),""))),0),TRUE,0)*IFERROR(VALUE(TRIM(SUBSTITUTE(M17,CHAR(160),""))),0))=0,"",_xlfn.IFS(TRIM(SUBSTITUTE(AE17,CHAR(160),""))="Devis 1",IFERROR(VALUE(TRIM(SUBSTITUTE(R17,CHAR(160),""))),0),TRIM(SUBSTITUTE(AE17,CHAR(160),""))="Devis 2",IFERROR(VALUE(TRIM(SUBSTITUTE(W17,CHAR(160),""))),0),TRIM(SUBSTITUTE(AE17,CHAR(160),""))="Devis 3",IFERROR(VALUE(TRIM(SUBSTITUTE(AB17,CHAR(160),""))),0),TRUE,0)*IFERROR(VALUE(TRIM(SUBSTITUTE(M17,CHAR(160),""))),0))</f>
        <v/>
      </c>
      <c r="AG17" s="1202" t="str" cm="1">
        <f t="array" ref="AG17">IF((_xlfn.IFS(TRIM(SUBSTITUTE(AE17,CHAR(160),""))="Devis 1",IFERROR(VALUE(TRIM(SUBSTITUTE(S17,CHAR(160),""))),0),TRIM(SUBSTITUTE(AE17,CHAR(160),""))="Devis 2",IFERROR(VALUE(TRIM(SUBSTITUTE(X17,CHAR(160),""))),0),TRIM(SUBSTITUTE(AE17,CHAR(160),""))="Devis 3",IFERROR(VALUE(TRIM(SUBSTITUTE(AC17,CHAR(160),""))),0),TRUE,0)*IFERROR(VALUE(TRIM(SUBSTITUTE(M17,CHAR(160),""))),0))=0,"",_xlfn.IFS(TRIM(SUBSTITUTE(AE17,CHAR(160),""))="Devis 1",IFERROR(VALUE(TRIM(SUBSTITUTE(S17,CHAR(160),""))),0),TRIM(SUBSTITUTE(AF17,CHAR(160),""))="Devis 2",IFERROR(VALUE(TRIM(SUBSTITUTE(X17,CHAR(160),""))),0),TRIM(SUBSTITUTE(AF17,CHAR(160),""))="Devis 3",IFERROR(VALUE(TRIM(SUBSTITUTE(AC17,CHAR(160),""))),0),TRUE,0)*IFERROR(VALUE(TRIM(SUBSTITUTE(M17,CHAR(160),""))),0))</f>
        <v/>
      </c>
      <c r="AH17" s="1202" t="str" cm="1">
        <f t="array" ref="AH17">IF((_xlfn.IFS(TRIM(SUBSTITUTE(AE17,CHAR(160),""))="Devis 1",IFERROR(VALUE(TRIM(SUBSTITUTE(T17,CHAR(160),""))),0),TRIM(SUBSTITUTE(AE17,CHAR(160),""))="Devis 2",IFERROR(VALUE(TRIM(SUBSTITUTE(Y17,CHAR(160),""))),0),TRIM(SUBSTITUTE(AE17,CHAR(160),""))="Devis 3",IFERROR(VALUE(TRIM(SUBSTITUTE(AD17,CHAR(160),""))),0),TRUE,0)*IFERROR(VALUE(TRIM(SUBSTITUTE(M17,CHAR(160),""))),0))=0,"",_xlfn.IFS(TRIM(SUBSTITUTE(AE17,CHAR(160),""))="Devis 1",IFERROR(VALUE(TRIM(SUBSTITUTE(T17,CHAR(160),""))),0),TRIM(SUBSTITUTE(AE17,CHAR(160),""))="Devis 2",IFERROR(VALUE(TRIM(SUBSTITUTE(Y17,CHAR(160),""))),0),TRIM(SUBSTITUTE(AE17,CHAR(160),""))="Devis 3",IFERROR(VALUE(TRIM(SUBSTITUTE(AD17,CHAR(160),""))),0),TRUE,0)*IFERROR(VALUE(TRIM(SUBSTITUTE(M17,CHAR(160),""))),0))</f>
        <v/>
      </c>
      <c r="AI17" s="488"/>
      <c r="AJ17" s="215" t="str">
        <f t="shared" si="26"/>
        <v/>
      </c>
      <c r="AK17" s="57" t="str">
        <f t="shared" si="27"/>
        <v/>
      </c>
      <c r="AL17" s="57" t="str">
        <f t="shared" si="28"/>
        <v/>
      </c>
      <c r="AM17" s="57" t="str">
        <f t="shared" si="29"/>
        <v/>
      </c>
      <c r="AN17" s="57" t="str">
        <f t="shared" si="21"/>
        <v/>
      </c>
      <c r="AO17" s="57" t="str">
        <f t="shared" si="30"/>
        <v/>
      </c>
      <c r="AP17" s="57" t="str">
        <f t="shared" si="31"/>
        <v/>
      </c>
      <c r="AQ17" s="57" t="str">
        <f t="shared" si="32"/>
        <v/>
      </c>
      <c r="AR17" s="57" t="str">
        <f t="shared" si="33"/>
        <v/>
      </c>
      <c r="AS17" s="57" t="str">
        <f t="shared" si="34"/>
        <v/>
      </c>
      <c r="AT17" s="1172" t="str">
        <f t="shared" si="35"/>
        <v/>
      </c>
      <c r="AU17" s="57" t="str">
        <f t="shared" si="36"/>
        <v/>
      </c>
      <c r="AV17" s="691" t="str">
        <f t="shared" si="37"/>
        <v/>
      </c>
      <c r="AW17" s="1533" t="str">
        <f t="shared" si="38"/>
        <v/>
      </c>
      <c r="AX17" s="1521" t="str">
        <f t="shared" si="39"/>
        <v/>
      </c>
      <c r="AY17" s="1663" t="str">
        <f t="shared" si="40"/>
        <v/>
      </c>
      <c r="AZ17" s="1663" t="str">
        <f t="shared" si="41"/>
        <v/>
      </c>
      <c r="BA17" s="1522" t="str">
        <f t="shared" si="2"/>
        <v/>
      </c>
      <c r="BB17" s="1527" t="str">
        <f t="shared" si="3"/>
        <v/>
      </c>
      <c r="BC17" s="1528" t="str">
        <f t="shared" si="4"/>
        <v/>
      </c>
      <c r="BD17" s="1654" t="str">
        <f t="shared" si="5"/>
        <v/>
      </c>
      <c r="BE17" s="1657" t="str">
        <f t="shared" si="6"/>
        <v/>
      </c>
      <c r="BF17" s="1539" t="str">
        <f t="shared" si="7"/>
        <v/>
      </c>
      <c r="BG17" s="1544" t="str">
        <f t="shared" si="8"/>
        <v/>
      </c>
      <c r="BH17" s="1545" t="str">
        <f t="shared" si="9"/>
        <v/>
      </c>
      <c r="BI17" s="1660" t="str">
        <f t="shared" si="10"/>
        <v/>
      </c>
      <c r="BJ17" s="1660" t="str">
        <f t="shared" si="11"/>
        <v/>
      </c>
      <c r="BK17" s="1546" t="str">
        <f t="shared" si="12"/>
        <v/>
      </c>
      <c r="BL17" s="1467" t="str">
        <f t="shared" si="22"/>
        <v/>
      </c>
      <c r="BM17" s="260"/>
      <c r="BN17" s="1667" t="str">
        <f t="shared" si="23"/>
        <v/>
      </c>
      <c r="BO17" s="1667" t="str">
        <f t="shared" si="24"/>
        <v/>
      </c>
      <c r="BP17" s="300" t="str">
        <f t="shared" si="14"/>
        <v/>
      </c>
      <c r="BQ17" s="1470" t="str" cm="1">
        <f t="array" ref="BQ17">IF($AT17="","",
_xlfn.IFS(
$BL17="Devis 1",
IF(ISBLANK(AY17),"",IFERROR(VALUE(TRIM(SUBSTITUTE(AY17,CHAR(160),""))),0)*IFERROR(VALUE(TRIM(SUBSTITUTE($AT17,CHAR(160),""))),0)),
$BL17="Devis 2",
IF(ISBLANK(BD17),"",IFERROR(VALUE(TRIM(SUBSTITUTE(BD17,CHAR(160),""))),0)*IFERROR(VALUE(TRIM(SUBSTITUTE($AT17,CHAR(160),""))),0)),
$BL17="Devis 3",
IF(ISBLANK(BI17),"",IFERROR(VALUE(TRIM(SUBSTITUTE(BI17,CHAR(160),""))),0)*IFERROR(VALUE(TRIM(SUBSTITUTE($AT17,CHAR(160),""))),0)),
TRUE,0
)
)</f>
        <v/>
      </c>
      <c r="BR17" s="1470" t="str" cm="1">
        <f t="array" ref="BR17">IF($AT17="","",
_xlfn.IFS(
$BL17="Devis 1",
IF(ISBLANK(AZ17),"",IFERROR(VALUE(TRIM(SUBSTITUTE(AZ17,CHAR(160),""))),0)*IFERROR(VALUE(TRIM(SUBSTITUTE($AT17,CHAR(160),""))),0)),
$BL17="Devis 2",
IF(ISBLANK(BE17),"",IFERROR(VALUE(TRIM(SUBSTITUTE(BE17,CHAR(160),""))),0)*IFERROR(VALUE(TRIM(SUBSTITUTE($AT17,CHAR(160),""))),0)),
$BL17="Devis 3",
IF(ISBLANK(BJ17),"",IFERROR(VALUE(TRIM(SUBSTITUTE(BJ17,CHAR(160),""))),0)*IFERROR(VALUE(TRIM(SUBSTITUTE($AT17,CHAR(160),""))),0)),
TRUE,0
)
)</f>
        <v/>
      </c>
      <c r="BS17" s="1470" t="str">
        <f t="shared" si="25"/>
        <v/>
      </c>
      <c r="BT17" s="194"/>
      <c r="BU17" s="216" t="str" cm="1">
        <f t="array" ref="BU17">IF(OR(BS17="",BP17="",BQ17="",BN17="",BR17="",BO17=""),"",_xlfn.IFS(
ROUND(IFERROR(VALUE(TRIM(SUBSTITUTE(BS17,CHAR(160),""))),0),2)&gt;
ROUND(IFERROR(VALUE(TRIM(SUBSTITUTE(BP17,CHAR(160),""))),0),2),
"KO : Le montant retenu TTC est supérieur au montant raisonnable TTC. Merci de revoir la ligne de dépense ou plafonner son montant.",
ROUND(IFERROR(VALUE(TRIM(SUBSTITUTE(BQ17,CHAR(160),""))),0),2)&gt;
ROUND(IFERROR(VALUE(TRIM(SUBSTITUTE(BN17,CHAR(160),""))),0),2),
"Attention : Le montant retenu HT est supérieur au montant HT raisonnable. Merci de revoir la ligne de dépense, plafonner son montant, ou justifier la reventillation HT / TVA.",
ROUND(IFERROR(VALUE(TRIM(SUBSTITUTE(BR17,CHAR(160),""))),0),2)&gt;
ROUND(IFERROR(VALUE(TRIM(SUBSTITUTE(BO17,CHAR(160),""))),0),2),
"Attention : Le montant TVA retenu est supérieur au montant TVA raisonnable. Merci de revoir la ligne de dépense, plafonner son montant, ou justifier la reventillation HT / TVA.",
ROUND(IFERROR(VALUE(TRIM(SUBSTITUTE(BS17,CHAR(160),""))),0),2)&gt;
ROUND(IFERROR(VALUE(TRIM(SUBSTITUTE(MIN(T17,Y17,AD17),CHAR(160),""))),0),2),
"Attention : Le devis retenu n'est pas le moins cher. Une justification de la part du porteur est nécessaire.",
ROUND(IFERROR(VALUE(TRIM(SUBSTITUTE(BS17,CHAR(160),""))),0),2)=0,
"Attention : montant présenté entièrement écarté",
ROUND(IFERROR(VALUE(TRIM(SUBSTITUTE(BP17,CHAR(160),""))),0),2)=
ROUND(IFERROR(VALUE(TRIM(SUBSTITUTE(BS17,CHAR(160),""))),0),2),
"OK",
ROUND(IFERROR(VALUE(TRIM(SUBSTITUTE(BP17,CHAR(160),""))),0),2)&gt;
ROUND(IFERROR(VALUE(TRIM(SUBSTITUTE(BS17,CHAR(160),""))),0),2),
" OK : Montant instruit inférieur au montant raisonnable.",
TRUE,""
))</f>
        <v/>
      </c>
      <c r="BV17" s="57" t="str" cm="1">
        <f t="array" ref="BV17">IF(OR(BS17="",AH17="",BQ17="",AF17="",BR17="",AG17=""),"",_xlfn.IFS(
ROUND(IFERROR(VALUE(TRIM(SUBSTITUTE(BS17,CHAR(160),""))),0),2)&gt;
ROUND(IFERROR(VALUE(TRIM(SUBSTITUTE(AH17,CHAR(160),""))),0),2),
"KO : Le montant retenu TTC est supérieur au montant présenté TTC. Merci de revoir la ligne de dépense ou plafonner son montant.",
ROUND(IFERROR(VALUE(TRIM(SUBSTITUTE(BQ17,CHAR(160),""))),0),2)&gt;
ROUND(IFERROR(VALUE(TRIM(SUBSTITUTE(AF17,CHAR(160),""))),0),2),
"Attention : Le montant retenu HT est supérieur au montant HT présenté. Merci de revoir la ligne de dépense, plafonner son montant, ou justifier la reventillation HT / TVA.",
ROUND(IFERROR(VALUE(TRIM(SUBSTITUTE(BR17,CHAR(160),""))),0),2)&gt;
ROUND(IFERROR(VALUE(TRIM(SUBSTITUTE(AG17,CHAR(160),""))),0),2),
"Attention : Le montant TVA retenu est supérieur au montant TVA présenté. Merci de revoir la ligne de dépense, plafonner son montant, ou justifier la reventillation HT / TVA.",
ROUND(IFERROR(VALUE(TRIM(SUBSTITUTE(AH17,CHAR(160),""))),0),2)=0,
"",
ROUND(IFERROR(VALUE(TRIM(SUBSTITUTE(BS17,CHAR(160),""))),0),2)=
ROUND(IFERROR(VALUE(TRIM(SUBSTITUTE(AH17,CHAR(160),""))),0),2),
"OK",
ROUND(IFERROR(VALUE(TRIM(SUBSTITUTE(BS17,CHAR(160),""))),0),2)=0,
"Attention : Montant présenté entièrement rejeté.",
ROUND(IFERROR(VALUE(TRIM(SUBSTITUTE(BS17,CHAR(160),""))),0),2)&lt;
ROUND(IFERROR(VALUE(TRIM(SUBSTITUTE(AH17,CHAR(160),""))),0),2),
"Attention : Montant présenté partiellement rejeté.",
TRUE,""
))</f>
        <v/>
      </c>
      <c r="BW17" s="1202" t="str">
        <f t="shared" si="15"/>
        <v/>
      </c>
      <c r="BX17" s="1202" t="str">
        <f t="shared" si="16"/>
        <v/>
      </c>
      <c r="BY17" s="1216" t="str">
        <f t="shared" si="17"/>
        <v/>
      </c>
      <c r="CB17"/>
      <c r="CF17" s="185"/>
    </row>
    <row r="18" spans="2:84" ht="20.100000000000001" customHeight="1">
      <c r="B18" s="1206">
        <v>8</v>
      </c>
      <c r="C18" s="11"/>
      <c r="D18" s="11"/>
      <c r="E18" s="22"/>
      <c r="F18" s="22"/>
      <c r="G18" s="22"/>
      <c r="H18" s="22"/>
      <c r="I18" s="11"/>
      <c r="J18" s="1201"/>
      <c r="K18" s="1512"/>
      <c r="L18" s="11"/>
      <c r="M18" s="2"/>
      <c r="N18" s="23"/>
      <c r="O18" s="25"/>
      <c r="P18" s="1552"/>
      <c r="Q18" s="1518"/>
      <c r="R18" s="1517"/>
      <c r="S18" s="1517"/>
      <c r="T18" s="1522" t="str">
        <f>IF(OR(R18="", S18=""), "", IFERROR(VALUE(TRIM(SUBSTITUTE(R18,CHAR(160),""))),0) + IFERROR(VALUE(TRIM(SUBSTITUTE(S18,CHAR(160),""))),0))</f>
        <v/>
      </c>
      <c r="U18" s="1559"/>
      <c r="V18" s="1523"/>
      <c r="W18" s="1524"/>
      <c r="X18" s="1524"/>
      <c r="Y18" s="1539" t="str">
        <f t="shared" si="19"/>
        <v/>
      </c>
      <c r="Z18" s="1567"/>
      <c r="AA18" s="1568"/>
      <c r="AB18" s="1569"/>
      <c r="AC18" s="1569"/>
      <c r="AD18" s="1546" t="str">
        <f t="shared" si="20"/>
        <v/>
      </c>
      <c r="AE18" s="6"/>
      <c r="AF18" s="1202" t="str" cm="1">
        <f t="array" ref="AF18">IF((_xlfn.IFS(TRIM(SUBSTITUTE(AE18,CHAR(160),""))="Devis 1",IFERROR(VALUE(TRIM(SUBSTITUTE(R18,CHAR(160),""))),0),TRIM(SUBSTITUTE(AE18,CHAR(160),""))="Devis 2",IFERROR(VALUE(TRIM(SUBSTITUTE(W18,CHAR(160),""))),0),TRIM(SUBSTITUTE(AE18,CHAR(160),""))="Devis 3",IFERROR(VALUE(TRIM(SUBSTITUTE(AB18,CHAR(160),""))),0),TRUE,0)*IFERROR(VALUE(TRIM(SUBSTITUTE(M18,CHAR(160),""))),0))=0,"",_xlfn.IFS(TRIM(SUBSTITUTE(AE18,CHAR(160),""))="Devis 1",IFERROR(VALUE(TRIM(SUBSTITUTE(R18,CHAR(160),""))),0),TRIM(SUBSTITUTE(AE18,CHAR(160),""))="Devis 2",IFERROR(VALUE(TRIM(SUBSTITUTE(W18,CHAR(160),""))),0),TRIM(SUBSTITUTE(AE18,CHAR(160),""))="Devis 3",IFERROR(VALUE(TRIM(SUBSTITUTE(AB18,CHAR(160),""))),0),TRUE,0)*IFERROR(VALUE(TRIM(SUBSTITUTE(M18,CHAR(160),""))),0))</f>
        <v/>
      </c>
      <c r="AG18" s="1202" t="str" cm="1">
        <f t="array" ref="AG18">IF((_xlfn.IFS(TRIM(SUBSTITUTE(AE18,CHAR(160),""))="Devis 1",IFERROR(VALUE(TRIM(SUBSTITUTE(S18,CHAR(160),""))),0),TRIM(SUBSTITUTE(AE18,CHAR(160),""))="Devis 2",IFERROR(VALUE(TRIM(SUBSTITUTE(X18,CHAR(160),""))),0),TRIM(SUBSTITUTE(AE18,CHAR(160),""))="Devis 3",IFERROR(VALUE(TRIM(SUBSTITUTE(AC18,CHAR(160),""))),0),TRUE,0)*IFERROR(VALUE(TRIM(SUBSTITUTE(M18,CHAR(160),""))),0))=0,"",_xlfn.IFS(TRIM(SUBSTITUTE(AE18,CHAR(160),""))="Devis 1",IFERROR(VALUE(TRIM(SUBSTITUTE(S18,CHAR(160),""))),0),TRIM(SUBSTITUTE(AF18,CHAR(160),""))="Devis 2",IFERROR(VALUE(TRIM(SUBSTITUTE(X18,CHAR(160),""))),0),TRIM(SUBSTITUTE(AF18,CHAR(160),""))="Devis 3",IFERROR(VALUE(TRIM(SUBSTITUTE(AC18,CHAR(160),""))),0),TRUE,0)*IFERROR(VALUE(TRIM(SUBSTITUTE(M18,CHAR(160),""))),0))</f>
        <v/>
      </c>
      <c r="AH18" s="1202" t="str" cm="1">
        <f t="array" ref="AH18">IF((_xlfn.IFS(TRIM(SUBSTITUTE(AE18,CHAR(160),""))="Devis 1",IFERROR(VALUE(TRIM(SUBSTITUTE(T18,CHAR(160),""))),0),TRIM(SUBSTITUTE(AE18,CHAR(160),""))="Devis 2",IFERROR(VALUE(TRIM(SUBSTITUTE(Y18,CHAR(160),""))),0),TRIM(SUBSTITUTE(AE18,CHAR(160),""))="Devis 3",IFERROR(VALUE(TRIM(SUBSTITUTE(AD18,CHAR(160),""))),0),TRUE,0)*IFERROR(VALUE(TRIM(SUBSTITUTE(M18,CHAR(160),""))),0))=0,"",_xlfn.IFS(TRIM(SUBSTITUTE(AE18,CHAR(160),""))="Devis 1",IFERROR(VALUE(TRIM(SUBSTITUTE(T18,CHAR(160),""))),0),TRIM(SUBSTITUTE(AE18,CHAR(160),""))="Devis 2",IFERROR(VALUE(TRIM(SUBSTITUTE(Y18,CHAR(160),""))),0),TRIM(SUBSTITUTE(AE18,CHAR(160),""))="Devis 3",IFERROR(VALUE(TRIM(SUBSTITUTE(AD18,CHAR(160),""))),0),TRUE,0)*IFERROR(VALUE(TRIM(SUBSTITUTE(M18,CHAR(160),""))),0))</f>
        <v/>
      </c>
      <c r="AI18" s="488"/>
      <c r="AJ18" s="215" t="str">
        <f t="shared" si="26"/>
        <v/>
      </c>
      <c r="AK18" s="57" t="str">
        <f t="shared" si="27"/>
        <v/>
      </c>
      <c r="AL18" s="57" t="str">
        <f t="shared" si="28"/>
        <v/>
      </c>
      <c r="AM18" s="57" t="str">
        <f t="shared" si="29"/>
        <v/>
      </c>
      <c r="AN18" s="57" t="str">
        <f t="shared" si="21"/>
        <v/>
      </c>
      <c r="AO18" s="57" t="str">
        <f t="shared" si="30"/>
        <v/>
      </c>
      <c r="AP18" s="57" t="str">
        <f t="shared" si="31"/>
        <v/>
      </c>
      <c r="AQ18" s="57" t="str">
        <f t="shared" si="32"/>
        <v/>
      </c>
      <c r="AR18" s="57" t="str">
        <f t="shared" si="33"/>
        <v/>
      </c>
      <c r="AS18" s="57" t="str">
        <f t="shared" si="34"/>
        <v/>
      </c>
      <c r="AT18" s="1172" t="str">
        <f t="shared" si="35"/>
        <v/>
      </c>
      <c r="AU18" s="57" t="str">
        <f t="shared" si="36"/>
        <v/>
      </c>
      <c r="AV18" s="691" t="str">
        <f t="shared" si="37"/>
        <v/>
      </c>
      <c r="AW18" s="1533" t="str">
        <f t="shared" si="38"/>
        <v/>
      </c>
      <c r="AX18" s="1521" t="str">
        <f t="shared" si="39"/>
        <v/>
      </c>
      <c r="AY18" s="1663" t="str">
        <f t="shared" si="40"/>
        <v/>
      </c>
      <c r="AZ18" s="1663" t="str">
        <f t="shared" si="41"/>
        <v/>
      </c>
      <c r="BA18" s="1522" t="str">
        <f t="shared" si="2"/>
        <v/>
      </c>
      <c r="BB18" s="1527" t="str">
        <f t="shared" si="3"/>
        <v/>
      </c>
      <c r="BC18" s="1528" t="str">
        <f t="shared" si="4"/>
        <v/>
      </c>
      <c r="BD18" s="1654" t="str">
        <f t="shared" si="5"/>
        <v/>
      </c>
      <c r="BE18" s="1657" t="str">
        <f t="shared" si="6"/>
        <v/>
      </c>
      <c r="BF18" s="1539" t="str">
        <f t="shared" si="7"/>
        <v/>
      </c>
      <c r="BG18" s="1544" t="str">
        <f t="shared" si="8"/>
        <v/>
      </c>
      <c r="BH18" s="1545" t="str">
        <f t="shared" si="9"/>
        <v/>
      </c>
      <c r="BI18" s="1660" t="str">
        <f t="shared" si="10"/>
        <v/>
      </c>
      <c r="BJ18" s="1660" t="str">
        <f t="shared" si="11"/>
        <v/>
      </c>
      <c r="BK18" s="1546" t="str">
        <f t="shared" si="12"/>
        <v/>
      </c>
      <c r="BL18" s="1467" t="str">
        <f t="shared" si="22"/>
        <v/>
      </c>
      <c r="BM18" s="260"/>
      <c r="BN18" s="1667" t="str">
        <f t="shared" si="23"/>
        <v/>
      </c>
      <c r="BO18" s="1667" t="str">
        <f t="shared" si="24"/>
        <v/>
      </c>
      <c r="BP18" s="300" t="str">
        <f t="shared" si="14"/>
        <v/>
      </c>
      <c r="BQ18" s="1470" t="str" cm="1">
        <f t="array" ref="BQ18">IF($AT18="","",
_xlfn.IFS(
$BL18="Devis 1",
IF(ISBLANK(AY18),"",IFERROR(VALUE(TRIM(SUBSTITUTE(AY18,CHAR(160),""))),0)*IFERROR(VALUE(TRIM(SUBSTITUTE($AT18,CHAR(160),""))),0)),
$BL18="Devis 2",
IF(ISBLANK(BD18),"",IFERROR(VALUE(TRIM(SUBSTITUTE(BD18,CHAR(160),""))),0)*IFERROR(VALUE(TRIM(SUBSTITUTE($AT18,CHAR(160),""))),0)),
$BL18="Devis 3",
IF(ISBLANK(BI18),"",IFERROR(VALUE(TRIM(SUBSTITUTE(BI18,CHAR(160),""))),0)*IFERROR(VALUE(TRIM(SUBSTITUTE($AT18,CHAR(160),""))),0)),
TRUE,0
)
)</f>
        <v/>
      </c>
      <c r="BR18" s="1470" t="str" cm="1">
        <f t="array" ref="BR18">IF($AT18="","",
_xlfn.IFS(
$BL18="Devis 1",
IF(ISBLANK(AZ18),"",IFERROR(VALUE(TRIM(SUBSTITUTE(AZ18,CHAR(160),""))),0)*IFERROR(VALUE(TRIM(SUBSTITUTE($AT18,CHAR(160),""))),0)),
$BL18="Devis 2",
IF(ISBLANK(BE18),"",IFERROR(VALUE(TRIM(SUBSTITUTE(BE18,CHAR(160),""))),0)*IFERROR(VALUE(TRIM(SUBSTITUTE($AT18,CHAR(160),""))),0)),
$BL18="Devis 3",
IF(ISBLANK(BJ18),"",IFERROR(VALUE(TRIM(SUBSTITUTE(BJ18,CHAR(160),""))),0)*IFERROR(VALUE(TRIM(SUBSTITUTE($AT18,CHAR(160),""))),0)),
TRUE,0
)
)</f>
        <v/>
      </c>
      <c r="BS18" s="1470" t="str">
        <f t="shared" si="25"/>
        <v/>
      </c>
      <c r="BT18" s="194"/>
      <c r="BU18" s="216" t="str" cm="1">
        <f t="array" ref="BU18">IF(OR(BS18="",BP18="",BQ18="",BN18="",BR18="",BO18=""),"",_xlfn.IFS(
ROUND(IFERROR(VALUE(TRIM(SUBSTITUTE(BS18,CHAR(160),""))),0),2)&gt;
ROUND(IFERROR(VALUE(TRIM(SUBSTITUTE(BP18,CHAR(160),""))),0),2),
"KO : Le montant retenu TTC est supérieur au montant raisonnable TTC. Merci de revoir la ligne de dépense ou plafonner son montant.",
ROUND(IFERROR(VALUE(TRIM(SUBSTITUTE(BQ18,CHAR(160),""))),0),2)&gt;
ROUND(IFERROR(VALUE(TRIM(SUBSTITUTE(BN18,CHAR(160),""))),0),2),
"Attention : Le montant retenu HT est supérieur au montant HT raisonnable. Merci de revoir la ligne de dépense, plafonner son montant, ou justifier la reventillation HT / TVA.",
ROUND(IFERROR(VALUE(TRIM(SUBSTITUTE(BR18,CHAR(160),""))),0),2)&gt;
ROUND(IFERROR(VALUE(TRIM(SUBSTITUTE(BO18,CHAR(160),""))),0),2),
"Attention : Le montant TVA retenu est supérieur au montant TVA raisonnable. Merci de revoir la ligne de dépense, plafonner son montant, ou justifier la reventillation HT / TVA.",
ROUND(IFERROR(VALUE(TRIM(SUBSTITUTE(BS18,CHAR(160),""))),0),2)&gt;
ROUND(IFERROR(VALUE(TRIM(SUBSTITUTE(MIN(T18,Y18,AD18),CHAR(160),""))),0),2),
"Attention : Le devis retenu n'est pas le moins cher. Une justification de la part du porteur est nécessaire.",
ROUND(IFERROR(VALUE(TRIM(SUBSTITUTE(BS18,CHAR(160),""))),0),2)=0,
"Attention : montant présenté entièrement écarté",
ROUND(IFERROR(VALUE(TRIM(SUBSTITUTE(BP18,CHAR(160),""))),0),2)=
ROUND(IFERROR(VALUE(TRIM(SUBSTITUTE(BS18,CHAR(160),""))),0),2),
"OK",
ROUND(IFERROR(VALUE(TRIM(SUBSTITUTE(BP18,CHAR(160),""))),0),2)&gt;
ROUND(IFERROR(VALUE(TRIM(SUBSTITUTE(BS18,CHAR(160),""))),0),2),
" OK : Montant instruit inférieur au montant raisonnable.",
TRUE,""
))</f>
        <v/>
      </c>
      <c r="BV18" s="57" t="str" cm="1">
        <f t="array" ref="BV18">IF(OR(BS18="",AH18="",BQ18="",AF18="",BR18="",AG18=""),"",_xlfn.IFS(
ROUND(IFERROR(VALUE(TRIM(SUBSTITUTE(BS18,CHAR(160),""))),0),2)&gt;
ROUND(IFERROR(VALUE(TRIM(SUBSTITUTE(AH18,CHAR(160),""))),0),2),
"KO : Le montant retenu TTC est supérieur au montant présenté TTC. Merci de revoir la ligne de dépense ou plafonner son montant.",
ROUND(IFERROR(VALUE(TRIM(SUBSTITUTE(BQ18,CHAR(160),""))),0),2)&gt;
ROUND(IFERROR(VALUE(TRIM(SUBSTITUTE(AF18,CHAR(160),""))),0),2),
"Attention : Le montant retenu HT est supérieur au montant HT présenté. Merci de revoir la ligne de dépense, plafonner son montant, ou justifier la reventillation HT / TVA.",
ROUND(IFERROR(VALUE(TRIM(SUBSTITUTE(BR18,CHAR(160),""))),0),2)&gt;
ROUND(IFERROR(VALUE(TRIM(SUBSTITUTE(AG18,CHAR(160),""))),0),2),
"Attention : Le montant TVA retenu est supérieur au montant TVA présenté. Merci de revoir la ligne de dépense, plafonner son montant, ou justifier la reventillation HT / TVA.",
ROUND(IFERROR(VALUE(TRIM(SUBSTITUTE(AH18,CHAR(160),""))),0),2)=0,
"",
ROUND(IFERROR(VALUE(TRIM(SUBSTITUTE(BS18,CHAR(160),""))),0),2)=
ROUND(IFERROR(VALUE(TRIM(SUBSTITUTE(AH18,CHAR(160),""))),0),2),
"OK",
ROUND(IFERROR(VALUE(TRIM(SUBSTITUTE(BS18,CHAR(160),""))),0),2)=0,
"Attention : Montant présenté entièrement rejeté.",
ROUND(IFERROR(VALUE(TRIM(SUBSTITUTE(BS18,CHAR(160),""))),0),2)&lt;
ROUND(IFERROR(VALUE(TRIM(SUBSTITUTE(AH18,CHAR(160),""))),0),2),
"Attention : Montant présenté partiellement rejeté.",
TRUE,""
))</f>
        <v/>
      </c>
      <c r="BW18" s="1202" t="str">
        <f t="shared" si="15"/>
        <v/>
      </c>
      <c r="BX18" s="1202" t="str">
        <f t="shared" si="16"/>
        <v/>
      </c>
      <c r="BY18" s="1216" t="str">
        <f t="shared" si="17"/>
        <v/>
      </c>
      <c r="CB18"/>
      <c r="CF18" s="185"/>
    </row>
    <row r="19" spans="2:84" ht="20.100000000000001" customHeight="1">
      <c r="B19" s="1206">
        <v>9</v>
      </c>
      <c r="C19" s="11"/>
      <c r="D19" s="11"/>
      <c r="E19" s="22"/>
      <c r="F19" s="22"/>
      <c r="G19" s="22"/>
      <c r="H19" s="22"/>
      <c r="I19" s="11"/>
      <c r="J19" s="1201"/>
      <c r="K19" s="1512"/>
      <c r="L19" s="11"/>
      <c r="M19" s="2"/>
      <c r="N19" s="23"/>
      <c r="O19" s="25"/>
      <c r="P19" s="1552"/>
      <c r="Q19" s="1518"/>
      <c r="R19" s="1517"/>
      <c r="S19" s="1517"/>
      <c r="T19" s="1522" t="str">
        <f t="shared" si="18"/>
        <v/>
      </c>
      <c r="U19" s="1559"/>
      <c r="V19" s="1523"/>
      <c r="W19" s="1524"/>
      <c r="X19" s="1524"/>
      <c r="Y19" s="1539" t="str">
        <f t="shared" si="19"/>
        <v/>
      </c>
      <c r="Z19" s="1567"/>
      <c r="AA19" s="1568"/>
      <c r="AB19" s="1569"/>
      <c r="AC19" s="1569"/>
      <c r="AD19" s="1546" t="str">
        <f t="shared" si="20"/>
        <v/>
      </c>
      <c r="AE19" s="6"/>
      <c r="AF19" s="1202" t="str" cm="1">
        <f t="array" ref="AF19">IF((_xlfn.IFS(TRIM(SUBSTITUTE(AE19,CHAR(160),""))="Devis 1",IFERROR(VALUE(TRIM(SUBSTITUTE(R19,CHAR(160),""))),0),TRIM(SUBSTITUTE(AE19,CHAR(160),""))="Devis 2",IFERROR(VALUE(TRIM(SUBSTITUTE(W19,CHAR(160),""))),0),TRIM(SUBSTITUTE(AE19,CHAR(160),""))="Devis 3",IFERROR(VALUE(TRIM(SUBSTITUTE(AB19,CHAR(160),""))),0),TRUE,0)*IFERROR(VALUE(TRIM(SUBSTITUTE(M19,CHAR(160),""))),0))=0,"",_xlfn.IFS(TRIM(SUBSTITUTE(AE19,CHAR(160),""))="Devis 1",IFERROR(VALUE(TRIM(SUBSTITUTE(R19,CHAR(160),""))),0),TRIM(SUBSTITUTE(AE19,CHAR(160),""))="Devis 2",IFERROR(VALUE(TRIM(SUBSTITUTE(W19,CHAR(160),""))),0),TRIM(SUBSTITUTE(AE19,CHAR(160),""))="Devis 3",IFERROR(VALUE(TRIM(SUBSTITUTE(AB19,CHAR(160),""))),0),TRUE,0)*IFERROR(VALUE(TRIM(SUBSTITUTE(M19,CHAR(160),""))),0))</f>
        <v/>
      </c>
      <c r="AG19" s="1202" t="str" cm="1">
        <f t="array" ref="AG19">IF((_xlfn.IFS(TRIM(SUBSTITUTE(AE19,CHAR(160),""))="Devis 1",IFERROR(VALUE(TRIM(SUBSTITUTE(S19,CHAR(160),""))),0),TRIM(SUBSTITUTE(AE19,CHAR(160),""))="Devis 2",IFERROR(VALUE(TRIM(SUBSTITUTE(X19,CHAR(160),""))),0),TRIM(SUBSTITUTE(AE19,CHAR(160),""))="Devis 3",IFERROR(VALUE(TRIM(SUBSTITUTE(AC19,CHAR(160),""))),0),TRUE,0)*IFERROR(VALUE(TRIM(SUBSTITUTE(M19,CHAR(160),""))),0))=0,"",_xlfn.IFS(TRIM(SUBSTITUTE(AE19,CHAR(160),""))="Devis 1",IFERROR(VALUE(TRIM(SUBSTITUTE(S19,CHAR(160),""))),0),TRIM(SUBSTITUTE(AF19,CHAR(160),""))="Devis 2",IFERROR(VALUE(TRIM(SUBSTITUTE(X19,CHAR(160),""))),0),TRIM(SUBSTITUTE(AF19,CHAR(160),""))="Devis 3",IFERROR(VALUE(TRIM(SUBSTITUTE(AC19,CHAR(160),""))),0),TRUE,0)*IFERROR(VALUE(TRIM(SUBSTITUTE(M19,CHAR(160),""))),0))</f>
        <v/>
      </c>
      <c r="AH19" s="1202" t="str" cm="1">
        <f t="array" ref="AH19">IF((_xlfn.IFS(TRIM(SUBSTITUTE(AE19,CHAR(160),""))="Devis 1",IFERROR(VALUE(TRIM(SUBSTITUTE(T19,CHAR(160),""))),0),TRIM(SUBSTITUTE(AE19,CHAR(160),""))="Devis 2",IFERROR(VALUE(TRIM(SUBSTITUTE(Y19,CHAR(160),""))),0),TRIM(SUBSTITUTE(AE19,CHAR(160),""))="Devis 3",IFERROR(VALUE(TRIM(SUBSTITUTE(AD19,CHAR(160),""))),0),TRUE,0)*IFERROR(VALUE(TRIM(SUBSTITUTE(M19,CHAR(160),""))),0))=0,"",_xlfn.IFS(TRIM(SUBSTITUTE(AE19,CHAR(160),""))="Devis 1",IFERROR(VALUE(TRIM(SUBSTITUTE(T19,CHAR(160),""))),0),TRIM(SUBSTITUTE(AE19,CHAR(160),""))="Devis 2",IFERROR(VALUE(TRIM(SUBSTITUTE(Y19,CHAR(160),""))),0),TRIM(SUBSTITUTE(AE19,CHAR(160),""))="Devis 3",IFERROR(VALUE(TRIM(SUBSTITUTE(AD19,CHAR(160),""))),0),TRUE,0)*IFERROR(VALUE(TRIM(SUBSTITUTE(M19,CHAR(160),""))),0))</f>
        <v/>
      </c>
      <c r="AI19" s="488"/>
      <c r="AJ19" s="215" t="str">
        <f t="shared" si="26"/>
        <v/>
      </c>
      <c r="AK19" s="57" t="str">
        <f t="shared" si="27"/>
        <v/>
      </c>
      <c r="AL19" s="57" t="str">
        <f t="shared" si="28"/>
        <v/>
      </c>
      <c r="AM19" s="57" t="str">
        <f t="shared" si="29"/>
        <v/>
      </c>
      <c r="AN19" s="57" t="str">
        <f t="shared" si="21"/>
        <v/>
      </c>
      <c r="AO19" s="57" t="str">
        <f t="shared" si="30"/>
        <v/>
      </c>
      <c r="AP19" s="57" t="str">
        <f t="shared" si="31"/>
        <v/>
      </c>
      <c r="AQ19" s="57" t="str">
        <f t="shared" si="32"/>
        <v/>
      </c>
      <c r="AR19" s="57" t="str">
        <f t="shared" si="33"/>
        <v/>
      </c>
      <c r="AS19" s="57" t="str">
        <f t="shared" si="34"/>
        <v/>
      </c>
      <c r="AT19" s="1172" t="str">
        <f t="shared" si="35"/>
        <v/>
      </c>
      <c r="AU19" s="57" t="str">
        <f t="shared" si="36"/>
        <v/>
      </c>
      <c r="AV19" s="691" t="str">
        <f t="shared" si="37"/>
        <v/>
      </c>
      <c r="AW19" s="1533" t="str">
        <f t="shared" si="38"/>
        <v/>
      </c>
      <c r="AX19" s="1521" t="str">
        <f t="shared" si="39"/>
        <v/>
      </c>
      <c r="AY19" s="1663" t="str">
        <f t="shared" si="40"/>
        <v/>
      </c>
      <c r="AZ19" s="1663" t="str">
        <f t="shared" si="41"/>
        <v/>
      </c>
      <c r="BA19" s="1522" t="str">
        <f t="shared" si="2"/>
        <v/>
      </c>
      <c r="BB19" s="1527" t="str">
        <f t="shared" si="3"/>
        <v/>
      </c>
      <c r="BC19" s="1528" t="str">
        <f t="shared" si="4"/>
        <v/>
      </c>
      <c r="BD19" s="1654" t="str">
        <f t="shared" si="5"/>
        <v/>
      </c>
      <c r="BE19" s="1657" t="str">
        <f t="shared" si="6"/>
        <v/>
      </c>
      <c r="BF19" s="1539" t="str">
        <f t="shared" si="7"/>
        <v/>
      </c>
      <c r="BG19" s="1544" t="str">
        <f t="shared" si="8"/>
        <v/>
      </c>
      <c r="BH19" s="1545" t="str">
        <f t="shared" si="9"/>
        <v/>
      </c>
      <c r="BI19" s="1660" t="str">
        <f t="shared" si="10"/>
        <v/>
      </c>
      <c r="BJ19" s="1660" t="str">
        <f t="shared" si="11"/>
        <v/>
      </c>
      <c r="BK19" s="1546" t="str">
        <f t="shared" si="12"/>
        <v/>
      </c>
      <c r="BL19" s="1467" t="str">
        <f t="shared" si="22"/>
        <v/>
      </c>
      <c r="BM19" s="260"/>
      <c r="BN19" s="1667" t="str">
        <f t="shared" si="23"/>
        <v/>
      </c>
      <c r="BO19" s="1667" t="str">
        <f t="shared" si="24"/>
        <v/>
      </c>
      <c r="BP19" s="300" t="str">
        <f t="shared" si="14"/>
        <v/>
      </c>
      <c r="BQ19" s="1470" t="str" cm="1">
        <f t="array" ref="BQ19">IF($AT19="","",
_xlfn.IFS(
$BL19="Devis 1",
IF(ISBLANK(AY19),"",IFERROR(VALUE(TRIM(SUBSTITUTE(AY19,CHAR(160),""))),0)*IFERROR(VALUE(TRIM(SUBSTITUTE($AT19,CHAR(160),""))),0)),
$BL19="Devis 2",
IF(ISBLANK(BD19),"",IFERROR(VALUE(TRIM(SUBSTITUTE(BD19,CHAR(160),""))),0)*IFERROR(VALUE(TRIM(SUBSTITUTE($AT19,CHAR(160),""))),0)),
$BL19="Devis 3",
IF(ISBLANK(BI19),"",IFERROR(VALUE(TRIM(SUBSTITUTE(BI19,CHAR(160),""))),0)*IFERROR(VALUE(TRIM(SUBSTITUTE($AT19,CHAR(160),""))),0)),
TRUE,0
)
)</f>
        <v/>
      </c>
      <c r="BR19" s="1470" t="str" cm="1">
        <f t="array" ref="BR19">IF($AT19="","",
_xlfn.IFS(
$BL19="Devis 1",
IF(ISBLANK(AZ19),"",IFERROR(VALUE(TRIM(SUBSTITUTE(AZ19,CHAR(160),""))),0)*IFERROR(VALUE(TRIM(SUBSTITUTE($AT19,CHAR(160),""))),0)),
$BL19="Devis 2",
IF(ISBLANK(BE19),"",IFERROR(VALUE(TRIM(SUBSTITUTE(BE19,CHAR(160),""))),0)*IFERROR(VALUE(TRIM(SUBSTITUTE($AT19,CHAR(160),""))),0)),
$BL19="Devis 3",
IF(ISBLANK(BJ19),"",IFERROR(VALUE(TRIM(SUBSTITUTE(BJ19,CHAR(160),""))),0)*IFERROR(VALUE(TRIM(SUBSTITUTE($AT19,CHAR(160),""))),0)),
TRUE,0
)
)</f>
        <v/>
      </c>
      <c r="BS19" s="1470" t="str">
        <f t="shared" si="25"/>
        <v/>
      </c>
      <c r="BT19" s="194"/>
      <c r="BU19" s="216" t="str" cm="1">
        <f t="array" ref="BU19">IF(OR(BS19="",BP19="",BQ19="",BN19="",BR19="",BO19=""),"",_xlfn.IFS(
ROUND(IFERROR(VALUE(TRIM(SUBSTITUTE(BS19,CHAR(160),""))),0),2)&gt;
ROUND(IFERROR(VALUE(TRIM(SUBSTITUTE(BP19,CHAR(160),""))),0),2),
"KO : Le montant retenu TTC est supérieur au montant raisonnable TTC. Merci de revoir la ligne de dépense ou plafonner son montant.",
ROUND(IFERROR(VALUE(TRIM(SUBSTITUTE(BQ19,CHAR(160),""))),0),2)&gt;
ROUND(IFERROR(VALUE(TRIM(SUBSTITUTE(BN19,CHAR(160),""))),0),2),
"Attention : Le montant retenu HT est supérieur au montant HT raisonnable. Merci de revoir la ligne de dépense, plafonner son montant, ou justifier la reventillation HT / TVA.",
ROUND(IFERROR(VALUE(TRIM(SUBSTITUTE(BR19,CHAR(160),""))),0),2)&gt;
ROUND(IFERROR(VALUE(TRIM(SUBSTITUTE(BO19,CHAR(160),""))),0),2),
"Attention : Le montant TVA retenu est supérieur au montant TVA raisonnable. Merci de revoir la ligne de dépense, plafonner son montant, ou justifier la reventillation HT / TVA.",
ROUND(IFERROR(VALUE(TRIM(SUBSTITUTE(BS19,CHAR(160),""))),0),2)&gt;
ROUND(IFERROR(VALUE(TRIM(SUBSTITUTE(MIN(T19,Y19,AD19),CHAR(160),""))),0),2),
"Attention : Le devis retenu n'est pas le moins cher. Une justification de la part du porteur est nécessaire.",
ROUND(IFERROR(VALUE(TRIM(SUBSTITUTE(BS19,CHAR(160),""))),0),2)=0,
"Attention : montant présenté entièrement écarté",
ROUND(IFERROR(VALUE(TRIM(SUBSTITUTE(BP19,CHAR(160),""))),0),2)=
ROUND(IFERROR(VALUE(TRIM(SUBSTITUTE(BS19,CHAR(160),""))),0),2),
"OK",
ROUND(IFERROR(VALUE(TRIM(SUBSTITUTE(BP19,CHAR(160),""))),0),2)&gt;
ROUND(IFERROR(VALUE(TRIM(SUBSTITUTE(BS19,CHAR(160),""))),0),2),
" OK : Montant instruit inférieur au montant raisonnable.",
TRUE,""
))</f>
        <v/>
      </c>
      <c r="BV19" s="57" t="str" cm="1">
        <f t="array" ref="BV19">IF(OR(BS19="",AH19="",BQ19="",AF19="",BR19="",AG19=""),"",_xlfn.IFS(
ROUND(IFERROR(VALUE(TRIM(SUBSTITUTE(BS19,CHAR(160),""))),0),2)&gt;
ROUND(IFERROR(VALUE(TRIM(SUBSTITUTE(AH19,CHAR(160),""))),0),2),
"KO : Le montant retenu TTC est supérieur au montant présenté TTC. Merci de revoir la ligne de dépense ou plafonner son montant.",
ROUND(IFERROR(VALUE(TRIM(SUBSTITUTE(BQ19,CHAR(160),""))),0),2)&gt;
ROUND(IFERROR(VALUE(TRIM(SUBSTITUTE(AF19,CHAR(160),""))),0),2),
"Attention : Le montant retenu HT est supérieur au montant HT présenté. Merci de revoir la ligne de dépense, plafonner son montant, ou justifier la reventillation HT / TVA.",
ROUND(IFERROR(VALUE(TRIM(SUBSTITUTE(BR19,CHAR(160),""))),0),2)&gt;
ROUND(IFERROR(VALUE(TRIM(SUBSTITUTE(AG19,CHAR(160),""))),0),2),
"Attention : Le montant TVA retenu est supérieur au montant TVA présenté. Merci de revoir la ligne de dépense, plafonner son montant, ou justifier la reventillation HT / TVA.",
ROUND(IFERROR(VALUE(TRIM(SUBSTITUTE(AH19,CHAR(160),""))),0),2)=0,
"",
ROUND(IFERROR(VALUE(TRIM(SUBSTITUTE(BS19,CHAR(160),""))),0),2)=
ROUND(IFERROR(VALUE(TRIM(SUBSTITUTE(AH19,CHAR(160),""))),0),2),
"OK",
ROUND(IFERROR(VALUE(TRIM(SUBSTITUTE(BS19,CHAR(160),""))),0),2)=0,
"Attention : Montant présenté entièrement rejeté.",
ROUND(IFERROR(VALUE(TRIM(SUBSTITUTE(BS19,CHAR(160),""))),0),2)&lt;
ROUND(IFERROR(VALUE(TRIM(SUBSTITUTE(AH19,CHAR(160),""))),0),2),
"Attention : Montant présenté partiellement rejeté.",
TRUE,""
))</f>
        <v/>
      </c>
      <c r="BW19" s="1202" t="str">
        <f t="shared" si="15"/>
        <v/>
      </c>
      <c r="BX19" s="1202" t="str">
        <f t="shared" si="16"/>
        <v/>
      </c>
      <c r="BY19" s="1216" t="str">
        <f t="shared" si="17"/>
        <v/>
      </c>
      <c r="CB19"/>
      <c r="CF19" s="185"/>
    </row>
    <row r="20" spans="2:84" ht="20.100000000000001" customHeight="1">
      <c r="B20" s="1206">
        <v>10</v>
      </c>
      <c r="C20" s="11"/>
      <c r="D20" s="11"/>
      <c r="E20" s="22"/>
      <c r="F20" s="22"/>
      <c r="G20" s="22"/>
      <c r="H20" s="22"/>
      <c r="I20" s="11"/>
      <c r="J20" s="1201"/>
      <c r="K20" s="1512"/>
      <c r="L20" s="11"/>
      <c r="M20" s="2"/>
      <c r="N20" s="23"/>
      <c r="O20" s="25"/>
      <c r="P20" s="1552"/>
      <c r="Q20" s="1518"/>
      <c r="R20" s="1517"/>
      <c r="S20" s="1517"/>
      <c r="T20" s="1522" t="str">
        <f t="shared" si="18"/>
        <v/>
      </c>
      <c r="U20" s="1559"/>
      <c r="V20" s="1523"/>
      <c r="W20" s="1524"/>
      <c r="X20" s="1524"/>
      <c r="Y20" s="1539" t="str">
        <f t="shared" si="19"/>
        <v/>
      </c>
      <c r="Z20" s="1567"/>
      <c r="AA20" s="1568"/>
      <c r="AB20" s="1569"/>
      <c r="AC20" s="1569"/>
      <c r="AD20" s="1546" t="str">
        <f t="shared" si="20"/>
        <v/>
      </c>
      <c r="AE20" s="6"/>
      <c r="AF20" s="1202" t="str" cm="1">
        <f t="array" ref="AF20">IF((_xlfn.IFS(TRIM(SUBSTITUTE(AE20,CHAR(160),""))="Devis 1",IFERROR(VALUE(TRIM(SUBSTITUTE(R20,CHAR(160),""))),0),TRIM(SUBSTITUTE(AE20,CHAR(160),""))="Devis 2",IFERROR(VALUE(TRIM(SUBSTITUTE(W20,CHAR(160),""))),0),TRIM(SUBSTITUTE(AE20,CHAR(160),""))="Devis 3",IFERROR(VALUE(TRIM(SUBSTITUTE(AB20,CHAR(160),""))),0),TRUE,0)*IFERROR(VALUE(TRIM(SUBSTITUTE(M20,CHAR(160),""))),0))=0,"",_xlfn.IFS(TRIM(SUBSTITUTE(AE20,CHAR(160),""))="Devis 1",IFERROR(VALUE(TRIM(SUBSTITUTE(R20,CHAR(160),""))),0),TRIM(SUBSTITUTE(AE20,CHAR(160),""))="Devis 2",IFERROR(VALUE(TRIM(SUBSTITUTE(W20,CHAR(160),""))),0),TRIM(SUBSTITUTE(AE20,CHAR(160),""))="Devis 3",IFERROR(VALUE(TRIM(SUBSTITUTE(AB20,CHAR(160),""))),0),TRUE,0)*IFERROR(VALUE(TRIM(SUBSTITUTE(M20,CHAR(160),""))),0))</f>
        <v/>
      </c>
      <c r="AG20" s="1202" t="str" cm="1">
        <f t="array" ref="AG20">IF((_xlfn.IFS(TRIM(SUBSTITUTE(AE20,CHAR(160),""))="Devis 1",IFERROR(VALUE(TRIM(SUBSTITUTE(S20,CHAR(160),""))),0),TRIM(SUBSTITUTE(AE20,CHAR(160),""))="Devis 2",IFERROR(VALUE(TRIM(SUBSTITUTE(X20,CHAR(160),""))),0),TRIM(SUBSTITUTE(AE20,CHAR(160),""))="Devis 3",IFERROR(VALUE(TRIM(SUBSTITUTE(AC20,CHAR(160),""))),0),TRUE,0)*IFERROR(VALUE(TRIM(SUBSTITUTE(M20,CHAR(160),""))),0))=0,"",_xlfn.IFS(TRIM(SUBSTITUTE(AE20,CHAR(160),""))="Devis 1",IFERROR(VALUE(TRIM(SUBSTITUTE(S20,CHAR(160),""))),0),TRIM(SUBSTITUTE(AF20,CHAR(160),""))="Devis 2",IFERROR(VALUE(TRIM(SUBSTITUTE(X20,CHAR(160),""))),0),TRIM(SUBSTITUTE(AF20,CHAR(160),""))="Devis 3",IFERROR(VALUE(TRIM(SUBSTITUTE(AC20,CHAR(160),""))),0),TRUE,0)*IFERROR(VALUE(TRIM(SUBSTITUTE(M20,CHAR(160),""))),0))</f>
        <v/>
      </c>
      <c r="AH20" s="1202" t="str" cm="1">
        <f t="array" ref="AH20">IF((_xlfn.IFS(TRIM(SUBSTITUTE(AE20,CHAR(160),""))="Devis 1",IFERROR(VALUE(TRIM(SUBSTITUTE(T20,CHAR(160),""))),0),TRIM(SUBSTITUTE(AE20,CHAR(160),""))="Devis 2",IFERROR(VALUE(TRIM(SUBSTITUTE(Y20,CHAR(160),""))),0),TRIM(SUBSTITUTE(AE20,CHAR(160),""))="Devis 3",IFERROR(VALUE(TRIM(SUBSTITUTE(AD20,CHAR(160),""))),0),TRUE,0)*IFERROR(VALUE(TRIM(SUBSTITUTE(M20,CHAR(160),""))),0))=0,"",_xlfn.IFS(TRIM(SUBSTITUTE(AE20,CHAR(160),""))="Devis 1",IFERROR(VALUE(TRIM(SUBSTITUTE(T20,CHAR(160),""))),0),TRIM(SUBSTITUTE(AE20,CHAR(160),""))="Devis 2",IFERROR(VALUE(TRIM(SUBSTITUTE(Y20,CHAR(160),""))),0),TRIM(SUBSTITUTE(AE20,CHAR(160),""))="Devis 3",IFERROR(VALUE(TRIM(SUBSTITUTE(AD20,CHAR(160),""))),0),TRUE,0)*IFERROR(VALUE(TRIM(SUBSTITUTE(M20,CHAR(160),""))),0))</f>
        <v/>
      </c>
      <c r="AI20" s="488"/>
      <c r="AJ20" s="215" t="str">
        <f t="shared" si="26"/>
        <v/>
      </c>
      <c r="AK20" s="57" t="str">
        <f t="shared" si="27"/>
        <v/>
      </c>
      <c r="AL20" s="57" t="str">
        <f t="shared" si="28"/>
        <v/>
      </c>
      <c r="AM20" s="57" t="str">
        <f t="shared" si="29"/>
        <v/>
      </c>
      <c r="AN20" s="57" t="str">
        <f t="shared" si="21"/>
        <v/>
      </c>
      <c r="AO20" s="57" t="str">
        <f t="shared" si="30"/>
        <v/>
      </c>
      <c r="AP20" s="57" t="str">
        <f t="shared" si="31"/>
        <v/>
      </c>
      <c r="AQ20" s="57" t="str">
        <f t="shared" si="32"/>
        <v/>
      </c>
      <c r="AR20" s="57" t="str">
        <f t="shared" si="33"/>
        <v/>
      </c>
      <c r="AS20" s="57" t="str">
        <f t="shared" si="34"/>
        <v/>
      </c>
      <c r="AT20" s="1172" t="str">
        <f t="shared" si="35"/>
        <v/>
      </c>
      <c r="AU20" s="57" t="str">
        <f t="shared" si="36"/>
        <v/>
      </c>
      <c r="AV20" s="691" t="str">
        <f t="shared" si="37"/>
        <v/>
      </c>
      <c r="AW20" s="1533" t="str">
        <f t="shared" si="38"/>
        <v/>
      </c>
      <c r="AX20" s="1521" t="str">
        <f t="shared" si="39"/>
        <v/>
      </c>
      <c r="AY20" s="1663" t="str">
        <f t="shared" si="40"/>
        <v/>
      </c>
      <c r="AZ20" s="1663" t="str">
        <f t="shared" si="41"/>
        <v/>
      </c>
      <c r="BA20" s="1522" t="str">
        <f t="shared" si="2"/>
        <v/>
      </c>
      <c r="BB20" s="1527" t="str">
        <f t="shared" si="3"/>
        <v/>
      </c>
      <c r="BC20" s="1528" t="str">
        <f t="shared" si="4"/>
        <v/>
      </c>
      <c r="BD20" s="1654" t="str">
        <f t="shared" si="5"/>
        <v/>
      </c>
      <c r="BE20" s="1657" t="str">
        <f t="shared" si="6"/>
        <v/>
      </c>
      <c r="BF20" s="1539" t="str">
        <f t="shared" si="7"/>
        <v/>
      </c>
      <c r="BG20" s="1544" t="str">
        <f t="shared" si="8"/>
        <v/>
      </c>
      <c r="BH20" s="1545" t="str">
        <f t="shared" si="9"/>
        <v/>
      </c>
      <c r="BI20" s="1660" t="str">
        <f t="shared" si="10"/>
        <v/>
      </c>
      <c r="BJ20" s="1660" t="str">
        <f t="shared" si="11"/>
        <v/>
      </c>
      <c r="BK20" s="1546" t="str">
        <f t="shared" si="12"/>
        <v/>
      </c>
      <c r="BL20" s="1467" t="str">
        <f t="shared" si="22"/>
        <v/>
      </c>
      <c r="BM20" s="260"/>
      <c r="BN20" s="1667" t="str">
        <f t="shared" si="23"/>
        <v/>
      </c>
      <c r="BO20" s="1667" t="str">
        <f t="shared" si="24"/>
        <v/>
      </c>
      <c r="BP20" s="300" t="str">
        <f t="shared" si="14"/>
        <v/>
      </c>
      <c r="BQ20" s="1470" t="str" cm="1">
        <f t="array" ref="BQ20">IF($AT20="","",
_xlfn.IFS(
$BL20="Devis 1",
IF(ISBLANK(AY20),"",IFERROR(VALUE(TRIM(SUBSTITUTE(AY20,CHAR(160),""))),0)*IFERROR(VALUE(TRIM(SUBSTITUTE($AT20,CHAR(160),""))),0)),
$BL20="Devis 2",
IF(ISBLANK(BD20),"",IFERROR(VALUE(TRIM(SUBSTITUTE(BD20,CHAR(160),""))),0)*IFERROR(VALUE(TRIM(SUBSTITUTE($AT20,CHAR(160),""))),0)),
$BL20="Devis 3",
IF(ISBLANK(BI20),"",IFERROR(VALUE(TRIM(SUBSTITUTE(BI20,CHAR(160),""))),0)*IFERROR(VALUE(TRIM(SUBSTITUTE($AT20,CHAR(160),""))),0)),
TRUE,0
)
)</f>
        <v/>
      </c>
      <c r="BR20" s="1470" t="str" cm="1">
        <f t="array" ref="BR20">IF($AT20="","",
_xlfn.IFS(
$BL20="Devis 1",
IF(ISBLANK(AZ20),"",IFERROR(VALUE(TRIM(SUBSTITUTE(AZ20,CHAR(160),""))),0)*IFERROR(VALUE(TRIM(SUBSTITUTE($AT20,CHAR(160),""))),0)),
$BL20="Devis 2",
IF(ISBLANK(BE20),"",IFERROR(VALUE(TRIM(SUBSTITUTE(BE20,CHAR(160),""))),0)*IFERROR(VALUE(TRIM(SUBSTITUTE($AT20,CHAR(160),""))),0)),
$BL20="Devis 3",
IF(ISBLANK(BJ20),"",IFERROR(VALUE(TRIM(SUBSTITUTE(BJ20,CHAR(160),""))),0)*IFERROR(VALUE(TRIM(SUBSTITUTE($AT20,CHAR(160),""))),0)),
TRUE,0
)
)</f>
        <v/>
      </c>
      <c r="BS20" s="1470" t="str">
        <f t="shared" si="25"/>
        <v/>
      </c>
      <c r="BT20" s="194"/>
      <c r="BU20" s="216" t="str" cm="1">
        <f t="array" ref="BU20">IF(OR(BS20="",BP20="",BQ20="",BN20="",BR20="",BO20=""),"",_xlfn.IFS(
ROUND(IFERROR(VALUE(TRIM(SUBSTITUTE(BS20,CHAR(160),""))),0),2)&gt;
ROUND(IFERROR(VALUE(TRIM(SUBSTITUTE(BP20,CHAR(160),""))),0),2),
"KO : Le montant retenu TTC est supérieur au montant raisonnable TTC. Merci de revoir la ligne de dépense ou plafonner son montant.",
ROUND(IFERROR(VALUE(TRIM(SUBSTITUTE(BQ20,CHAR(160),""))),0),2)&gt;
ROUND(IFERROR(VALUE(TRIM(SUBSTITUTE(BN20,CHAR(160),""))),0),2),
"Attention : Le montant retenu HT est supérieur au montant HT raisonnable. Merci de revoir la ligne de dépense, plafonner son montant, ou justifier la reventillation HT / TVA.",
ROUND(IFERROR(VALUE(TRIM(SUBSTITUTE(BR20,CHAR(160),""))),0),2)&gt;
ROUND(IFERROR(VALUE(TRIM(SUBSTITUTE(BO20,CHAR(160),""))),0),2),
"Attention : Le montant TVA retenu est supérieur au montant TVA raisonnable. Merci de revoir la ligne de dépense, plafonner son montant, ou justifier la reventillation HT / TVA.",
ROUND(IFERROR(VALUE(TRIM(SUBSTITUTE(BS20,CHAR(160),""))),0),2)&gt;
ROUND(IFERROR(VALUE(TRIM(SUBSTITUTE(MIN(T20,Y20,AD20),CHAR(160),""))),0),2),
"Attention : Le devis retenu n'est pas le moins cher. Une justification de la part du porteur est nécessaire.",
ROUND(IFERROR(VALUE(TRIM(SUBSTITUTE(BS20,CHAR(160),""))),0),2)=0,
"Attention : montant présenté entièrement écarté",
ROUND(IFERROR(VALUE(TRIM(SUBSTITUTE(BP20,CHAR(160),""))),0),2)=
ROUND(IFERROR(VALUE(TRIM(SUBSTITUTE(BS20,CHAR(160),""))),0),2),
"OK",
ROUND(IFERROR(VALUE(TRIM(SUBSTITUTE(BP20,CHAR(160),""))),0),2)&gt;
ROUND(IFERROR(VALUE(TRIM(SUBSTITUTE(BS20,CHAR(160),""))),0),2),
" OK : Montant instruit inférieur au montant raisonnable.",
TRUE,""
))</f>
        <v/>
      </c>
      <c r="BV20" s="57" t="str" cm="1">
        <f t="array" ref="BV20">IF(OR(BS20="",AH20="",BQ20="",AF20="",BR20="",AG20=""),"",_xlfn.IFS(
ROUND(IFERROR(VALUE(TRIM(SUBSTITUTE(BS20,CHAR(160),""))),0),2)&gt;
ROUND(IFERROR(VALUE(TRIM(SUBSTITUTE(AH20,CHAR(160),""))),0),2),
"KO : Le montant retenu TTC est supérieur au montant présenté TTC. Merci de revoir la ligne de dépense ou plafonner son montant.",
ROUND(IFERROR(VALUE(TRIM(SUBSTITUTE(BQ20,CHAR(160),""))),0),2)&gt;
ROUND(IFERROR(VALUE(TRIM(SUBSTITUTE(AF20,CHAR(160),""))),0),2),
"Attention : Le montant retenu HT est supérieur au montant HT présenté. Merci de revoir la ligne de dépense, plafonner son montant, ou justifier la reventillation HT / TVA.",
ROUND(IFERROR(VALUE(TRIM(SUBSTITUTE(BR20,CHAR(160),""))),0),2)&gt;
ROUND(IFERROR(VALUE(TRIM(SUBSTITUTE(AG20,CHAR(160),""))),0),2),
"Attention : Le montant TVA retenu est supérieur au montant TVA présenté. Merci de revoir la ligne de dépense, plafonner son montant, ou justifier la reventillation HT / TVA.",
ROUND(IFERROR(VALUE(TRIM(SUBSTITUTE(AH20,CHAR(160),""))),0),2)=0,
"",
ROUND(IFERROR(VALUE(TRIM(SUBSTITUTE(BS20,CHAR(160),""))),0),2)=
ROUND(IFERROR(VALUE(TRIM(SUBSTITUTE(AH20,CHAR(160),""))),0),2),
"OK",
ROUND(IFERROR(VALUE(TRIM(SUBSTITUTE(BS20,CHAR(160),""))),0),2)=0,
"Attention : Montant présenté entièrement rejeté.",
ROUND(IFERROR(VALUE(TRIM(SUBSTITUTE(BS20,CHAR(160),""))),0),2)&lt;
ROUND(IFERROR(VALUE(TRIM(SUBSTITUTE(AH20,CHAR(160),""))),0),2),
"Attention : Montant présenté partiellement rejeté.",
TRUE,""
))</f>
        <v/>
      </c>
      <c r="BW20" s="1202" t="str">
        <f t="shared" si="15"/>
        <v/>
      </c>
      <c r="BX20" s="1202" t="str">
        <f t="shared" si="16"/>
        <v/>
      </c>
      <c r="BY20" s="1216" t="str">
        <f t="shared" si="17"/>
        <v/>
      </c>
      <c r="CB20"/>
      <c r="CF20" s="185"/>
    </row>
    <row r="21" spans="2:84" ht="20.100000000000001" customHeight="1">
      <c r="B21" s="1206">
        <v>11</v>
      </c>
      <c r="C21" s="11"/>
      <c r="D21" s="11"/>
      <c r="E21" s="22"/>
      <c r="F21" s="22"/>
      <c r="G21" s="22"/>
      <c r="H21" s="22"/>
      <c r="I21" s="11"/>
      <c r="J21" s="1201"/>
      <c r="K21" s="1512"/>
      <c r="L21" s="11"/>
      <c r="M21" s="2"/>
      <c r="N21" s="23"/>
      <c r="O21" s="25"/>
      <c r="P21" s="1552"/>
      <c r="Q21" s="1518"/>
      <c r="R21" s="1517"/>
      <c r="S21" s="1517"/>
      <c r="T21" s="1522" t="str">
        <f t="shared" si="18"/>
        <v/>
      </c>
      <c r="U21" s="1559"/>
      <c r="V21" s="1523"/>
      <c r="W21" s="1524"/>
      <c r="X21" s="1524"/>
      <c r="Y21" s="1539" t="str">
        <f t="shared" si="19"/>
        <v/>
      </c>
      <c r="Z21" s="1567"/>
      <c r="AA21" s="1568"/>
      <c r="AB21" s="1569"/>
      <c r="AC21" s="1569"/>
      <c r="AD21" s="1546" t="str">
        <f t="shared" si="20"/>
        <v/>
      </c>
      <c r="AE21" s="6"/>
      <c r="AF21" s="1202" t="str" cm="1">
        <f t="array" ref="AF21">IF((_xlfn.IFS(TRIM(SUBSTITUTE(AE21,CHAR(160),""))="Devis 1",IFERROR(VALUE(TRIM(SUBSTITUTE(R21,CHAR(160),""))),0),TRIM(SUBSTITUTE(AE21,CHAR(160),""))="Devis 2",IFERROR(VALUE(TRIM(SUBSTITUTE(W21,CHAR(160),""))),0),TRIM(SUBSTITUTE(AE21,CHAR(160),""))="Devis 3",IFERROR(VALUE(TRIM(SUBSTITUTE(AB21,CHAR(160),""))),0),TRUE,0)*IFERROR(VALUE(TRIM(SUBSTITUTE(M21,CHAR(160),""))),0))=0,"",_xlfn.IFS(TRIM(SUBSTITUTE(AE21,CHAR(160),""))="Devis 1",IFERROR(VALUE(TRIM(SUBSTITUTE(R21,CHAR(160),""))),0),TRIM(SUBSTITUTE(AE21,CHAR(160),""))="Devis 2",IFERROR(VALUE(TRIM(SUBSTITUTE(W21,CHAR(160),""))),0),TRIM(SUBSTITUTE(AE21,CHAR(160),""))="Devis 3",IFERROR(VALUE(TRIM(SUBSTITUTE(AB21,CHAR(160),""))),0),TRUE,0)*IFERROR(VALUE(TRIM(SUBSTITUTE(M21,CHAR(160),""))),0))</f>
        <v/>
      </c>
      <c r="AG21" s="1202" t="str" cm="1">
        <f t="array" ref="AG21">IF((_xlfn.IFS(TRIM(SUBSTITUTE(AE21,CHAR(160),""))="Devis 1",IFERROR(VALUE(TRIM(SUBSTITUTE(S21,CHAR(160),""))),0),TRIM(SUBSTITUTE(AE21,CHAR(160),""))="Devis 2",IFERROR(VALUE(TRIM(SUBSTITUTE(X21,CHAR(160),""))),0),TRIM(SUBSTITUTE(AE21,CHAR(160),""))="Devis 3",IFERROR(VALUE(TRIM(SUBSTITUTE(AC21,CHAR(160),""))),0),TRUE,0)*IFERROR(VALUE(TRIM(SUBSTITUTE(M21,CHAR(160),""))),0))=0,"",_xlfn.IFS(TRIM(SUBSTITUTE(AE21,CHAR(160),""))="Devis 1",IFERROR(VALUE(TRIM(SUBSTITUTE(S21,CHAR(160),""))),0),TRIM(SUBSTITUTE(AF21,CHAR(160),""))="Devis 2",IFERROR(VALUE(TRIM(SUBSTITUTE(X21,CHAR(160),""))),0),TRIM(SUBSTITUTE(AF21,CHAR(160),""))="Devis 3",IFERROR(VALUE(TRIM(SUBSTITUTE(AC21,CHAR(160),""))),0),TRUE,0)*IFERROR(VALUE(TRIM(SUBSTITUTE(M21,CHAR(160),""))),0))</f>
        <v/>
      </c>
      <c r="AH21" s="1202" t="str" cm="1">
        <f t="array" ref="AH21">IF((_xlfn.IFS(TRIM(SUBSTITUTE(AE21,CHAR(160),""))="Devis 1",IFERROR(VALUE(TRIM(SUBSTITUTE(T21,CHAR(160),""))),0),TRIM(SUBSTITUTE(AE21,CHAR(160),""))="Devis 2",IFERROR(VALUE(TRIM(SUBSTITUTE(Y21,CHAR(160),""))),0),TRIM(SUBSTITUTE(AE21,CHAR(160),""))="Devis 3",IFERROR(VALUE(TRIM(SUBSTITUTE(AD21,CHAR(160),""))),0),TRUE,0)*IFERROR(VALUE(TRIM(SUBSTITUTE(M21,CHAR(160),""))),0))=0,"",_xlfn.IFS(TRIM(SUBSTITUTE(AE21,CHAR(160),""))="Devis 1",IFERROR(VALUE(TRIM(SUBSTITUTE(T21,CHAR(160),""))),0),TRIM(SUBSTITUTE(AE21,CHAR(160),""))="Devis 2",IFERROR(VALUE(TRIM(SUBSTITUTE(Y21,CHAR(160),""))),0),TRIM(SUBSTITUTE(AE21,CHAR(160),""))="Devis 3",IFERROR(VALUE(TRIM(SUBSTITUTE(AD21,CHAR(160),""))),0),TRUE,0)*IFERROR(VALUE(TRIM(SUBSTITUTE(M21,CHAR(160),""))),0))</f>
        <v/>
      </c>
      <c r="AI21" s="488"/>
      <c r="AJ21" s="215" t="str">
        <f t="shared" si="26"/>
        <v/>
      </c>
      <c r="AK21" s="57" t="str">
        <f t="shared" si="27"/>
        <v/>
      </c>
      <c r="AL21" s="57" t="str">
        <f t="shared" si="28"/>
        <v/>
      </c>
      <c r="AM21" s="57" t="str">
        <f t="shared" si="29"/>
        <v/>
      </c>
      <c r="AN21" s="57" t="str">
        <f t="shared" si="21"/>
        <v/>
      </c>
      <c r="AO21" s="57" t="str">
        <f t="shared" si="30"/>
        <v/>
      </c>
      <c r="AP21" s="57" t="str">
        <f t="shared" si="31"/>
        <v/>
      </c>
      <c r="AQ21" s="57" t="str">
        <f t="shared" si="32"/>
        <v/>
      </c>
      <c r="AR21" s="57" t="str">
        <f t="shared" si="33"/>
        <v/>
      </c>
      <c r="AS21" s="57" t="str">
        <f t="shared" si="34"/>
        <v/>
      </c>
      <c r="AT21" s="1172" t="str">
        <f t="shared" si="35"/>
        <v/>
      </c>
      <c r="AU21" s="57" t="str">
        <f t="shared" si="36"/>
        <v/>
      </c>
      <c r="AV21" s="691" t="str">
        <f t="shared" si="37"/>
        <v/>
      </c>
      <c r="AW21" s="1533" t="str">
        <f t="shared" si="38"/>
        <v/>
      </c>
      <c r="AX21" s="1521" t="str">
        <f t="shared" si="39"/>
        <v/>
      </c>
      <c r="AY21" s="1663" t="str">
        <f t="shared" si="40"/>
        <v/>
      </c>
      <c r="AZ21" s="1663" t="str">
        <f t="shared" si="41"/>
        <v/>
      </c>
      <c r="BA21" s="1522" t="str">
        <f t="shared" si="2"/>
        <v/>
      </c>
      <c r="BB21" s="1527" t="str">
        <f t="shared" si="3"/>
        <v/>
      </c>
      <c r="BC21" s="1528" t="str">
        <f t="shared" si="4"/>
        <v/>
      </c>
      <c r="BD21" s="1654" t="str">
        <f t="shared" si="5"/>
        <v/>
      </c>
      <c r="BE21" s="1657" t="str">
        <f t="shared" si="6"/>
        <v/>
      </c>
      <c r="BF21" s="1539" t="str">
        <f t="shared" si="7"/>
        <v/>
      </c>
      <c r="BG21" s="1544" t="str">
        <f t="shared" si="8"/>
        <v/>
      </c>
      <c r="BH21" s="1545" t="str">
        <f t="shared" si="9"/>
        <v/>
      </c>
      <c r="BI21" s="1660" t="str">
        <f t="shared" si="10"/>
        <v/>
      </c>
      <c r="BJ21" s="1660" t="str">
        <f t="shared" si="11"/>
        <v/>
      </c>
      <c r="BK21" s="1546" t="str">
        <f t="shared" si="12"/>
        <v/>
      </c>
      <c r="BL21" s="1467" t="str">
        <f t="shared" si="22"/>
        <v/>
      </c>
      <c r="BM21" s="260"/>
      <c r="BN21" s="1667" t="str">
        <f t="shared" si="23"/>
        <v/>
      </c>
      <c r="BO21" s="1667" t="str">
        <f t="shared" si="24"/>
        <v/>
      </c>
      <c r="BP21" s="300" t="str">
        <f t="shared" si="14"/>
        <v/>
      </c>
      <c r="BQ21" s="1470" t="str" cm="1">
        <f t="array" ref="BQ21">IF($AT21="","",
_xlfn.IFS(
$BL21="Devis 1",
IF(ISBLANK(AY21),"",IFERROR(VALUE(TRIM(SUBSTITUTE(AY21,CHAR(160),""))),0)*IFERROR(VALUE(TRIM(SUBSTITUTE($AT21,CHAR(160),""))),0)),
$BL21="Devis 2",
IF(ISBLANK(BD21),"",IFERROR(VALUE(TRIM(SUBSTITUTE(BD21,CHAR(160),""))),0)*IFERROR(VALUE(TRIM(SUBSTITUTE($AT21,CHAR(160),""))),0)),
$BL21="Devis 3",
IF(ISBLANK(BI21),"",IFERROR(VALUE(TRIM(SUBSTITUTE(BI21,CHAR(160),""))),0)*IFERROR(VALUE(TRIM(SUBSTITUTE($AT21,CHAR(160),""))),0)),
TRUE,0
)
)</f>
        <v/>
      </c>
      <c r="BR21" s="1470" t="str" cm="1">
        <f t="array" ref="BR21">IF($AT21="","",
_xlfn.IFS(
$BL21="Devis 1",
IF(ISBLANK(AZ21),"",IFERROR(VALUE(TRIM(SUBSTITUTE(AZ21,CHAR(160),""))),0)*IFERROR(VALUE(TRIM(SUBSTITUTE($AT21,CHAR(160),""))),0)),
$BL21="Devis 2",
IF(ISBLANK(BE21),"",IFERROR(VALUE(TRIM(SUBSTITUTE(BE21,CHAR(160),""))),0)*IFERROR(VALUE(TRIM(SUBSTITUTE($AT21,CHAR(160),""))),0)),
$BL21="Devis 3",
IF(ISBLANK(BJ21),"",IFERROR(VALUE(TRIM(SUBSTITUTE(BJ21,CHAR(160),""))),0)*IFERROR(VALUE(TRIM(SUBSTITUTE($AT21,CHAR(160),""))),0)),
TRUE,0
)
)</f>
        <v/>
      </c>
      <c r="BS21" s="1470" t="str">
        <f t="shared" si="25"/>
        <v/>
      </c>
      <c r="BT21" s="194"/>
      <c r="BU21" s="216" t="str" cm="1">
        <f t="array" ref="BU21">IF(OR(BS21="",BP21="",BQ21="",BN21="",BR21="",BO21=""),"",_xlfn.IFS(
ROUND(IFERROR(VALUE(TRIM(SUBSTITUTE(BS21,CHAR(160),""))),0),2)&gt;
ROUND(IFERROR(VALUE(TRIM(SUBSTITUTE(BP21,CHAR(160),""))),0),2),
"KO : Le montant retenu TTC est supérieur au montant raisonnable TTC. Merci de revoir la ligne de dépense ou plafonner son montant.",
ROUND(IFERROR(VALUE(TRIM(SUBSTITUTE(BQ21,CHAR(160),""))),0),2)&gt;
ROUND(IFERROR(VALUE(TRIM(SUBSTITUTE(BN21,CHAR(160),""))),0),2),
"Attention : Le montant retenu HT est supérieur au montant HT raisonnable. Merci de revoir la ligne de dépense, plafonner son montant, ou justifier la reventillation HT / TVA.",
ROUND(IFERROR(VALUE(TRIM(SUBSTITUTE(BR21,CHAR(160),""))),0),2)&gt;
ROUND(IFERROR(VALUE(TRIM(SUBSTITUTE(BO21,CHAR(160),""))),0),2),
"Attention : Le montant TVA retenu est supérieur au montant TVA raisonnable. Merci de revoir la ligne de dépense, plafonner son montant, ou justifier la reventillation HT / TVA.",
ROUND(IFERROR(VALUE(TRIM(SUBSTITUTE(BS21,CHAR(160),""))),0),2)&gt;
ROUND(IFERROR(VALUE(TRIM(SUBSTITUTE(MIN(T21,Y21,AD21),CHAR(160),""))),0),2),
"Attention : Le devis retenu n'est pas le moins cher. Une justification de la part du porteur est nécessaire.",
ROUND(IFERROR(VALUE(TRIM(SUBSTITUTE(BS21,CHAR(160),""))),0),2)=0,
"Attention : montant présenté entièrement écarté",
ROUND(IFERROR(VALUE(TRIM(SUBSTITUTE(BP21,CHAR(160),""))),0),2)=
ROUND(IFERROR(VALUE(TRIM(SUBSTITUTE(BS21,CHAR(160),""))),0),2),
"OK",
ROUND(IFERROR(VALUE(TRIM(SUBSTITUTE(BP21,CHAR(160),""))),0),2)&gt;
ROUND(IFERROR(VALUE(TRIM(SUBSTITUTE(BS21,CHAR(160),""))),0),2),
" OK : Montant instruit inférieur au montant raisonnable.",
TRUE,""
))</f>
        <v/>
      </c>
      <c r="BV21" s="57" t="str" cm="1">
        <f t="array" ref="BV21">IF(OR(BS21="",AH21="",BQ21="",AF21="",BR21="",AG21=""),"",_xlfn.IFS(
ROUND(IFERROR(VALUE(TRIM(SUBSTITUTE(BS21,CHAR(160),""))),0),2)&gt;
ROUND(IFERROR(VALUE(TRIM(SUBSTITUTE(AH21,CHAR(160),""))),0),2),
"KO : Le montant retenu TTC est supérieur au montant présenté TTC. Merci de revoir la ligne de dépense ou plafonner son montant.",
ROUND(IFERROR(VALUE(TRIM(SUBSTITUTE(BQ21,CHAR(160),""))),0),2)&gt;
ROUND(IFERROR(VALUE(TRIM(SUBSTITUTE(AF21,CHAR(160),""))),0),2),
"Attention : Le montant retenu HT est supérieur au montant HT présenté. Merci de revoir la ligne de dépense, plafonner son montant, ou justifier la reventillation HT / TVA.",
ROUND(IFERROR(VALUE(TRIM(SUBSTITUTE(BR21,CHAR(160),""))),0),2)&gt;
ROUND(IFERROR(VALUE(TRIM(SUBSTITUTE(AG21,CHAR(160),""))),0),2),
"Attention : Le montant TVA retenu est supérieur au montant TVA présenté. Merci de revoir la ligne de dépense, plafonner son montant, ou justifier la reventillation HT / TVA.",
ROUND(IFERROR(VALUE(TRIM(SUBSTITUTE(AH21,CHAR(160),""))),0),2)=0,
"",
ROUND(IFERROR(VALUE(TRIM(SUBSTITUTE(BS21,CHAR(160),""))),0),2)=
ROUND(IFERROR(VALUE(TRIM(SUBSTITUTE(AH21,CHAR(160),""))),0),2),
"OK",
ROUND(IFERROR(VALUE(TRIM(SUBSTITUTE(BS21,CHAR(160),""))),0),2)=0,
"Attention : Montant présenté entièrement rejeté.",
ROUND(IFERROR(VALUE(TRIM(SUBSTITUTE(BS21,CHAR(160),""))),0),2)&lt;
ROUND(IFERROR(VALUE(TRIM(SUBSTITUTE(AH21,CHAR(160),""))),0),2),
"Attention : Montant présenté partiellement rejeté.",
TRUE,""
))</f>
        <v/>
      </c>
      <c r="BW21" s="1202" t="str">
        <f t="shared" si="15"/>
        <v/>
      </c>
      <c r="BX21" s="1202" t="str">
        <f t="shared" si="16"/>
        <v/>
      </c>
      <c r="BY21" s="1216" t="str">
        <f t="shared" si="17"/>
        <v/>
      </c>
      <c r="CB21"/>
      <c r="CF21" s="185"/>
    </row>
    <row r="22" spans="2:84" ht="20.100000000000001" customHeight="1">
      <c r="B22" s="1206">
        <v>12</v>
      </c>
      <c r="C22" s="11"/>
      <c r="D22" s="11"/>
      <c r="E22" s="22"/>
      <c r="F22" s="22"/>
      <c r="G22" s="22"/>
      <c r="H22" s="22"/>
      <c r="I22" s="11"/>
      <c r="J22" s="1201"/>
      <c r="K22" s="1512"/>
      <c r="L22" s="11"/>
      <c r="M22" s="2"/>
      <c r="N22" s="23"/>
      <c r="O22" s="25"/>
      <c r="P22" s="1552"/>
      <c r="Q22" s="1518"/>
      <c r="R22" s="1517"/>
      <c r="S22" s="1517"/>
      <c r="T22" s="1522" t="str">
        <f t="shared" si="18"/>
        <v/>
      </c>
      <c r="U22" s="1559"/>
      <c r="V22" s="1523"/>
      <c r="W22" s="1524"/>
      <c r="X22" s="1524"/>
      <c r="Y22" s="1539" t="str">
        <f t="shared" si="19"/>
        <v/>
      </c>
      <c r="Z22" s="1567"/>
      <c r="AA22" s="1568"/>
      <c r="AB22" s="1569"/>
      <c r="AC22" s="1569"/>
      <c r="AD22" s="1546" t="str">
        <f t="shared" si="20"/>
        <v/>
      </c>
      <c r="AE22" s="6"/>
      <c r="AF22" s="1202" t="str" cm="1">
        <f t="array" ref="AF22">IF((_xlfn.IFS(TRIM(SUBSTITUTE(AE22,CHAR(160),""))="Devis 1",IFERROR(VALUE(TRIM(SUBSTITUTE(R22,CHAR(160),""))),0),TRIM(SUBSTITUTE(AE22,CHAR(160),""))="Devis 2",IFERROR(VALUE(TRIM(SUBSTITUTE(W22,CHAR(160),""))),0),TRIM(SUBSTITUTE(AE22,CHAR(160),""))="Devis 3",IFERROR(VALUE(TRIM(SUBSTITUTE(AB22,CHAR(160),""))),0),TRUE,0)*IFERROR(VALUE(TRIM(SUBSTITUTE(M22,CHAR(160),""))),0))=0,"",_xlfn.IFS(TRIM(SUBSTITUTE(AE22,CHAR(160),""))="Devis 1",IFERROR(VALUE(TRIM(SUBSTITUTE(R22,CHAR(160),""))),0),TRIM(SUBSTITUTE(AE22,CHAR(160),""))="Devis 2",IFERROR(VALUE(TRIM(SUBSTITUTE(W22,CHAR(160),""))),0),TRIM(SUBSTITUTE(AE22,CHAR(160),""))="Devis 3",IFERROR(VALUE(TRIM(SUBSTITUTE(AB22,CHAR(160),""))),0),TRUE,0)*IFERROR(VALUE(TRIM(SUBSTITUTE(M22,CHAR(160),""))),0))</f>
        <v/>
      </c>
      <c r="AG22" s="1202" t="str" cm="1">
        <f t="array" ref="AG22">IF((_xlfn.IFS(TRIM(SUBSTITUTE(AE22,CHAR(160),""))="Devis 1",IFERROR(VALUE(TRIM(SUBSTITUTE(S22,CHAR(160),""))),0),TRIM(SUBSTITUTE(AE22,CHAR(160),""))="Devis 2",IFERROR(VALUE(TRIM(SUBSTITUTE(X22,CHAR(160),""))),0),TRIM(SUBSTITUTE(AE22,CHAR(160),""))="Devis 3",IFERROR(VALUE(TRIM(SUBSTITUTE(AC22,CHAR(160),""))),0),TRUE,0)*IFERROR(VALUE(TRIM(SUBSTITUTE(M22,CHAR(160),""))),0))=0,"",_xlfn.IFS(TRIM(SUBSTITUTE(AE22,CHAR(160),""))="Devis 1",IFERROR(VALUE(TRIM(SUBSTITUTE(S22,CHAR(160),""))),0),TRIM(SUBSTITUTE(AF22,CHAR(160),""))="Devis 2",IFERROR(VALUE(TRIM(SUBSTITUTE(X22,CHAR(160),""))),0),TRIM(SUBSTITUTE(AF22,CHAR(160),""))="Devis 3",IFERROR(VALUE(TRIM(SUBSTITUTE(AC22,CHAR(160),""))),0),TRUE,0)*IFERROR(VALUE(TRIM(SUBSTITUTE(M22,CHAR(160),""))),0))</f>
        <v/>
      </c>
      <c r="AH22" s="1202" t="str" cm="1">
        <f t="array" ref="AH22">IF((_xlfn.IFS(TRIM(SUBSTITUTE(AE22,CHAR(160),""))="Devis 1",IFERROR(VALUE(TRIM(SUBSTITUTE(T22,CHAR(160),""))),0),TRIM(SUBSTITUTE(AE22,CHAR(160),""))="Devis 2",IFERROR(VALUE(TRIM(SUBSTITUTE(Y22,CHAR(160),""))),0),TRIM(SUBSTITUTE(AE22,CHAR(160),""))="Devis 3",IFERROR(VALUE(TRIM(SUBSTITUTE(AD22,CHAR(160),""))),0),TRUE,0)*IFERROR(VALUE(TRIM(SUBSTITUTE(M22,CHAR(160),""))),0))=0,"",_xlfn.IFS(TRIM(SUBSTITUTE(AE22,CHAR(160),""))="Devis 1",IFERROR(VALUE(TRIM(SUBSTITUTE(T22,CHAR(160),""))),0),TRIM(SUBSTITUTE(AE22,CHAR(160),""))="Devis 2",IFERROR(VALUE(TRIM(SUBSTITUTE(Y22,CHAR(160),""))),0),TRIM(SUBSTITUTE(AE22,CHAR(160),""))="Devis 3",IFERROR(VALUE(TRIM(SUBSTITUTE(AD22,CHAR(160),""))),0),TRUE,0)*IFERROR(VALUE(TRIM(SUBSTITUTE(M22,CHAR(160),""))),0))</f>
        <v/>
      </c>
      <c r="AI22" s="488"/>
      <c r="AJ22" s="215" t="str">
        <f t="shared" si="26"/>
        <v/>
      </c>
      <c r="AK22" s="57" t="str">
        <f t="shared" si="27"/>
        <v/>
      </c>
      <c r="AL22" s="57" t="str">
        <f t="shared" si="28"/>
        <v/>
      </c>
      <c r="AM22" s="57" t="str">
        <f t="shared" si="29"/>
        <v/>
      </c>
      <c r="AN22" s="57" t="str">
        <f t="shared" si="21"/>
        <v/>
      </c>
      <c r="AO22" s="57" t="str">
        <f t="shared" si="30"/>
        <v/>
      </c>
      <c r="AP22" s="57" t="str">
        <f t="shared" si="31"/>
        <v/>
      </c>
      <c r="AQ22" s="57" t="str">
        <f t="shared" si="32"/>
        <v/>
      </c>
      <c r="AR22" s="57" t="str">
        <f t="shared" si="33"/>
        <v/>
      </c>
      <c r="AS22" s="57" t="str">
        <f t="shared" si="34"/>
        <v/>
      </c>
      <c r="AT22" s="1172" t="str">
        <f t="shared" si="35"/>
        <v/>
      </c>
      <c r="AU22" s="57" t="str">
        <f t="shared" si="36"/>
        <v/>
      </c>
      <c r="AV22" s="691" t="str">
        <f t="shared" si="37"/>
        <v/>
      </c>
      <c r="AW22" s="1533" t="str">
        <f t="shared" si="38"/>
        <v/>
      </c>
      <c r="AX22" s="1521" t="str">
        <f t="shared" si="39"/>
        <v/>
      </c>
      <c r="AY22" s="1663" t="str">
        <f t="shared" si="40"/>
        <v/>
      </c>
      <c r="AZ22" s="1663" t="str">
        <f t="shared" si="41"/>
        <v/>
      </c>
      <c r="BA22" s="1522" t="str">
        <f t="shared" si="2"/>
        <v/>
      </c>
      <c r="BB22" s="1527" t="str">
        <f t="shared" si="3"/>
        <v/>
      </c>
      <c r="BC22" s="1528" t="str">
        <f t="shared" si="4"/>
        <v/>
      </c>
      <c r="BD22" s="1654" t="str">
        <f t="shared" si="5"/>
        <v/>
      </c>
      <c r="BE22" s="1657" t="str">
        <f t="shared" si="6"/>
        <v/>
      </c>
      <c r="BF22" s="1539" t="str">
        <f t="shared" si="7"/>
        <v/>
      </c>
      <c r="BG22" s="1544" t="str">
        <f t="shared" si="8"/>
        <v/>
      </c>
      <c r="BH22" s="1545" t="str">
        <f t="shared" si="9"/>
        <v/>
      </c>
      <c r="BI22" s="1660" t="str">
        <f t="shared" si="10"/>
        <v/>
      </c>
      <c r="BJ22" s="1660" t="str">
        <f t="shared" si="11"/>
        <v/>
      </c>
      <c r="BK22" s="1546" t="str">
        <f t="shared" si="12"/>
        <v/>
      </c>
      <c r="BL22" s="1467" t="str">
        <f t="shared" si="22"/>
        <v/>
      </c>
      <c r="BM22" s="260"/>
      <c r="BN22" s="1667" t="str">
        <f t="shared" si="23"/>
        <v/>
      </c>
      <c r="BO22" s="1667" t="str">
        <f t="shared" si="24"/>
        <v/>
      </c>
      <c r="BP22" s="300" t="str">
        <f t="shared" si="14"/>
        <v/>
      </c>
      <c r="BQ22" s="1470" t="str" cm="1">
        <f t="array" ref="BQ22">IF($AT22="","",
_xlfn.IFS(
$BL22="Devis 1",
IF(ISBLANK(AY22),"",IFERROR(VALUE(TRIM(SUBSTITUTE(AY22,CHAR(160),""))),0)*IFERROR(VALUE(TRIM(SUBSTITUTE($AT22,CHAR(160),""))),0)),
$BL22="Devis 2",
IF(ISBLANK(BD22),"",IFERROR(VALUE(TRIM(SUBSTITUTE(BD22,CHAR(160),""))),0)*IFERROR(VALUE(TRIM(SUBSTITUTE($AT22,CHAR(160),""))),0)),
$BL22="Devis 3",
IF(ISBLANK(BI22),"",IFERROR(VALUE(TRIM(SUBSTITUTE(BI22,CHAR(160),""))),0)*IFERROR(VALUE(TRIM(SUBSTITUTE($AT22,CHAR(160),""))),0)),
TRUE,0
)
)</f>
        <v/>
      </c>
      <c r="BR22" s="1470" t="str" cm="1">
        <f t="array" ref="BR22">IF($AT22="","",
_xlfn.IFS(
$BL22="Devis 1",
IF(ISBLANK(AZ22),"",IFERROR(VALUE(TRIM(SUBSTITUTE(AZ22,CHAR(160),""))),0)*IFERROR(VALUE(TRIM(SUBSTITUTE($AT22,CHAR(160),""))),0)),
$BL22="Devis 2",
IF(ISBLANK(BE22),"",IFERROR(VALUE(TRIM(SUBSTITUTE(BE22,CHAR(160),""))),0)*IFERROR(VALUE(TRIM(SUBSTITUTE($AT22,CHAR(160),""))),0)),
$BL22="Devis 3",
IF(ISBLANK(BJ22),"",IFERROR(VALUE(TRIM(SUBSTITUTE(BJ22,CHAR(160),""))),0)*IFERROR(VALUE(TRIM(SUBSTITUTE($AT22,CHAR(160),""))),0)),
TRUE,0
)
)</f>
        <v/>
      </c>
      <c r="BS22" s="1470" t="str">
        <f t="shared" si="25"/>
        <v/>
      </c>
      <c r="BT22" s="194"/>
      <c r="BU22" s="216" t="str" cm="1">
        <f t="array" ref="BU22">IF(OR(BS22="",BP22="",BQ22="",BN22="",BR22="",BO22=""),"",_xlfn.IFS(
ROUND(IFERROR(VALUE(TRIM(SUBSTITUTE(BS22,CHAR(160),""))),0),2)&gt;
ROUND(IFERROR(VALUE(TRIM(SUBSTITUTE(BP22,CHAR(160),""))),0),2),
"KO : Le montant retenu TTC est supérieur au montant raisonnable TTC. Merci de revoir la ligne de dépense ou plafonner son montant.",
ROUND(IFERROR(VALUE(TRIM(SUBSTITUTE(BQ22,CHAR(160),""))),0),2)&gt;
ROUND(IFERROR(VALUE(TRIM(SUBSTITUTE(BN22,CHAR(160),""))),0),2),
"Attention : Le montant retenu HT est supérieur au montant HT raisonnable. Merci de revoir la ligne de dépense, plafonner son montant, ou justifier la reventillation HT / TVA.",
ROUND(IFERROR(VALUE(TRIM(SUBSTITUTE(BR22,CHAR(160),""))),0),2)&gt;
ROUND(IFERROR(VALUE(TRIM(SUBSTITUTE(BO22,CHAR(160),""))),0),2),
"Attention : Le montant TVA retenu est supérieur au montant TVA raisonnable. Merci de revoir la ligne de dépense, plafonner son montant, ou justifier la reventillation HT / TVA.",
ROUND(IFERROR(VALUE(TRIM(SUBSTITUTE(BS22,CHAR(160),""))),0),2)&gt;
ROUND(IFERROR(VALUE(TRIM(SUBSTITUTE(MIN(T22,Y22,AD22),CHAR(160),""))),0),2),
"Attention : Le devis retenu n'est pas le moins cher. Une justification de la part du porteur est nécessaire.",
ROUND(IFERROR(VALUE(TRIM(SUBSTITUTE(BS22,CHAR(160),""))),0),2)=0,
"Attention : montant présenté entièrement écarté",
ROUND(IFERROR(VALUE(TRIM(SUBSTITUTE(BP22,CHAR(160),""))),0),2)=
ROUND(IFERROR(VALUE(TRIM(SUBSTITUTE(BS22,CHAR(160),""))),0),2),
"OK",
ROUND(IFERROR(VALUE(TRIM(SUBSTITUTE(BP22,CHAR(160),""))),0),2)&gt;
ROUND(IFERROR(VALUE(TRIM(SUBSTITUTE(BS22,CHAR(160),""))),0),2),
" OK : Montant instruit inférieur au montant raisonnable.",
TRUE,""
))</f>
        <v/>
      </c>
      <c r="BV22" s="57" t="str" cm="1">
        <f t="array" ref="BV22">IF(OR(BS22="",AH22="",BQ22="",AF22="",BR22="",AG22=""),"",_xlfn.IFS(
ROUND(IFERROR(VALUE(TRIM(SUBSTITUTE(BS22,CHAR(160),""))),0),2)&gt;
ROUND(IFERROR(VALUE(TRIM(SUBSTITUTE(AH22,CHAR(160),""))),0),2),
"KO : Le montant retenu TTC est supérieur au montant présenté TTC. Merci de revoir la ligne de dépense ou plafonner son montant.",
ROUND(IFERROR(VALUE(TRIM(SUBSTITUTE(BQ22,CHAR(160),""))),0),2)&gt;
ROUND(IFERROR(VALUE(TRIM(SUBSTITUTE(AF22,CHAR(160),""))),0),2),
"Attention : Le montant retenu HT est supérieur au montant HT présenté. Merci de revoir la ligne de dépense, plafonner son montant, ou justifier la reventillation HT / TVA.",
ROUND(IFERROR(VALUE(TRIM(SUBSTITUTE(BR22,CHAR(160),""))),0),2)&gt;
ROUND(IFERROR(VALUE(TRIM(SUBSTITUTE(AG22,CHAR(160),""))),0),2),
"Attention : Le montant TVA retenu est supérieur au montant TVA présenté. Merci de revoir la ligne de dépense, plafonner son montant, ou justifier la reventillation HT / TVA.",
ROUND(IFERROR(VALUE(TRIM(SUBSTITUTE(AH22,CHAR(160),""))),0),2)=0,
"",
ROUND(IFERROR(VALUE(TRIM(SUBSTITUTE(BS22,CHAR(160),""))),0),2)=
ROUND(IFERROR(VALUE(TRIM(SUBSTITUTE(AH22,CHAR(160),""))),0),2),
"OK",
ROUND(IFERROR(VALUE(TRIM(SUBSTITUTE(BS22,CHAR(160),""))),0),2)=0,
"Attention : Montant présenté entièrement rejeté.",
ROUND(IFERROR(VALUE(TRIM(SUBSTITUTE(BS22,CHAR(160),""))),0),2)&lt;
ROUND(IFERROR(VALUE(TRIM(SUBSTITUTE(AH22,CHAR(160),""))),0),2),
"Attention : Montant présenté partiellement rejeté.",
TRUE,""
))</f>
        <v/>
      </c>
      <c r="BW22" s="1202" t="str">
        <f t="shared" si="15"/>
        <v/>
      </c>
      <c r="BX22" s="1202" t="str">
        <f t="shared" si="16"/>
        <v/>
      </c>
      <c r="BY22" s="1216" t="str">
        <f t="shared" si="17"/>
        <v/>
      </c>
      <c r="CB22"/>
      <c r="CF22" s="185"/>
    </row>
    <row r="23" spans="2:84" ht="20.100000000000001" customHeight="1">
      <c r="B23" s="1206">
        <v>13</v>
      </c>
      <c r="C23" s="11"/>
      <c r="D23" s="11"/>
      <c r="E23" s="22"/>
      <c r="F23" s="22"/>
      <c r="G23" s="22"/>
      <c r="H23" s="22"/>
      <c r="I23" s="11"/>
      <c r="J23" s="1201"/>
      <c r="K23" s="1512"/>
      <c r="L23" s="11"/>
      <c r="M23" s="2"/>
      <c r="N23" s="23"/>
      <c r="O23" s="25"/>
      <c r="P23" s="1552"/>
      <c r="Q23" s="1518"/>
      <c r="R23" s="1517"/>
      <c r="S23" s="1517"/>
      <c r="T23" s="1522" t="str">
        <f t="shared" si="18"/>
        <v/>
      </c>
      <c r="U23" s="1559"/>
      <c r="V23" s="1523"/>
      <c r="W23" s="1524"/>
      <c r="X23" s="1524"/>
      <c r="Y23" s="1539" t="str">
        <f t="shared" si="19"/>
        <v/>
      </c>
      <c r="Z23" s="1567"/>
      <c r="AA23" s="1568"/>
      <c r="AB23" s="1569"/>
      <c r="AC23" s="1569"/>
      <c r="AD23" s="1546" t="str">
        <f t="shared" si="20"/>
        <v/>
      </c>
      <c r="AE23" s="6"/>
      <c r="AF23" s="1202" t="str" cm="1">
        <f t="array" ref="AF23">IF((_xlfn.IFS(TRIM(SUBSTITUTE(AE23,CHAR(160),""))="Devis 1",IFERROR(VALUE(TRIM(SUBSTITUTE(R23,CHAR(160),""))),0),TRIM(SUBSTITUTE(AE23,CHAR(160),""))="Devis 2",IFERROR(VALUE(TRIM(SUBSTITUTE(W23,CHAR(160),""))),0),TRIM(SUBSTITUTE(AE23,CHAR(160),""))="Devis 3",IFERROR(VALUE(TRIM(SUBSTITUTE(AB23,CHAR(160),""))),0),TRUE,0)*IFERROR(VALUE(TRIM(SUBSTITUTE(M23,CHAR(160),""))),0))=0,"",_xlfn.IFS(TRIM(SUBSTITUTE(AE23,CHAR(160),""))="Devis 1",IFERROR(VALUE(TRIM(SUBSTITUTE(R23,CHAR(160),""))),0),TRIM(SUBSTITUTE(AE23,CHAR(160),""))="Devis 2",IFERROR(VALUE(TRIM(SUBSTITUTE(W23,CHAR(160),""))),0),TRIM(SUBSTITUTE(AE23,CHAR(160),""))="Devis 3",IFERROR(VALUE(TRIM(SUBSTITUTE(AB23,CHAR(160),""))),0),TRUE,0)*IFERROR(VALUE(TRIM(SUBSTITUTE(M23,CHAR(160),""))),0))</f>
        <v/>
      </c>
      <c r="AG23" s="1202" t="str" cm="1">
        <f t="array" ref="AG23">IF((_xlfn.IFS(TRIM(SUBSTITUTE(AE23,CHAR(160),""))="Devis 1",IFERROR(VALUE(TRIM(SUBSTITUTE(S23,CHAR(160),""))),0),TRIM(SUBSTITUTE(AE23,CHAR(160),""))="Devis 2",IFERROR(VALUE(TRIM(SUBSTITUTE(X23,CHAR(160),""))),0),TRIM(SUBSTITUTE(AE23,CHAR(160),""))="Devis 3",IFERROR(VALUE(TRIM(SUBSTITUTE(AC23,CHAR(160),""))),0),TRUE,0)*IFERROR(VALUE(TRIM(SUBSTITUTE(M23,CHAR(160),""))),0))=0,"",_xlfn.IFS(TRIM(SUBSTITUTE(AE23,CHAR(160),""))="Devis 1",IFERROR(VALUE(TRIM(SUBSTITUTE(S23,CHAR(160),""))),0),TRIM(SUBSTITUTE(AF23,CHAR(160),""))="Devis 2",IFERROR(VALUE(TRIM(SUBSTITUTE(X23,CHAR(160),""))),0),TRIM(SUBSTITUTE(AF23,CHAR(160),""))="Devis 3",IFERROR(VALUE(TRIM(SUBSTITUTE(AC23,CHAR(160),""))),0),TRUE,0)*IFERROR(VALUE(TRIM(SUBSTITUTE(M23,CHAR(160),""))),0))</f>
        <v/>
      </c>
      <c r="AH23" s="1202" t="str" cm="1">
        <f t="array" ref="AH23">IF((_xlfn.IFS(TRIM(SUBSTITUTE(AE23,CHAR(160),""))="Devis 1",IFERROR(VALUE(TRIM(SUBSTITUTE(T23,CHAR(160),""))),0),TRIM(SUBSTITUTE(AE23,CHAR(160),""))="Devis 2",IFERROR(VALUE(TRIM(SUBSTITUTE(Y23,CHAR(160),""))),0),TRIM(SUBSTITUTE(AE23,CHAR(160),""))="Devis 3",IFERROR(VALUE(TRIM(SUBSTITUTE(AD23,CHAR(160),""))),0),TRUE,0)*IFERROR(VALUE(TRIM(SUBSTITUTE(M23,CHAR(160),""))),0))=0,"",_xlfn.IFS(TRIM(SUBSTITUTE(AE23,CHAR(160),""))="Devis 1",IFERROR(VALUE(TRIM(SUBSTITUTE(T23,CHAR(160),""))),0),TRIM(SUBSTITUTE(AE23,CHAR(160),""))="Devis 2",IFERROR(VALUE(TRIM(SUBSTITUTE(Y23,CHAR(160),""))),0),TRIM(SUBSTITUTE(AE23,CHAR(160),""))="Devis 3",IFERROR(VALUE(TRIM(SUBSTITUTE(AD23,CHAR(160),""))),0),TRUE,0)*IFERROR(VALUE(TRIM(SUBSTITUTE(M23,CHAR(160),""))),0))</f>
        <v/>
      </c>
      <c r="AI23" s="488"/>
      <c r="AJ23" s="215" t="str">
        <f t="shared" si="26"/>
        <v/>
      </c>
      <c r="AK23" s="57" t="str">
        <f t="shared" si="27"/>
        <v/>
      </c>
      <c r="AL23" s="57" t="str">
        <f t="shared" si="28"/>
        <v/>
      </c>
      <c r="AM23" s="57" t="str">
        <f t="shared" si="29"/>
        <v/>
      </c>
      <c r="AN23" s="57" t="str">
        <f t="shared" si="21"/>
        <v/>
      </c>
      <c r="AO23" s="57" t="str">
        <f t="shared" si="30"/>
        <v/>
      </c>
      <c r="AP23" s="57" t="str">
        <f t="shared" si="31"/>
        <v/>
      </c>
      <c r="AQ23" s="57" t="str">
        <f t="shared" si="32"/>
        <v/>
      </c>
      <c r="AR23" s="57" t="str">
        <f t="shared" si="33"/>
        <v/>
      </c>
      <c r="AS23" s="57" t="str">
        <f t="shared" si="34"/>
        <v/>
      </c>
      <c r="AT23" s="1172" t="str">
        <f t="shared" si="35"/>
        <v/>
      </c>
      <c r="AU23" s="57" t="str">
        <f t="shared" si="36"/>
        <v/>
      </c>
      <c r="AV23" s="691" t="str">
        <f t="shared" si="37"/>
        <v/>
      </c>
      <c r="AW23" s="1533" t="str">
        <f t="shared" si="38"/>
        <v/>
      </c>
      <c r="AX23" s="1521" t="str">
        <f t="shared" si="39"/>
        <v/>
      </c>
      <c r="AY23" s="1663" t="str">
        <f t="shared" si="40"/>
        <v/>
      </c>
      <c r="AZ23" s="1663" t="str">
        <f t="shared" si="41"/>
        <v/>
      </c>
      <c r="BA23" s="1522" t="str">
        <f t="shared" si="2"/>
        <v/>
      </c>
      <c r="BB23" s="1527" t="str">
        <f t="shared" si="3"/>
        <v/>
      </c>
      <c r="BC23" s="1528" t="str">
        <f t="shared" si="4"/>
        <v/>
      </c>
      <c r="BD23" s="1654" t="str">
        <f t="shared" si="5"/>
        <v/>
      </c>
      <c r="BE23" s="1657" t="str">
        <f t="shared" si="6"/>
        <v/>
      </c>
      <c r="BF23" s="1539" t="str">
        <f t="shared" si="7"/>
        <v/>
      </c>
      <c r="BG23" s="1544" t="str">
        <f t="shared" si="8"/>
        <v/>
      </c>
      <c r="BH23" s="1545" t="str">
        <f t="shared" si="9"/>
        <v/>
      </c>
      <c r="BI23" s="1660" t="str">
        <f t="shared" si="10"/>
        <v/>
      </c>
      <c r="BJ23" s="1660" t="str">
        <f t="shared" si="11"/>
        <v/>
      </c>
      <c r="BK23" s="1546" t="str">
        <f t="shared" si="12"/>
        <v/>
      </c>
      <c r="BL23" s="1467" t="str">
        <f t="shared" si="22"/>
        <v/>
      </c>
      <c r="BM23" s="260"/>
      <c r="BN23" s="1667" t="str">
        <f t="shared" si="23"/>
        <v/>
      </c>
      <c r="BO23" s="1667" t="str">
        <f t="shared" si="24"/>
        <v/>
      </c>
      <c r="BP23" s="300" t="str">
        <f t="shared" si="14"/>
        <v/>
      </c>
      <c r="BQ23" s="1470" t="str" cm="1">
        <f t="array" ref="BQ23">IF($AT23="","",
_xlfn.IFS(
$BL23="Devis 1",
IF(ISBLANK(AY23),"",IFERROR(VALUE(TRIM(SUBSTITUTE(AY23,CHAR(160),""))),0)*IFERROR(VALUE(TRIM(SUBSTITUTE($AT23,CHAR(160),""))),0)),
$BL23="Devis 2",
IF(ISBLANK(BD23),"",IFERROR(VALUE(TRIM(SUBSTITUTE(BD23,CHAR(160),""))),0)*IFERROR(VALUE(TRIM(SUBSTITUTE($AT23,CHAR(160),""))),0)),
$BL23="Devis 3",
IF(ISBLANK(BI23),"",IFERROR(VALUE(TRIM(SUBSTITUTE(BI23,CHAR(160),""))),0)*IFERROR(VALUE(TRIM(SUBSTITUTE($AT23,CHAR(160),""))),0)),
TRUE,0
)
)</f>
        <v/>
      </c>
      <c r="BR23" s="1470" t="str" cm="1">
        <f t="array" ref="BR23">IF($AT23="","",
_xlfn.IFS(
$BL23="Devis 1",
IF(ISBLANK(AZ23),"",IFERROR(VALUE(TRIM(SUBSTITUTE(AZ23,CHAR(160),""))),0)*IFERROR(VALUE(TRIM(SUBSTITUTE($AT23,CHAR(160),""))),0)),
$BL23="Devis 2",
IF(ISBLANK(BE23),"",IFERROR(VALUE(TRIM(SUBSTITUTE(BE23,CHAR(160),""))),0)*IFERROR(VALUE(TRIM(SUBSTITUTE($AT23,CHAR(160),""))),0)),
$BL23="Devis 3",
IF(ISBLANK(BJ23),"",IFERROR(VALUE(TRIM(SUBSTITUTE(BJ23,CHAR(160),""))),0)*IFERROR(VALUE(TRIM(SUBSTITUTE($AT23,CHAR(160),""))),0)),
TRUE,0
)
)</f>
        <v/>
      </c>
      <c r="BS23" s="1470" t="str">
        <f t="shared" si="25"/>
        <v/>
      </c>
      <c r="BT23" s="194"/>
      <c r="BU23" s="216" t="str" cm="1">
        <f t="array" ref="BU23">IF(OR(BS23="",BP23="",BQ23="",BN23="",BR23="",BO23=""),"",_xlfn.IFS(
ROUND(IFERROR(VALUE(TRIM(SUBSTITUTE(BS23,CHAR(160),""))),0),2)&gt;
ROUND(IFERROR(VALUE(TRIM(SUBSTITUTE(BP23,CHAR(160),""))),0),2),
"KO : Le montant retenu TTC est supérieur au montant raisonnable TTC. Merci de revoir la ligne de dépense ou plafonner son montant.",
ROUND(IFERROR(VALUE(TRIM(SUBSTITUTE(BQ23,CHAR(160),""))),0),2)&gt;
ROUND(IFERROR(VALUE(TRIM(SUBSTITUTE(BN23,CHAR(160),""))),0),2),
"Attention : Le montant retenu HT est supérieur au montant HT raisonnable. Merci de revoir la ligne de dépense, plafonner son montant, ou justifier la reventillation HT / TVA.",
ROUND(IFERROR(VALUE(TRIM(SUBSTITUTE(BR23,CHAR(160),""))),0),2)&gt;
ROUND(IFERROR(VALUE(TRIM(SUBSTITUTE(BO23,CHAR(160),""))),0),2),
"Attention : Le montant TVA retenu est supérieur au montant TVA raisonnable. Merci de revoir la ligne de dépense, plafonner son montant, ou justifier la reventillation HT / TVA.",
ROUND(IFERROR(VALUE(TRIM(SUBSTITUTE(BS23,CHAR(160),""))),0),2)&gt;
ROUND(IFERROR(VALUE(TRIM(SUBSTITUTE(MIN(T23,Y23,AD23),CHAR(160),""))),0),2),
"Attention : Le devis retenu n'est pas le moins cher. Une justification de la part du porteur est nécessaire.",
ROUND(IFERROR(VALUE(TRIM(SUBSTITUTE(BS23,CHAR(160),""))),0),2)=0,
"Attention : montant présenté entièrement écarté",
ROUND(IFERROR(VALUE(TRIM(SUBSTITUTE(BP23,CHAR(160),""))),0),2)=
ROUND(IFERROR(VALUE(TRIM(SUBSTITUTE(BS23,CHAR(160),""))),0),2),
"OK",
ROUND(IFERROR(VALUE(TRIM(SUBSTITUTE(BP23,CHAR(160),""))),0),2)&gt;
ROUND(IFERROR(VALUE(TRIM(SUBSTITUTE(BS23,CHAR(160),""))),0),2),
" OK : Montant instruit inférieur au montant raisonnable.",
TRUE,""
))</f>
        <v/>
      </c>
      <c r="BV23" s="57" t="str" cm="1">
        <f t="array" ref="BV23">IF(OR(BS23="",AH23="",BQ23="",AF23="",BR23="",AG23=""),"",_xlfn.IFS(
ROUND(IFERROR(VALUE(TRIM(SUBSTITUTE(BS23,CHAR(160),""))),0),2)&gt;
ROUND(IFERROR(VALUE(TRIM(SUBSTITUTE(AH23,CHAR(160),""))),0),2),
"KO : Le montant retenu TTC est supérieur au montant présenté TTC. Merci de revoir la ligne de dépense ou plafonner son montant.",
ROUND(IFERROR(VALUE(TRIM(SUBSTITUTE(BQ23,CHAR(160),""))),0),2)&gt;
ROUND(IFERROR(VALUE(TRIM(SUBSTITUTE(AF23,CHAR(160),""))),0),2),
"Attention : Le montant retenu HT est supérieur au montant HT présenté. Merci de revoir la ligne de dépense, plafonner son montant, ou justifier la reventillation HT / TVA.",
ROUND(IFERROR(VALUE(TRIM(SUBSTITUTE(BR23,CHAR(160),""))),0),2)&gt;
ROUND(IFERROR(VALUE(TRIM(SUBSTITUTE(AG23,CHAR(160),""))),0),2),
"Attention : Le montant TVA retenu est supérieur au montant TVA présenté. Merci de revoir la ligne de dépense, plafonner son montant, ou justifier la reventillation HT / TVA.",
ROUND(IFERROR(VALUE(TRIM(SUBSTITUTE(AH23,CHAR(160),""))),0),2)=0,
"",
ROUND(IFERROR(VALUE(TRIM(SUBSTITUTE(BS23,CHAR(160),""))),0),2)=
ROUND(IFERROR(VALUE(TRIM(SUBSTITUTE(AH23,CHAR(160),""))),0),2),
"OK",
ROUND(IFERROR(VALUE(TRIM(SUBSTITUTE(BS23,CHAR(160),""))),0),2)=0,
"Attention : Montant présenté entièrement rejeté.",
ROUND(IFERROR(VALUE(TRIM(SUBSTITUTE(BS23,CHAR(160),""))),0),2)&lt;
ROUND(IFERROR(VALUE(TRIM(SUBSTITUTE(AH23,CHAR(160),""))),0),2),
"Attention : Montant présenté partiellement rejeté.",
TRUE,""
))</f>
        <v/>
      </c>
      <c r="BW23" s="1202" t="str">
        <f t="shared" si="15"/>
        <v/>
      </c>
      <c r="BX23" s="1202" t="str">
        <f t="shared" si="16"/>
        <v/>
      </c>
      <c r="BY23" s="1216" t="str">
        <f t="shared" si="17"/>
        <v/>
      </c>
      <c r="CB23"/>
      <c r="CF23" s="185"/>
    </row>
    <row r="24" spans="2:84" ht="20.100000000000001" customHeight="1">
      <c r="B24" s="1206">
        <v>14</v>
      </c>
      <c r="C24" s="11"/>
      <c r="D24" s="11"/>
      <c r="E24" s="22"/>
      <c r="F24" s="22"/>
      <c r="G24" s="22"/>
      <c r="H24" s="22"/>
      <c r="I24" s="11"/>
      <c r="J24" s="1201"/>
      <c r="K24" s="1512"/>
      <c r="L24" s="11"/>
      <c r="M24" s="2"/>
      <c r="N24" s="23"/>
      <c r="O24" s="25"/>
      <c r="P24" s="1552"/>
      <c r="Q24" s="1518"/>
      <c r="R24" s="1517"/>
      <c r="S24" s="1517"/>
      <c r="T24" s="1522" t="str">
        <f t="shared" si="18"/>
        <v/>
      </c>
      <c r="U24" s="1559"/>
      <c r="V24" s="1523"/>
      <c r="W24" s="1524"/>
      <c r="X24" s="1524"/>
      <c r="Y24" s="1539" t="str">
        <f t="shared" si="19"/>
        <v/>
      </c>
      <c r="Z24" s="1567"/>
      <c r="AA24" s="1568"/>
      <c r="AB24" s="1569"/>
      <c r="AC24" s="1569"/>
      <c r="AD24" s="1546" t="str">
        <f t="shared" si="20"/>
        <v/>
      </c>
      <c r="AE24" s="6"/>
      <c r="AF24" s="1202" t="str" cm="1">
        <f t="array" ref="AF24">IF((_xlfn.IFS(TRIM(SUBSTITUTE(AE24,CHAR(160),""))="Devis 1",IFERROR(VALUE(TRIM(SUBSTITUTE(R24,CHAR(160),""))),0),TRIM(SUBSTITUTE(AE24,CHAR(160),""))="Devis 2",IFERROR(VALUE(TRIM(SUBSTITUTE(W24,CHAR(160),""))),0),TRIM(SUBSTITUTE(AE24,CHAR(160),""))="Devis 3",IFERROR(VALUE(TRIM(SUBSTITUTE(AB24,CHAR(160),""))),0),TRUE,0)*IFERROR(VALUE(TRIM(SUBSTITUTE(M24,CHAR(160),""))),0))=0,"",_xlfn.IFS(TRIM(SUBSTITUTE(AE24,CHAR(160),""))="Devis 1",IFERROR(VALUE(TRIM(SUBSTITUTE(R24,CHAR(160),""))),0),TRIM(SUBSTITUTE(AE24,CHAR(160),""))="Devis 2",IFERROR(VALUE(TRIM(SUBSTITUTE(W24,CHAR(160),""))),0),TRIM(SUBSTITUTE(AE24,CHAR(160),""))="Devis 3",IFERROR(VALUE(TRIM(SUBSTITUTE(AB24,CHAR(160),""))),0),TRUE,0)*IFERROR(VALUE(TRIM(SUBSTITUTE(M24,CHAR(160),""))),0))</f>
        <v/>
      </c>
      <c r="AG24" s="1202" t="str" cm="1">
        <f t="array" ref="AG24">IF((_xlfn.IFS(TRIM(SUBSTITUTE(AE24,CHAR(160),""))="Devis 1",IFERROR(VALUE(TRIM(SUBSTITUTE(S24,CHAR(160),""))),0),TRIM(SUBSTITUTE(AE24,CHAR(160),""))="Devis 2",IFERROR(VALUE(TRIM(SUBSTITUTE(X24,CHAR(160),""))),0),TRIM(SUBSTITUTE(AE24,CHAR(160),""))="Devis 3",IFERROR(VALUE(TRIM(SUBSTITUTE(AC24,CHAR(160),""))),0),TRUE,0)*IFERROR(VALUE(TRIM(SUBSTITUTE(M24,CHAR(160),""))),0))=0,"",_xlfn.IFS(TRIM(SUBSTITUTE(AE24,CHAR(160),""))="Devis 1",IFERROR(VALUE(TRIM(SUBSTITUTE(S24,CHAR(160),""))),0),TRIM(SUBSTITUTE(AF24,CHAR(160),""))="Devis 2",IFERROR(VALUE(TRIM(SUBSTITUTE(X24,CHAR(160),""))),0),TRIM(SUBSTITUTE(AF24,CHAR(160),""))="Devis 3",IFERROR(VALUE(TRIM(SUBSTITUTE(AC24,CHAR(160),""))),0),TRUE,0)*IFERROR(VALUE(TRIM(SUBSTITUTE(M24,CHAR(160),""))),0))</f>
        <v/>
      </c>
      <c r="AH24" s="1202" t="str" cm="1">
        <f t="array" ref="AH24">IF((_xlfn.IFS(TRIM(SUBSTITUTE(AE24,CHAR(160),""))="Devis 1",IFERROR(VALUE(TRIM(SUBSTITUTE(T24,CHAR(160),""))),0),TRIM(SUBSTITUTE(AE24,CHAR(160),""))="Devis 2",IFERROR(VALUE(TRIM(SUBSTITUTE(Y24,CHAR(160),""))),0),TRIM(SUBSTITUTE(AE24,CHAR(160),""))="Devis 3",IFERROR(VALUE(TRIM(SUBSTITUTE(AD24,CHAR(160),""))),0),TRUE,0)*IFERROR(VALUE(TRIM(SUBSTITUTE(M24,CHAR(160),""))),0))=0,"",_xlfn.IFS(TRIM(SUBSTITUTE(AE24,CHAR(160),""))="Devis 1",IFERROR(VALUE(TRIM(SUBSTITUTE(T24,CHAR(160),""))),0),TRIM(SUBSTITUTE(AE24,CHAR(160),""))="Devis 2",IFERROR(VALUE(TRIM(SUBSTITUTE(Y24,CHAR(160),""))),0),TRIM(SUBSTITUTE(AE24,CHAR(160),""))="Devis 3",IFERROR(VALUE(TRIM(SUBSTITUTE(AD24,CHAR(160),""))),0),TRUE,0)*IFERROR(VALUE(TRIM(SUBSTITUTE(M24,CHAR(160),""))),0))</f>
        <v/>
      </c>
      <c r="AI24" s="488"/>
      <c r="AJ24" s="215" t="str">
        <f t="shared" si="26"/>
        <v/>
      </c>
      <c r="AK24" s="57" t="str">
        <f t="shared" si="27"/>
        <v/>
      </c>
      <c r="AL24" s="57" t="str">
        <f t="shared" si="28"/>
        <v/>
      </c>
      <c r="AM24" s="57" t="str">
        <f t="shared" si="29"/>
        <v/>
      </c>
      <c r="AN24" s="57" t="str">
        <f t="shared" si="21"/>
        <v/>
      </c>
      <c r="AO24" s="57" t="str">
        <f t="shared" si="30"/>
        <v/>
      </c>
      <c r="AP24" s="57" t="str">
        <f t="shared" si="31"/>
        <v/>
      </c>
      <c r="AQ24" s="57" t="str">
        <f t="shared" si="32"/>
        <v/>
      </c>
      <c r="AR24" s="57" t="str">
        <f t="shared" si="33"/>
        <v/>
      </c>
      <c r="AS24" s="57" t="str">
        <f t="shared" si="34"/>
        <v/>
      </c>
      <c r="AT24" s="1172" t="str">
        <f t="shared" si="35"/>
        <v/>
      </c>
      <c r="AU24" s="57" t="str">
        <f t="shared" si="36"/>
        <v/>
      </c>
      <c r="AV24" s="691" t="str">
        <f t="shared" si="37"/>
        <v/>
      </c>
      <c r="AW24" s="1533" t="str">
        <f t="shared" si="38"/>
        <v/>
      </c>
      <c r="AX24" s="1521" t="str">
        <f t="shared" si="39"/>
        <v/>
      </c>
      <c r="AY24" s="1663" t="str">
        <f t="shared" si="40"/>
        <v/>
      </c>
      <c r="AZ24" s="1663" t="str">
        <f t="shared" si="41"/>
        <v/>
      </c>
      <c r="BA24" s="1522" t="str">
        <f t="shared" si="2"/>
        <v/>
      </c>
      <c r="BB24" s="1527" t="str">
        <f t="shared" si="3"/>
        <v/>
      </c>
      <c r="BC24" s="1528" t="str">
        <f t="shared" si="4"/>
        <v/>
      </c>
      <c r="BD24" s="1654" t="str">
        <f t="shared" si="5"/>
        <v/>
      </c>
      <c r="BE24" s="1657" t="str">
        <f t="shared" si="6"/>
        <v/>
      </c>
      <c r="BF24" s="1539" t="str">
        <f t="shared" si="7"/>
        <v/>
      </c>
      <c r="BG24" s="1544" t="str">
        <f t="shared" si="8"/>
        <v/>
      </c>
      <c r="BH24" s="1545" t="str">
        <f t="shared" si="9"/>
        <v/>
      </c>
      <c r="BI24" s="1660" t="str">
        <f t="shared" si="10"/>
        <v/>
      </c>
      <c r="BJ24" s="1660" t="str">
        <f t="shared" si="11"/>
        <v/>
      </c>
      <c r="BK24" s="1546" t="str">
        <f t="shared" si="12"/>
        <v/>
      </c>
      <c r="BL24" s="1467" t="str">
        <f t="shared" si="22"/>
        <v/>
      </c>
      <c r="BM24" s="260"/>
      <c r="BN24" s="1667" t="str">
        <f t="shared" si="23"/>
        <v/>
      </c>
      <c r="BO24" s="1667" t="str">
        <f t="shared" si="24"/>
        <v/>
      </c>
      <c r="BP24" s="300" t="str">
        <f t="shared" si="14"/>
        <v/>
      </c>
      <c r="BQ24" s="1470" t="str" cm="1">
        <f t="array" ref="BQ24">IF($AT24="","",
_xlfn.IFS(
$BL24="Devis 1",
IF(ISBLANK(AY24),"",IFERROR(VALUE(TRIM(SUBSTITUTE(AY24,CHAR(160),""))),0)*IFERROR(VALUE(TRIM(SUBSTITUTE($AT24,CHAR(160),""))),0)),
$BL24="Devis 2",
IF(ISBLANK(BD24),"",IFERROR(VALUE(TRIM(SUBSTITUTE(BD24,CHAR(160),""))),0)*IFERROR(VALUE(TRIM(SUBSTITUTE($AT24,CHAR(160),""))),0)),
$BL24="Devis 3",
IF(ISBLANK(BI24),"",IFERROR(VALUE(TRIM(SUBSTITUTE(BI24,CHAR(160),""))),0)*IFERROR(VALUE(TRIM(SUBSTITUTE($AT24,CHAR(160),""))),0)),
TRUE,0
)
)</f>
        <v/>
      </c>
      <c r="BR24" s="1470" t="str" cm="1">
        <f t="array" ref="BR24">IF($AT24="","",
_xlfn.IFS(
$BL24="Devis 1",
IF(ISBLANK(AZ24),"",IFERROR(VALUE(TRIM(SUBSTITUTE(AZ24,CHAR(160),""))),0)*IFERROR(VALUE(TRIM(SUBSTITUTE($AT24,CHAR(160),""))),0)),
$BL24="Devis 2",
IF(ISBLANK(BE24),"",IFERROR(VALUE(TRIM(SUBSTITUTE(BE24,CHAR(160),""))),0)*IFERROR(VALUE(TRIM(SUBSTITUTE($AT24,CHAR(160),""))),0)),
$BL24="Devis 3",
IF(ISBLANK(BJ24),"",IFERROR(VALUE(TRIM(SUBSTITUTE(BJ24,CHAR(160),""))),0)*IFERROR(VALUE(TRIM(SUBSTITUTE($AT24,CHAR(160),""))),0)),
TRUE,0
)
)</f>
        <v/>
      </c>
      <c r="BS24" s="1470" t="str">
        <f t="shared" si="25"/>
        <v/>
      </c>
      <c r="BT24" s="194"/>
      <c r="BU24" s="216" t="str" cm="1">
        <f t="array" ref="BU24">IF(OR(BS24="",BP24="",BQ24="",BN24="",BR24="",BO24=""),"",_xlfn.IFS(
ROUND(IFERROR(VALUE(TRIM(SUBSTITUTE(BS24,CHAR(160),""))),0),2)&gt;
ROUND(IFERROR(VALUE(TRIM(SUBSTITUTE(BP24,CHAR(160),""))),0),2),
"KO : Le montant retenu TTC est supérieur au montant raisonnable TTC. Merci de revoir la ligne de dépense ou plafonner son montant.",
ROUND(IFERROR(VALUE(TRIM(SUBSTITUTE(BQ24,CHAR(160),""))),0),2)&gt;
ROUND(IFERROR(VALUE(TRIM(SUBSTITUTE(BN24,CHAR(160),""))),0),2),
"Attention : Le montant retenu HT est supérieur au montant HT raisonnable. Merci de revoir la ligne de dépense, plafonner son montant, ou justifier la reventillation HT / TVA.",
ROUND(IFERROR(VALUE(TRIM(SUBSTITUTE(BR24,CHAR(160),""))),0),2)&gt;
ROUND(IFERROR(VALUE(TRIM(SUBSTITUTE(BO24,CHAR(160),""))),0),2),
"Attention : Le montant TVA retenu est supérieur au montant TVA raisonnable. Merci de revoir la ligne de dépense, plafonner son montant, ou justifier la reventillation HT / TVA.",
ROUND(IFERROR(VALUE(TRIM(SUBSTITUTE(BS24,CHAR(160),""))),0),2)&gt;
ROUND(IFERROR(VALUE(TRIM(SUBSTITUTE(MIN(T24,Y24,AD24),CHAR(160),""))),0),2),
"Attention : Le devis retenu n'est pas le moins cher. Une justification de la part du porteur est nécessaire.",
ROUND(IFERROR(VALUE(TRIM(SUBSTITUTE(BS24,CHAR(160),""))),0),2)=0,
"Attention : montant présenté entièrement écarté",
ROUND(IFERROR(VALUE(TRIM(SUBSTITUTE(BP24,CHAR(160),""))),0),2)=
ROUND(IFERROR(VALUE(TRIM(SUBSTITUTE(BS24,CHAR(160),""))),0),2),
"OK",
ROUND(IFERROR(VALUE(TRIM(SUBSTITUTE(BP24,CHAR(160),""))),0),2)&gt;
ROUND(IFERROR(VALUE(TRIM(SUBSTITUTE(BS24,CHAR(160),""))),0),2),
" OK : Montant instruit inférieur au montant raisonnable.",
TRUE,""
))</f>
        <v/>
      </c>
      <c r="BV24" s="57" t="str" cm="1">
        <f t="array" ref="BV24">IF(OR(BS24="",AH24="",BQ24="",AF24="",BR24="",AG24=""),"",_xlfn.IFS(
ROUND(IFERROR(VALUE(TRIM(SUBSTITUTE(BS24,CHAR(160),""))),0),2)&gt;
ROUND(IFERROR(VALUE(TRIM(SUBSTITUTE(AH24,CHAR(160),""))),0),2),
"KO : Le montant retenu TTC est supérieur au montant présenté TTC. Merci de revoir la ligne de dépense ou plafonner son montant.",
ROUND(IFERROR(VALUE(TRIM(SUBSTITUTE(BQ24,CHAR(160),""))),0),2)&gt;
ROUND(IFERROR(VALUE(TRIM(SUBSTITUTE(AF24,CHAR(160),""))),0),2),
"Attention : Le montant retenu HT est supérieur au montant HT présenté. Merci de revoir la ligne de dépense, plafonner son montant, ou justifier la reventillation HT / TVA.",
ROUND(IFERROR(VALUE(TRIM(SUBSTITUTE(BR24,CHAR(160),""))),0),2)&gt;
ROUND(IFERROR(VALUE(TRIM(SUBSTITUTE(AG24,CHAR(160),""))),0),2),
"Attention : Le montant TVA retenu est supérieur au montant TVA présenté. Merci de revoir la ligne de dépense, plafonner son montant, ou justifier la reventillation HT / TVA.",
ROUND(IFERROR(VALUE(TRIM(SUBSTITUTE(AH24,CHAR(160),""))),0),2)=0,
"",
ROUND(IFERROR(VALUE(TRIM(SUBSTITUTE(BS24,CHAR(160),""))),0),2)=
ROUND(IFERROR(VALUE(TRIM(SUBSTITUTE(AH24,CHAR(160),""))),0),2),
"OK",
ROUND(IFERROR(VALUE(TRIM(SUBSTITUTE(BS24,CHAR(160),""))),0),2)=0,
"Attention : Montant présenté entièrement rejeté.",
ROUND(IFERROR(VALUE(TRIM(SUBSTITUTE(BS24,CHAR(160),""))),0),2)&lt;
ROUND(IFERROR(VALUE(TRIM(SUBSTITUTE(AH24,CHAR(160),""))),0),2),
"Attention : Montant présenté partiellement rejeté.",
TRUE,""
))</f>
        <v/>
      </c>
      <c r="BW24" s="1202" t="str">
        <f t="shared" si="15"/>
        <v/>
      </c>
      <c r="BX24" s="1202" t="str">
        <f t="shared" si="16"/>
        <v/>
      </c>
      <c r="BY24" s="1216" t="str">
        <f t="shared" si="17"/>
        <v/>
      </c>
      <c r="CB24"/>
      <c r="CF24" s="185"/>
    </row>
    <row r="25" spans="2:84" ht="20.100000000000001" customHeight="1">
      <c r="B25" s="1206">
        <v>15</v>
      </c>
      <c r="C25" s="11"/>
      <c r="D25" s="11"/>
      <c r="E25" s="22"/>
      <c r="F25" s="22"/>
      <c r="G25" s="22"/>
      <c r="H25" s="22"/>
      <c r="I25" s="11"/>
      <c r="J25" s="1201"/>
      <c r="K25" s="1512"/>
      <c r="L25" s="11"/>
      <c r="M25" s="2"/>
      <c r="N25" s="23"/>
      <c r="O25" s="25"/>
      <c r="P25" s="1552"/>
      <c r="Q25" s="1518"/>
      <c r="R25" s="1517"/>
      <c r="S25" s="1517"/>
      <c r="T25" s="1522" t="str">
        <f t="shared" si="18"/>
        <v/>
      </c>
      <c r="U25" s="1559"/>
      <c r="V25" s="1523"/>
      <c r="W25" s="1524"/>
      <c r="X25" s="1524"/>
      <c r="Y25" s="1539" t="str">
        <f t="shared" si="19"/>
        <v/>
      </c>
      <c r="Z25" s="1567"/>
      <c r="AA25" s="1568"/>
      <c r="AB25" s="1569"/>
      <c r="AC25" s="1569"/>
      <c r="AD25" s="1546" t="str">
        <f t="shared" si="20"/>
        <v/>
      </c>
      <c r="AE25" s="6"/>
      <c r="AF25" s="1202" t="str" cm="1">
        <f t="array" ref="AF25">IF((_xlfn.IFS(TRIM(SUBSTITUTE(AE25,CHAR(160),""))="Devis 1",IFERROR(VALUE(TRIM(SUBSTITUTE(R25,CHAR(160),""))),0),TRIM(SUBSTITUTE(AE25,CHAR(160),""))="Devis 2",IFERROR(VALUE(TRIM(SUBSTITUTE(W25,CHAR(160),""))),0),TRIM(SUBSTITUTE(AE25,CHAR(160),""))="Devis 3",IFERROR(VALUE(TRIM(SUBSTITUTE(AB25,CHAR(160),""))),0),TRUE,0)*IFERROR(VALUE(TRIM(SUBSTITUTE(M25,CHAR(160),""))),0))=0,"",_xlfn.IFS(TRIM(SUBSTITUTE(AE25,CHAR(160),""))="Devis 1",IFERROR(VALUE(TRIM(SUBSTITUTE(R25,CHAR(160),""))),0),TRIM(SUBSTITUTE(AE25,CHAR(160),""))="Devis 2",IFERROR(VALUE(TRIM(SUBSTITUTE(W25,CHAR(160),""))),0),TRIM(SUBSTITUTE(AE25,CHAR(160),""))="Devis 3",IFERROR(VALUE(TRIM(SUBSTITUTE(AB25,CHAR(160),""))),0),TRUE,0)*IFERROR(VALUE(TRIM(SUBSTITUTE(M25,CHAR(160),""))),0))</f>
        <v/>
      </c>
      <c r="AG25" s="1202" t="str" cm="1">
        <f t="array" ref="AG25">IF((_xlfn.IFS(TRIM(SUBSTITUTE(AE25,CHAR(160),""))="Devis 1",IFERROR(VALUE(TRIM(SUBSTITUTE(S25,CHAR(160),""))),0),TRIM(SUBSTITUTE(AE25,CHAR(160),""))="Devis 2",IFERROR(VALUE(TRIM(SUBSTITUTE(X25,CHAR(160),""))),0),TRIM(SUBSTITUTE(AE25,CHAR(160),""))="Devis 3",IFERROR(VALUE(TRIM(SUBSTITUTE(AC25,CHAR(160),""))),0),TRUE,0)*IFERROR(VALUE(TRIM(SUBSTITUTE(M25,CHAR(160),""))),0))=0,"",_xlfn.IFS(TRIM(SUBSTITUTE(AE25,CHAR(160),""))="Devis 1",IFERROR(VALUE(TRIM(SUBSTITUTE(S25,CHAR(160),""))),0),TRIM(SUBSTITUTE(AF25,CHAR(160),""))="Devis 2",IFERROR(VALUE(TRIM(SUBSTITUTE(X25,CHAR(160),""))),0),TRIM(SUBSTITUTE(AF25,CHAR(160),""))="Devis 3",IFERROR(VALUE(TRIM(SUBSTITUTE(AC25,CHAR(160),""))),0),TRUE,0)*IFERROR(VALUE(TRIM(SUBSTITUTE(M25,CHAR(160),""))),0))</f>
        <v/>
      </c>
      <c r="AH25" s="1202" t="str" cm="1">
        <f t="array" ref="AH25">IF((_xlfn.IFS(TRIM(SUBSTITUTE(AE25,CHAR(160),""))="Devis 1",IFERROR(VALUE(TRIM(SUBSTITUTE(T25,CHAR(160),""))),0),TRIM(SUBSTITUTE(AE25,CHAR(160),""))="Devis 2",IFERROR(VALUE(TRIM(SUBSTITUTE(Y25,CHAR(160),""))),0),TRIM(SUBSTITUTE(AE25,CHAR(160),""))="Devis 3",IFERROR(VALUE(TRIM(SUBSTITUTE(AD25,CHAR(160),""))),0),TRUE,0)*IFERROR(VALUE(TRIM(SUBSTITUTE(M25,CHAR(160),""))),0))=0,"",_xlfn.IFS(TRIM(SUBSTITUTE(AE25,CHAR(160),""))="Devis 1",IFERROR(VALUE(TRIM(SUBSTITUTE(T25,CHAR(160),""))),0),TRIM(SUBSTITUTE(AE25,CHAR(160),""))="Devis 2",IFERROR(VALUE(TRIM(SUBSTITUTE(Y25,CHAR(160),""))),0),TRIM(SUBSTITUTE(AE25,CHAR(160),""))="Devis 3",IFERROR(VALUE(TRIM(SUBSTITUTE(AD25,CHAR(160),""))),0),TRUE,0)*IFERROR(VALUE(TRIM(SUBSTITUTE(M25,CHAR(160),""))),0))</f>
        <v/>
      </c>
      <c r="AI25" s="488"/>
      <c r="AJ25" s="215" t="str">
        <f t="shared" si="26"/>
        <v/>
      </c>
      <c r="AK25" s="57" t="str">
        <f t="shared" si="27"/>
        <v/>
      </c>
      <c r="AL25" s="57" t="str">
        <f t="shared" si="28"/>
        <v/>
      </c>
      <c r="AM25" s="57" t="str">
        <f t="shared" si="29"/>
        <v/>
      </c>
      <c r="AN25" s="57" t="str">
        <f t="shared" si="21"/>
        <v/>
      </c>
      <c r="AO25" s="57" t="str">
        <f t="shared" si="30"/>
        <v/>
      </c>
      <c r="AP25" s="57" t="str">
        <f t="shared" si="31"/>
        <v/>
      </c>
      <c r="AQ25" s="57" t="str">
        <f t="shared" si="32"/>
        <v/>
      </c>
      <c r="AR25" s="57" t="str">
        <f t="shared" si="33"/>
        <v/>
      </c>
      <c r="AS25" s="57" t="str">
        <f t="shared" si="34"/>
        <v/>
      </c>
      <c r="AT25" s="1172" t="str">
        <f t="shared" si="35"/>
        <v/>
      </c>
      <c r="AU25" s="57" t="str">
        <f t="shared" si="36"/>
        <v/>
      </c>
      <c r="AV25" s="691" t="str">
        <f t="shared" si="37"/>
        <v/>
      </c>
      <c r="AW25" s="1533" t="str">
        <f t="shared" si="38"/>
        <v/>
      </c>
      <c r="AX25" s="1521" t="str">
        <f t="shared" si="39"/>
        <v/>
      </c>
      <c r="AY25" s="1663" t="str">
        <f t="shared" si="40"/>
        <v/>
      </c>
      <c r="AZ25" s="1663" t="str">
        <f t="shared" si="41"/>
        <v/>
      </c>
      <c r="BA25" s="1522" t="str">
        <f t="shared" si="2"/>
        <v/>
      </c>
      <c r="BB25" s="1527" t="str">
        <f t="shared" si="3"/>
        <v/>
      </c>
      <c r="BC25" s="1528" t="str">
        <f t="shared" si="4"/>
        <v/>
      </c>
      <c r="BD25" s="1654" t="str">
        <f t="shared" si="5"/>
        <v/>
      </c>
      <c r="BE25" s="1657" t="str">
        <f t="shared" si="6"/>
        <v/>
      </c>
      <c r="BF25" s="1539" t="str">
        <f t="shared" si="7"/>
        <v/>
      </c>
      <c r="BG25" s="1544" t="str">
        <f t="shared" si="8"/>
        <v/>
      </c>
      <c r="BH25" s="1545" t="str">
        <f t="shared" si="9"/>
        <v/>
      </c>
      <c r="BI25" s="1660" t="str">
        <f t="shared" si="10"/>
        <v/>
      </c>
      <c r="BJ25" s="1660" t="str">
        <f t="shared" si="11"/>
        <v/>
      </c>
      <c r="BK25" s="1546" t="str">
        <f t="shared" si="12"/>
        <v/>
      </c>
      <c r="BL25" s="1467" t="str">
        <f t="shared" si="22"/>
        <v/>
      </c>
      <c r="BM25" s="260"/>
      <c r="BN25" s="1667" t="str">
        <f t="shared" si="23"/>
        <v/>
      </c>
      <c r="BO25" s="1667" t="str">
        <f t="shared" si="24"/>
        <v/>
      </c>
      <c r="BP25" s="300" t="str">
        <f t="shared" si="14"/>
        <v/>
      </c>
      <c r="BQ25" s="1470" t="str" cm="1">
        <f t="array" ref="BQ25">IF($AT25="","",
_xlfn.IFS(
$BL25="Devis 1",
IF(ISBLANK(AY25),"",IFERROR(VALUE(TRIM(SUBSTITUTE(AY25,CHAR(160),""))),0)*IFERROR(VALUE(TRIM(SUBSTITUTE($AT25,CHAR(160),""))),0)),
$BL25="Devis 2",
IF(ISBLANK(BD25),"",IFERROR(VALUE(TRIM(SUBSTITUTE(BD25,CHAR(160),""))),0)*IFERROR(VALUE(TRIM(SUBSTITUTE($AT25,CHAR(160),""))),0)),
$BL25="Devis 3",
IF(ISBLANK(BI25),"",IFERROR(VALUE(TRIM(SUBSTITUTE(BI25,CHAR(160),""))),0)*IFERROR(VALUE(TRIM(SUBSTITUTE($AT25,CHAR(160),""))),0)),
TRUE,0
)
)</f>
        <v/>
      </c>
      <c r="BR25" s="1470" t="str" cm="1">
        <f t="array" ref="BR25">IF($AT25="","",
_xlfn.IFS(
$BL25="Devis 1",
IF(ISBLANK(AZ25),"",IFERROR(VALUE(TRIM(SUBSTITUTE(AZ25,CHAR(160),""))),0)*IFERROR(VALUE(TRIM(SUBSTITUTE($AT25,CHAR(160),""))),0)),
$BL25="Devis 2",
IF(ISBLANK(BE25),"",IFERROR(VALUE(TRIM(SUBSTITUTE(BE25,CHAR(160),""))),0)*IFERROR(VALUE(TRIM(SUBSTITUTE($AT25,CHAR(160),""))),0)),
$BL25="Devis 3",
IF(ISBLANK(BJ25),"",IFERROR(VALUE(TRIM(SUBSTITUTE(BJ25,CHAR(160),""))),0)*IFERROR(VALUE(TRIM(SUBSTITUTE($AT25,CHAR(160),""))),0)),
TRUE,0
)
)</f>
        <v/>
      </c>
      <c r="BS25" s="1470" t="str">
        <f t="shared" si="25"/>
        <v/>
      </c>
      <c r="BT25" s="194"/>
      <c r="BU25" s="216" t="str" cm="1">
        <f t="array" ref="BU25">IF(OR(BS25="",BP25="",BQ25="",BN25="",BR25="",BO25=""),"",_xlfn.IFS(
ROUND(IFERROR(VALUE(TRIM(SUBSTITUTE(BS25,CHAR(160),""))),0),2)&gt;
ROUND(IFERROR(VALUE(TRIM(SUBSTITUTE(BP25,CHAR(160),""))),0),2),
"KO : Le montant retenu TTC est supérieur au montant raisonnable TTC. Merci de revoir la ligne de dépense ou plafonner son montant.",
ROUND(IFERROR(VALUE(TRIM(SUBSTITUTE(BQ25,CHAR(160),""))),0),2)&gt;
ROUND(IFERROR(VALUE(TRIM(SUBSTITUTE(BN25,CHAR(160),""))),0),2),
"Attention : Le montant retenu HT est supérieur au montant HT raisonnable. Merci de revoir la ligne de dépense, plafonner son montant, ou justifier la reventillation HT / TVA.",
ROUND(IFERROR(VALUE(TRIM(SUBSTITUTE(BR25,CHAR(160),""))),0),2)&gt;
ROUND(IFERROR(VALUE(TRIM(SUBSTITUTE(BO25,CHAR(160),""))),0),2),
"Attention : Le montant TVA retenu est supérieur au montant TVA raisonnable. Merci de revoir la ligne de dépense, plafonner son montant, ou justifier la reventillation HT / TVA.",
ROUND(IFERROR(VALUE(TRIM(SUBSTITUTE(BS25,CHAR(160),""))),0),2)&gt;
ROUND(IFERROR(VALUE(TRIM(SUBSTITUTE(MIN(T25,Y25,AD25),CHAR(160),""))),0),2),
"Attention : Le devis retenu n'est pas le moins cher. Une justification de la part du porteur est nécessaire.",
ROUND(IFERROR(VALUE(TRIM(SUBSTITUTE(BS25,CHAR(160),""))),0),2)=0,
"Attention : montant présenté entièrement écarté",
ROUND(IFERROR(VALUE(TRIM(SUBSTITUTE(BP25,CHAR(160),""))),0),2)=
ROUND(IFERROR(VALUE(TRIM(SUBSTITUTE(BS25,CHAR(160),""))),0),2),
"OK",
ROUND(IFERROR(VALUE(TRIM(SUBSTITUTE(BP25,CHAR(160),""))),0),2)&gt;
ROUND(IFERROR(VALUE(TRIM(SUBSTITUTE(BS25,CHAR(160),""))),0),2),
" OK : Montant instruit inférieur au montant raisonnable.",
TRUE,""
))</f>
        <v/>
      </c>
      <c r="BV25" s="57" t="str" cm="1">
        <f t="array" ref="BV25">IF(OR(BS25="",AH25="",BQ25="",AF25="",BR25="",AG25=""),"",_xlfn.IFS(
ROUND(IFERROR(VALUE(TRIM(SUBSTITUTE(BS25,CHAR(160),""))),0),2)&gt;
ROUND(IFERROR(VALUE(TRIM(SUBSTITUTE(AH25,CHAR(160),""))),0),2),
"KO : Le montant retenu TTC est supérieur au montant présenté TTC. Merci de revoir la ligne de dépense ou plafonner son montant.",
ROUND(IFERROR(VALUE(TRIM(SUBSTITUTE(BQ25,CHAR(160),""))),0),2)&gt;
ROUND(IFERROR(VALUE(TRIM(SUBSTITUTE(AF25,CHAR(160),""))),0),2),
"Attention : Le montant retenu HT est supérieur au montant HT présenté. Merci de revoir la ligne de dépense, plafonner son montant, ou justifier la reventillation HT / TVA.",
ROUND(IFERROR(VALUE(TRIM(SUBSTITUTE(BR25,CHAR(160),""))),0),2)&gt;
ROUND(IFERROR(VALUE(TRIM(SUBSTITUTE(AG25,CHAR(160),""))),0),2),
"Attention : Le montant TVA retenu est supérieur au montant TVA présenté. Merci de revoir la ligne de dépense, plafonner son montant, ou justifier la reventillation HT / TVA.",
ROUND(IFERROR(VALUE(TRIM(SUBSTITUTE(AH25,CHAR(160),""))),0),2)=0,
"",
ROUND(IFERROR(VALUE(TRIM(SUBSTITUTE(BS25,CHAR(160),""))),0),2)=
ROUND(IFERROR(VALUE(TRIM(SUBSTITUTE(AH25,CHAR(160),""))),0),2),
"OK",
ROUND(IFERROR(VALUE(TRIM(SUBSTITUTE(BS25,CHAR(160),""))),0),2)=0,
"Attention : Montant présenté entièrement rejeté.",
ROUND(IFERROR(VALUE(TRIM(SUBSTITUTE(BS25,CHAR(160),""))),0),2)&lt;
ROUND(IFERROR(VALUE(TRIM(SUBSTITUTE(AH25,CHAR(160),""))),0),2),
"Attention : Montant présenté partiellement rejeté.",
TRUE,""
))</f>
        <v/>
      </c>
      <c r="BW25" s="1202" t="str">
        <f t="shared" si="15"/>
        <v/>
      </c>
      <c r="BX25" s="1202" t="str">
        <f t="shared" si="16"/>
        <v/>
      </c>
      <c r="BY25" s="1216" t="str">
        <f t="shared" si="17"/>
        <v/>
      </c>
      <c r="CB25"/>
      <c r="CF25" s="185"/>
    </row>
    <row r="26" spans="2:84" ht="20.100000000000001" customHeight="1">
      <c r="B26" s="1206">
        <v>16</v>
      </c>
      <c r="C26" s="11"/>
      <c r="D26" s="11"/>
      <c r="E26" s="22"/>
      <c r="F26" s="22"/>
      <c r="G26" s="22"/>
      <c r="H26" s="22"/>
      <c r="I26" s="11"/>
      <c r="J26" s="1201"/>
      <c r="K26" s="1512"/>
      <c r="L26" s="11"/>
      <c r="M26" s="2"/>
      <c r="N26" s="23"/>
      <c r="O26" s="25"/>
      <c r="P26" s="1552"/>
      <c r="Q26" s="1518"/>
      <c r="R26" s="1517"/>
      <c r="S26" s="1517"/>
      <c r="T26" s="1522" t="str">
        <f t="shared" si="18"/>
        <v/>
      </c>
      <c r="U26" s="1559"/>
      <c r="V26" s="1523"/>
      <c r="W26" s="1524"/>
      <c r="X26" s="1524"/>
      <c r="Y26" s="1539" t="str">
        <f t="shared" si="19"/>
        <v/>
      </c>
      <c r="Z26" s="1567"/>
      <c r="AA26" s="1568"/>
      <c r="AB26" s="1569"/>
      <c r="AC26" s="1569"/>
      <c r="AD26" s="1546" t="str">
        <f t="shared" si="20"/>
        <v/>
      </c>
      <c r="AE26" s="6"/>
      <c r="AF26" s="1202" t="str" cm="1">
        <f t="array" ref="AF26">IF((_xlfn.IFS(TRIM(SUBSTITUTE(AE26,CHAR(160),""))="Devis 1",IFERROR(VALUE(TRIM(SUBSTITUTE(R26,CHAR(160),""))),0),TRIM(SUBSTITUTE(AE26,CHAR(160),""))="Devis 2",IFERROR(VALUE(TRIM(SUBSTITUTE(W26,CHAR(160),""))),0),TRIM(SUBSTITUTE(AE26,CHAR(160),""))="Devis 3",IFERROR(VALUE(TRIM(SUBSTITUTE(AB26,CHAR(160),""))),0),TRUE,0)*IFERROR(VALUE(TRIM(SUBSTITUTE(M26,CHAR(160),""))),0))=0,"",_xlfn.IFS(TRIM(SUBSTITUTE(AE26,CHAR(160),""))="Devis 1",IFERROR(VALUE(TRIM(SUBSTITUTE(R26,CHAR(160),""))),0),TRIM(SUBSTITUTE(AE26,CHAR(160),""))="Devis 2",IFERROR(VALUE(TRIM(SUBSTITUTE(W26,CHAR(160),""))),0),TRIM(SUBSTITUTE(AE26,CHAR(160),""))="Devis 3",IFERROR(VALUE(TRIM(SUBSTITUTE(AB26,CHAR(160),""))),0),TRUE,0)*IFERROR(VALUE(TRIM(SUBSTITUTE(M26,CHAR(160),""))),0))</f>
        <v/>
      </c>
      <c r="AG26" s="1202" t="str" cm="1">
        <f t="array" ref="AG26">IF((_xlfn.IFS(TRIM(SUBSTITUTE(AE26,CHAR(160),""))="Devis 1",IFERROR(VALUE(TRIM(SUBSTITUTE(S26,CHAR(160),""))),0),TRIM(SUBSTITUTE(AE26,CHAR(160),""))="Devis 2",IFERROR(VALUE(TRIM(SUBSTITUTE(X26,CHAR(160),""))),0),TRIM(SUBSTITUTE(AE26,CHAR(160),""))="Devis 3",IFERROR(VALUE(TRIM(SUBSTITUTE(AC26,CHAR(160),""))),0),TRUE,0)*IFERROR(VALUE(TRIM(SUBSTITUTE(M26,CHAR(160),""))),0))=0,"",_xlfn.IFS(TRIM(SUBSTITUTE(AE26,CHAR(160),""))="Devis 1",IFERROR(VALUE(TRIM(SUBSTITUTE(S26,CHAR(160),""))),0),TRIM(SUBSTITUTE(AF26,CHAR(160),""))="Devis 2",IFERROR(VALUE(TRIM(SUBSTITUTE(X26,CHAR(160),""))),0),TRIM(SUBSTITUTE(AF26,CHAR(160),""))="Devis 3",IFERROR(VALUE(TRIM(SUBSTITUTE(AC26,CHAR(160),""))),0),TRUE,0)*IFERROR(VALUE(TRIM(SUBSTITUTE(M26,CHAR(160),""))),0))</f>
        <v/>
      </c>
      <c r="AH26" s="1202" t="str" cm="1">
        <f t="array" ref="AH26">IF((_xlfn.IFS(TRIM(SUBSTITUTE(AE26,CHAR(160),""))="Devis 1",IFERROR(VALUE(TRIM(SUBSTITUTE(T26,CHAR(160),""))),0),TRIM(SUBSTITUTE(AE26,CHAR(160),""))="Devis 2",IFERROR(VALUE(TRIM(SUBSTITUTE(Y26,CHAR(160),""))),0),TRIM(SUBSTITUTE(AE26,CHAR(160),""))="Devis 3",IFERROR(VALUE(TRIM(SUBSTITUTE(AD26,CHAR(160),""))),0),TRUE,0)*IFERROR(VALUE(TRIM(SUBSTITUTE(M26,CHAR(160),""))),0))=0,"",_xlfn.IFS(TRIM(SUBSTITUTE(AE26,CHAR(160),""))="Devis 1",IFERROR(VALUE(TRIM(SUBSTITUTE(T26,CHAR(160),""))),0),TRIM(SUBSTITUTE(AE26,CHAR(160),""))="Devis 2",IFERROR(VALUE(TRIM(SUBSTITUTE(Y26,CHAR(160),""))),0),TRIM(SUBSTITUTE(AE26,CHAR(160),""))="Devis 3",IFERROR(VALUE(TRIM(SUBSTITUTE(AD26,CHAR(160),""))),0),TRUE,0)*IFERROR(VALUE(TRIM(SUBSTITUTE(M26,CHAR(160),""))),0))</f>
        <v/>
      </c>
      <c r="AI26" s="488"/>
      <c r="AJ26" s="215" t="str">
        <f t="shared" si="26"/>
        <v/>
      </c>
      <c r="AK26" s="57" t="str">
        <f t="shared" si="27"/>
        <v/>
      </c>
      <c r="AL26" s="57" t="str">
        <f t="shared" si="28"/>
        <v/>
      </c>
      <c r="AM26" s="57" t="str">
        <f t="shared" si="29"/>
        <v/>
      </c>
      <c r="AN26" s="57" t="str">
        <f t="shared" si="21"/>
        <v/>
      </c>
      <c r="AO26" s="57" t="str">
        <f t="shared" si="30"/>
        <v/>
      </c>
      <c r="AP26" s="57" t="str">
        <f t="shared" si="31"/>
        <v/>
      </c>
      <c r="AQ26" s="57" t="str">
        <f t="shared" si="32"/>
        <v/>
      </c>
      <c r="AR26" s="57" t="str">
        <f t="shared" si="33"/>
        <v/>
      </c>
      <c r="AS26" s="57" t="str">
        <f t="shared" si="34"/>
        <v/>
      </c>
      <c r="AT26" s="1172" t="str">
        <f t="shared" si="35"/>
        <v/>
      </c>
      <c r="AU26" s="57" t="str">
        <f t="shared" si="36"/>
        <v/>
      </c>
      <c r="AV26" s="691" t="str">
        <f t="shared" si="37"/>
        <v/>
      </c>
      <c r="AW26" s="1533" t="str">
        <f t="shared" si="38"/>
        <v/>
      </c>
      <c r="AX26" s="1521" t="str">
        <f t="shared" si="39"/>
        <v/>
      </c>
      <c r="AY26" s="1663" t="str">
        <f t="shared" si="40"/>
        <v/>
      </c>
      <c r="AZ26" s="1663" t="str">
        <f t="shared" si="41"/>
        <v/>
      </c>
      <c r="BA26" s="1522" t="str">
        <f t="shared" si="2"/>
        <v/>
      </c>
      <c r="BB26" s="1527" t="str">
        <f t="shared" si="3"/>
        <v/>
      </c>
      <c r="BC26" s="1528" t="str">
        <f t="shared" si="4"/>
        <v/>
      </c>
      <c r="BD26" s="1654" t="str">
        <f t="shared" si="5"/>
        <v/>
      </c>
      <c r="BE26" s="1657" t="str">
        <f t="shared" si="6"/>
        <v/>
      </c>
      <c r="BF26" s="1539" t="str">
        <f t="shared" si="7"/>
        <v/>
      </c>
      <c r="BG26" s="1544" t="str">
        <f t="shared" si="8"/>
        <v/>
      </c>
      <c r="BH26" s="1545" t="str">
        <f t="shared" si="9"/>
        <v/>
      </c>
      <c r="BI26" s="1660" t="str">
        <f t="shared" si="10"/>
        <v/>
      </c>
      <c r="BJ26" s="1660" t="str">
        <f t="shared" si="11"/>
        <v/>
      </c>
      <c r="BK26" s="1546" t="str">
        <f t="shared" si="12"/>
        <v/>
      </c>
      <c r="BL26" s="1467" t="str">
        <f t="shared" si="22"/>
        <v/>
      </c>
      <c r="BM26" s="260"/>
      <c r="BN26" s="1667" t="str">
        <f t="shared" si="23"/>
        <v/>
      </c>
      <c r="BO26" s="1667" t="str">
        <f t="shared" si="24"/>
        <v/>
      </c>
      <c r="BP26" s="300" t="str">
        <f t="shared" si="14"/>
        <v/>
      </c>
      <c r="BQ26" s="1470" t="str" cm="1">
        <f t="array" ref="BQ26">IF($AT26="","",
_xlfn.IFS(
$BL26="Devis 1",
IF(ISBLANK(AY26),"",IFERROR(VALUE(TRIM(SUBSTITUTE(AY26,CHAR(160),""))),0)*IFERROR(VALUE(TRIM(SUBSTITUTE($AT26,CHAR(160),""))),0)),
$BL26="Devis 2",
IF(ISBLANK(BD26),"",IFERROR(VALUE(TRIM(SUBSTITUTE(BD26,CHAR(160),""))),0)*IFERROR(VALUE(TRIM(SUBSTITUTE($AT26,CHAR(160),""))),0)),
$BL26="Devis 3",
IF(ISBLANK(BI26),"",IFERROR(VALUE(TRIM(SUBSTITUTE(BI26,CHAR(160),""))),0)*IFERROR(VALUE(TRIM(SUBSTITUTE($AT26,CHAR(160),""))),0)),
TRUE,0
)
)</f>
        <v/>
      </c>
      <c r="BR26" s="1470" t="str" cm="1">
        <f t="array" ref="BR26">IF($AT26="","",
_xlfn.IFS(
$BL26="Devis 1",
IF(ISBLANK(AZ26),"",IFERROR(VALUE(TRIM(SUBSTITUTE(AZ26,CHAR(160),""))),0)*IFERROR(VALUE(TRIM(SUBSTITUTE($AT26,CHAR(160),""))),0)),
$BL26="Devis 2",
IF(ISBLANK(BE26),"",IFERROR(VALUE(TRIM(SUBSTITUTE(BE26,CHAR(160),""))),0)*IFERROR(VALUE(TRIM(SUBSTITUTE($AT26,CHAR(160),""))),0)),
$BL26="Devis 3",
IF(ISBLANK(BJ26),"",IFERROR(VALUE(TRIM(SUBSTITUTE(BJ26,CHAR(160),""))),0)*IFERROR(VALUE(TRIM(SUBSTITUTE($AT26,CHAR(160),""))),0)),
TRUE,0
)
)</f>
        <v/>
      </c>
      <c r="BS26" s="1470" t="str">
        <f t="shared" si="25"/>
        <v/>
      </c>
      <c r="BT26" s="194"/>
      <c r="BU26" s="216" t="str" cm="1">
        <f t="array" ref="BU26">IF(OR(BS26="",BP26="",BQ26="",BN26="",BR26="",BO26=""),"",_xlfn.IFS(
ROUND(IFERROR(VALUE(TRIM(SUBSTITUTE(BS26,CHAR(160),""))),0),2)&gt;
ROUND(IFERROR(VALUE(TRIM(SUBSTITUTE(BP26,CHAR(160),""))),0),2),
"KO : Le montant retenu TTC est supérieur au montant raisonnable TTC. Merci de revoir la ligne de dépense ou plafonner son montant.",
ROUND(IFERROR(VALUE(TRIM(SUBSTITUTE(BQ26,CHAR(160),""))),0),2)&gt;
ROUND(IFERROR(VALUE(TRIM(SUBSTITUTE(BN26,CHAR(160),""))),0),2),
"Attention : Le montant retenu HT est supérieur au montant HT raisonnable. Merci de revoir la ligne de dépense, plafonner son montant, ou justifier la reventillation HT / TVA.",
ROUND(IFERROR(VALUE(TRIM(SUBSTITUTE(BR26,CHAR(160),""))),0),2)&gt;
ROUND(IFERROR(VALUE(TRIM(SUBSTITUTE(BO26,CHAR(160),""))),0),2),
"Attention : Le montant TVA retenu est supérieur au montant TVA raisonnable. Merci de revoir la ligne de dépense, plafonner son montant, ou justifier la reventillation HT / TVA.",
ROUND(IFERROR(VALUE(TRIM(SUBSTITUTE(BS26,CHAR(160),""))),0),2)&gt;
ROUND(IFERROR(VALUE(TRIM(SUBSTITUTE(MIN(T26,Y26,AD26),CHAR(160),""))),0),2),
"Attention : Le devis retenu n'est pas le moins cher. Une justification de la part du porteur est nécessaire.",
ROUND(IFERROR(VALUE(TRIM(SUBSTITUTE(BS26,CHAR(160),""))),0),2)=0,
"Attention : montant présenté entièrement écarté",
ROUND(IFERROR(VALUE(TRIM(SUBSTITUTE(BP26,CHAR(160),""))),0),2)=
ROUND(IFERROR(VALUE(TRIM(SUBSTITUTE(BS26,CHAR(160),""))),0),2),
"OK",
ROUND(IFERROR(VALUE(TRIM(SUBSTITUTE(BP26,CHAR(160),""))),0),2)&gt;
ROUND(IFERROR(VALUE(TRIM(SUBSTITUTE(BS26,CHAR(160),""))),0),2),
" OK : Montant instruit inférieur au montant raisonnable.",
TRUE,""
))</f>
        <v/>
      </c>
      <c r="BV26" s="57" t="str" cm="1">
        <f t="array" ref="BV26">IF(OR(BS26="",AH26="",BQ26="",AF26="",BR26="",AG26=""),"",_xlfn.IFS(
ROUND(IFERROR(VALUE(TRIM(SUBSTITUTE(BS26,CHAR(160),""))),0),2)&gt;
ROUND(IFERROR(VALUE(TRIM(SUBSTITUTE(AH26,CHAR(160),""))),0),2),
"KO : Le montant retenu TTC est supérieur au montant présenté TTC. Merci de revoir la ligne de dépense ou plafonner son montant.",
ROUND(IFERROR(VALUE(TRIM(SUBSTITUTE(BQ26,CHAR(160),""))),0),2)&gt;
ROUND(IFERROR(VALUE(TRIM(SUBSTITUTE(AF26,CHAR(160),""))),0),2),
"Attention : Le montant retenu HT est supérieur au montant HT présenté. Merci de revoir la ligne de dépense, plafonner son montant, ou justifier la reventillation HT / TVA.",
ROUND(IFERROR(VALUE(TRIM(SUBSTITUTE(BR26,CHAR(160),""))),0),2)&gt;
ROUND(IFERROR(VALUE(TRIM(SUBSTITUTE(AG26,CHAR(160),""))),0),2),
"Attention : Le montant TVA retenu est supérieur au montant TVA présenté. Merci de revoir la ligne de dépense, plafonner son montant, ou justifier la reventillation HT / TVA.",
ROUND(IFERROR(VALUE(TRIM(SUBSTITUTE(AH26,CHAR(160),""))),0),2)=0,
"",
ROUND(IFERROR(VALUE(TRIM(SUBSTITUTE(BS26,CHAR(160),""))),0),2)=
ROUND(IFERROR(VALUE(TRIM(SUBSTITUTE(AH26,CHAR(160),""))),0),2),
"OK",
ROUND(IFERROR(VALUE(TRIM(SUBSTITUTE(BS26,CHAR(160),""))),0),2)=0,
"Attention : Montant présenté entièrement rejeté.",
ROUND(IFERROR(VALUE(TRIM(SUBSTITUTE(BS26,CHAR(160),""))),0),2)&lt;
ROUND(IFERROR(VALUE(TRIM(SUBSTITUTE(AH26,CHAR(160),""))),0),2),
"Attention : Montant présenté partiellement rejeté.",
TRUE,""
))</f>
        <v/>
      </c>
      <c r="BW26" s="1202" t="str">
        <f t="shared" si="15"/>
        <v/>
      </c>
      <c r="BX26" s="1202" t="str">
        <f t="shared" si="16"/>
        <v/>
      </c>
      <c r="BY26" s="1216" t="str">
        <f t="shared" si="17"/>
        <v/>
      </c>
      <c r="CB26"/>
      <c r="CF26" s="185"/>
    </row>
    <row r="27" spans="2:84" ht="20.100000000000001" customHeight="1">
      <c r="B27" s="1206">
        <v>17</v>
      </c>
      <c r="C27" s="11"/>
      <c r="D27" s="11"/>
      <c r="E27" s="22"/>
      <c r="F27" s="22"/>
      <c r="G27" s="22"/>
      <c r="H27" s="22"/>
      <c r="I27" s="11"/>
      <c r="J27" s="1201"/>
      <c r="K27" s="1512"/>
      <c r="L27" s="11"/>
      <c r="M27" s="2"/>
      <c r="N27" s="23"/>
      <c r="O27" s="25"/>
      <c r="P27" s="1552"/>
      <c r="Q27" s="1518"/>
      <c r="R27" s="1517"/>
      <c r="S27" s="1517"/>
      <c r="T27" s="1522" t="str">
        <f t="shared" si="18"/>
        <v/>
      </c>
      <c r="U27" s="1559"/>
      <c r="V27" s="1523"/>
      <c r="W27" s="1524"/>
      <c r="X27" s="1524"/>
      <c r="Y27" s="1539" t="str">
        <f t="shared" si="19"/>
        <v/>
      </c>
      <c r="Z27" s="1567"/>
      <c r="AA27" s="1568"/>
      <c r="AB27" s="1569"/>
      <c r="AC27" s="1569"/>
      <c r="AD27" s="1546" t="str">
        <f t="shared" si="20"/>
        <v/>
      </c>
      <c r="AE27" s="6"/>
      <c r="AF27" s="1202" t="str" cm="1">
        <f t="array" ref="AF27">IF((_xlfn.IFS(TRIM(SUBSTITUTE(AE27,CHAR(160),""))="Devis 1",IFERROR(VALUE(TRIM(SUBSTITUTE(R27,CHAR(160),""))),0),TRIM(SUBSTITUTE(AE27,CHAR(160),""))="Devis 2",IFERROR(VALUE(TRIM(SUBSTITUTE(W27,CHAR(160),""))),0),TRIM(SUBSTITUTE(AE27,CHAR(160),""))="Devis 3",IFERROR(VALUE(TRIM(SUBSTITUTE(AB27,CHAR(160),""))),0),TRUE,0)*IFERROR(VALUE(TRIM(SUBSTITUTE(M27,CHAR(160),""))),0))=0,"",_xlfn.IFS(TRIM(SUBSTITUTE(AE27,CHAR(160),""))="Devis 1",IFERROR(VALUE(TRIM(SUBSTITUTE(R27,CHAR(160),""))),0),TRIM(SUBSTITUTE(AE27,CHAR(160),""))="Devis 2",IFERROR(VALUE(TRIM(SUBSTITUTE(W27,CHAR(160),""))),0),TRIM(SUBSTITUTE(AE27,CHAR(160),""))="Devis 3",IFERROR(VALUE(TRIM(SUBSTITUTE(AB27,CHAR(160),""))),0),TRUE,0)*IFERROR(VALUE(TRIM(SUBSTITUTE(M27,CHAR(160),""))),0))</f>
        <v/>
      </c>
      <c r="AG27" s="1202" t="str" cm="1">
        <f t="array" ref="AG27">IF((_xlfn.IFS(TRIM(SUBSTITUTE(AE27,CHAR(160),""))="Devis 1",IFERROR(VALUE(TRIM(SUBSTITUTE(S27,CHAR(160),""))),0),TRIM(SUBSTITUTE(AE27,CHAR(160),""))="Devis 2",IFERROR(VALUE(TRIM(SUBSTITUTE(X27,CHAR(160),""))),0),TRIM(SUBSTITUTE(AE27,CHAR(160),""))="Devis 3",IFERROR(VALUE(TRIM(SUBSTITUTE(AC27,CHAR(160),""))),0),TRUE,0)*IFERROR(VALUE(TRIM(SUBSTITUTE(M27,CHAR(160),""))),0))=0,"",_xlfn.IFS(TRIM(SUBSTITUTE(AE27,CHAR(160),""))="Devis 1",IFERROR(VALUE(TRIM(SUBSTITUTE(S27,CHAR(160),""))),0),TRIM(SUBSTITUTE(AF27,CHAR(160),""))="Devis 2",IFERROR(VALUE(TRIM(SUBSTITUTE(X27,CHAR(160),""))),0),TRIM(SUBSTITUTE(AF27,CHAR(160),""))="Devis 3",IFERROR(VALUE(TRIM(SUBSTITUTE(AC27,CHAR(160),""))),0),TRUE,0)*IFERROR(VALUE(TRIM(SUBSTITUTE(M27,CHAR(160),""))),0))</f>
        <v/>
      </c>
      <c r="AH27" s="1202" t="str" cm="1">
        <f t="array" ref="AH27">IF((_xlfn.IFS(TRIM(SUBSTITUTE(AE27,CHAR(160),""))="Devis 1",IFERROR(VALUE(TRIM(SUBSTITUTE(T27,CHAR(160),""))),0),TRIM(SUBSTITUTE(AE27,CHAR(160),""))="Devis 2",IFERROR(VALUE(TRIM(SUBSTITUTE(Y27,CHAR(160),""))),0),TRIM(SUBSTITUTE(AE27,CHAR(160),""))="Devis 3",IFERROR(VALUE(TRIM(SUBSTITUTE(AD27,CHAR(160),""))),0),TRUE,0)*IFERROR(VALUE(TRIM(SUBSTITUTE(M27,CHAR(160),""))),0))=0,"",_xlfn.IFS(TRIM(SUBSTITUTE(AE27,CHAR(160),""))="Devis 1",IFERROR(VALUE(TRIM(SUBSTITUTE(T27,CHAR(160),""))),0),TRIM(SUBSTITUTE(AE27,CHAR(160),""))="Devis 2",IFERROR(VALUE(TRIM(SUBSTITUTE(Y27,CHAR(160),""))),0),TRIM(SUBSTITUTE(AE27,CHAR(160),""))="Devis 3",IFERROR(VALUE(TRIM(SUBSTITUTE(AD27,CHAR(160),""))),0),TRUE,0)*IFERROR(VALUE(TRIM(SUBSTITUTE(M27,CHAR(160),""))),0))</f>
        <v/>
      </c>
      <c r="AI27" s="488"/>
      <c r="AJ27" s="215" t="str">
        <f t="shared" si="26"/>
        <v/>
      </c>
      <c r="AK27" s="57" t="str">
        <f t="shared" si="27"/>
        <v/>
      </c>
      <c r="AL27" s="57" t="str">
        <f t="shared" si="28"/>
        <v/>
      </c>
      <c r="AM27" s="57" t="str">
        <f t="shared" si="29"/>
        <v/>
      </c>
      <c r="AN27" s="57" t="str">
        <f t="shared" si="21"/>
        <v/>
      </c>
      <c r="AO27" s="57" t="str">
        <f t="shared" si="30"/>
        <v/>
      </c>
      <c r="AP27" s="57" t="str">
        <f t="shared" si="31"/>
        <v/>
      </c>
      <c r="AQ27" s="57" t="str">
        <f t="shared" si="32"/>
        <v/>
      </c>
      <c r="AR27" s="57" t="str">
        <f t="shared" si="33"/>
        <v/>
      </c>
      <c r="AS27" s="57" t="str">
        <f t="shared" si="34"/>
        <v/>
      </c>
      <c r="AT27" s="1172" t="str">
        <f t="shared" si="35"/>
        <v/>
      </c>
      <c r="AU27" s="57" t="str">
        <f t="shared" si="36"/>
        <v/>
      </c>
      <c r="AV27" s="691" t="str">
        <f t="shared" si="37"/>
        <v/>
      </c>
      <c r="AW27" s="1533" t="str">
        <f t="shared" si="38"/>
        <v/>
      </c>
      <c r="AX27" s="1521" t="str">
        <f t="shared" si="39"/>
        <v/>
      </c>
      <c r="AY27" s="1663" t="str">
        <f t="shared" si="40"/>
        <v/>
      </c>
      <c r="AZ27" s="1663" t="str">
        <f t="shared" si="41"/>
        <v/>
      </c>
      <c r="BA27" s="1522" t="str">
        <f t="shared" si="2"/>
        <v/>
      </c>
      <c r="BB27" s="1527" t="str">
        <f t="shared" si="3"/>
        <v/>
      </c>
      <c r="BC27" s="1528" t="str">
        <f t="shared" si="4"/>
        <v/>
      </c>
      <c r="BD27" s="1654" t="str">
        <f t="shared" si="5"/>
        <v/>
      </c>
      <c r="BE27" s="1657" t="str">
        <f t="shared" si="6"/>
        <v/>
      </c>
      <c r="BF27" s="1539" t="str">
        <f t="shared" si="7"/>
        <v/>
      </c>
      <c r="BG27" s="1544" t="str">
        <f t="shared" si="8"/>
        <v/>
      </c>
      <c r="BH27" s="1545" t="str">
        <f t="shared" si="9"/>
        <v/>
      </c>
      <c r="BI27" s="1660" t="str">
        <f t="shared" si="10"/>
        <v/>
      </c>
      <c r="BJ27" s="1660" t="str">
        <f t="shared" si="11"/>
        <v/>
      </c>
      <c r="BK27" s="1546" t="str">
        <f t="shared" si="12"/>
        <v/>
      </c>
      <c r="BL27" s="1467" t="str">
        <f t="shared" si="22"/>
        <v/>
      </c>
      <c r="BM27" s="260"/>
      <c r="BN27" s="1667" t="str">
        <f t="shared" si="23"/>
        <v/>
      </c>
      <c r="BO27" s="1667" t="str">
        <f t="shared" si="24"/>
        <v/>
      </c>
      <c r="BP27" s="300" t="str">
        <f t="shared" si="14"/>
        <v/>
      </c>
      <c r="BQ27" s="1470" t="str" cm="1">
        <f t="array" ref="BQ27">IF($AT27="","",
_xlfn.IFS(
$BL27="Devis 1",
IF(ISBLANK(AY27),"",IFERROR(VALUE(TRIM(SUBSTITUTE(AY27,CHAR(160),""))),0)*IFERROR(VALUE(TRIM(SUBSTITUTE($AT27,CHAR(160),""))),0)),
$BL27="Devis 2",
IF(ISBLANK(BD27),"",IFERROR(VALUE(TRIM(SUBSTITUTE(BD27,CHAR(160),""))),0)*IFERROR(VALUE(TRIM(SUBSTITUTE($AT27,CHAR(160),""))),0)),
$BL27="Devis 3",
IF(ISBLANK(BI27),"",IFERROR(VALUE(TRIM(SUBSTITUTE(BI27,CHAR(160),""))),0)*IFERROR(VALUE(TRIM(SUBSTITUTE($AT27,CHAR(160),""))),0)),
TRUE,0
)
)</f>
        <v/>
      </c>
      <c r="BR27" s="1470" t="str" cm="1">
        <f t="array" ref="BR27">IF($AT27="","",
_xlfn.IFS(
$BL27="Devis 1",
IF(ISBLANK(AZ27),"",IFERROR(VALUE(TRIM(SUBSTITUTE(AZ27,CHAR(160),""))),0)*IFERROR(VALUE(TRIM(SUBSTITUTE($AT27,CHAR(160),""))),0)),
$BL27="Devis 2",
IF(ISBLANK(BE27),"",IFERROR(VALUE(TRIM(SUBSTITUTE(BE27,CHAR(160),""))),0)*IFERROR(VALUE(TRIM(SUBSTITUTE($AT27,CHAR(160),""))),0)),
$BL27="Devis 3",
IF(ISBLANK(BJ27),"",IFERROR(VALUE(TRIM(SUBSTITUTE(BJ27,CHAR(160),""))),0)*IFERROR(VALUE(TRIM(SUBSTITUTE($AT27,CHAR(160),""))),0)),
TRUE,0
)
)</f>
        <v/>
      </c>
      <c r="BS27" s="1470" t="str">
        <f t="shared" si="25"/>
        <v/>
      </c>
      <c r="BT27" s="194"/>
      <c r="BU27" s="216" t="str" cm="1">
        <f t="array" ref="BU27">IF(OR(BS27="",BP27="",BQ27="",BN27="",BR27="",BO27=""),"",_xlfn.IFS(
ROUND(IFERROR(VALUE(TRIM(SUBSTITUTE(BS27,CHAR(160),""))),0),2)&gt;
ROUND(IFERROR(VALUE(TRIM(SUBSTITUTE(BP27,CHAR(160),""))),0),2),
"KO : Le montant retenu TTC est supérieur au montant raisonnable TTC. Merci de revoir la ligne de dépense ou plafonner son montant.",
ROUND(IFERROR(VALUE(TRIM(SUBSTITUTE(BQ27,CHAR(160),""))),0),2)&gt;
ROUND(IFERROR(VALUE(TRIM(SUBSTITUTE(BN27,CHAR(160),""))),0),2),
"Attention : Le montant retenu HT est supérieur au montant HT raisonnable. Merci de revoir la ligne de dépense, plafonner son montant, ou justifier la reventillation HT / TVA.",
ROUND(IFERROR(VALUE(TRIM(SUBSTITUTE(BR27,CHAR(160),""))),0),2)&gt;
ROUND(IFERROR(VALUE(TRIM(SUBSTITUTE(BO27,CHAR(160),""))),0),2),
"Attention : Le montant TVA retenu est supérieur au montant TVA raisonnable. Merci de revoir la ligne de dépense, plafonner son montant, ou justifier la reventillation HT / TVA.",
ROUND(IFERROR(VALUE(TRIM(SUBSTITUTE(BS27,CHAR(160),""))),0),2)&gt;
ROUND(IFERROR(VALUE(TRIM(SUBSTITUTE(MIN(T27,Y27,AD27),CHAR(160),""))),0),2),
"Attention : Le devis retenu n'est pas le moins cher. Une justification de la part du porteur est nécessaire.",
ROUND(IFERROR(VALUE(TRIM(SUBSTITUTE(BS27,CHAR(160),""))),0),2)=0,
"Attention : montant présenté entièrement écarté",
ROUND(IFERROR(VALUE(TRIM(SUBSTITUTE(BP27,CHAR(160),""))),0),2)=
ROUND(IFERROR(VALUE(TRIM(SUBSTITUTE(BS27,CHAR(160),""))),0),2),
"OK",
ROUND(IFERROR(VALUE(TRIM(SUBSTITUTE(BP27,CHAR(160),""))),0),2)&gt;
ROUND(IFERROR(VALUE(TRIM(SUBSTITUTE(BS27,CHAR(160),""))),0),2),
" OK : Montant instruit inférieur au montant raisonnable.",
TRUE,""
))</f>
        <v/>
      </c>
      <c r="BV27" s="57" t="str" cm="1">
        <f t="array" ref="BV27">IF(OR(BS27="",AH27="",BQ27="",AF27="",BR27="",AG27=""),"",_xlfn.IFS(
ROUND(IFERROR(VALUE(TRIM(SUBSTITUTE(BS27,CHAR(160),""))),0),2)&gt;
ROUND(IFERROR(VALUE(TRIM(SUBSTITUTE(AH27,CHAR(160),""))),0),2),
"KO : Le montant retenu TTC est supérieur au montant présenté TTC. Merci de revoir la ligne de dépense ou plafonner son montant.",
ROUND(IFERROR(VALUE(TRIM(SUBSTITUTE(BQ27,CHAR(160),""))),0),2)&gt;
ROUND(IFERROR(VALUE(TRIM(SUBSTITUTE(AF27,CHAR(160),""))),0),2),
"Attention : Le montant retenu HT est supérieur au montant HT présenté. Merci de revoir la ligne de dépense, plafonner son montant, ou justifier la reventillation HT / TVA.",
ROUND(IFERROR(VALUE(TRIM(SUBSTITUTE(BR27,CHAR(160),""))),0),2)&gt;
ROUND(IFERROR(VALUE(TRIM(SUBSTITUTE(AG27,CHAR(160),""))),0),2),
"Attention : Le montant TVA retenu est supérieur au montant TVA présenté. Merci de revoir la ligne de dépense, plafonner son montant, ou justifier la reventillation HT / TVA.",
ROUND(IFERROR(VALUE(TRIM(SUBSTITUTE(AH27,CHAR(160),""))),0),2)=0,
"",
ROUND(IFERROR(VALUE(TRIM(SUBSTITUTE(BS27,CHAR(160),""))),0),2)=
ROUND(IFERROR(VALUE(TRIM(SUBSTITUTE(AH27,CHAR(160),""))),0),2),
"OK",
ROUND(IFERROR(VALUE(TRIM(SUBSTITUTE(BS27,CHAR(160),""))),0),2)=0,
"Attention : Montant présenté entièrement rejeté.",
ROUND(IFERROR(VALUE(TRIM(SUBSTITUTE(BS27,CHAR(160),""))),0),2)&lt;
ROUND(IFERROR(VALUE(TRIM(SUBSTITUTE(AH27,CHAR(160),""))),0),2),
"Attention : Montant présenté partiellement rejeté.",
TRUE,""
))</f>
        <v/>
      </c>
      <c r="BW27" s="1202" t="str">
        <f t="shared" si="15"/>
        <v/>
      </c>
      <c r="BX27" s="1202" t="str">
        <f t="shared" si="16"/>
        <v/>
      </c>
      <c r="BY27" s="1216" t="str">
        <f t="shared" si="17"/>
        <v/>
      </c>
      <c r="CB27"/>
      <c r="CF27" s="185"/>
    </row>
    <row r="28" spans="2:84" ht="20.100000000000001" customHeight="1">
      <c r="B28" s="1206">
        <v>18</v>
      </c>
      <c r="C28" s="11"/>
      <c r="D28" s="11"/>
      <c r="E28" s="22"/>
      <c r="F28" s="22"/>
      <c r="G28" s="22"/>
      <c r="H28" s="22"/>
      <c r="I28" s="11"/>
      <c r="J28" s="1201"/>
      <c r="K28" s="1512"/>
      <c r="L28" s="11"/>
      <c r="M28" s="2"/>
      <c r="N28" s="23"/>
      <c r="O28" s="25"/>
      <c r="P28" s="1552"/>
      <c r="Q28" s="1518"/>
      <c r="R28" s="1517"/>
      <c r="S28" s="1517"/>
      <c r="T28" s="1522" t="str">
        <f t="shared" si="18"/>
        <v/>
      </c>
      <c r="U28" s="1559"/>
      <c r="V28" s="1523"/>
      <c r="W28" s="1524"/>
      <c r="X28" s="1524"/>
      <c r="Y28" s="1539" t="str">
        <f t="shared" si="19"/>
        <v/>
      </c>
      <c r="Z28" s="1567"/>
      <c r="AA28" s="1568"/>
      <c r="AB28" s="1569"/>
      <c r="AC28" s="1569"/>
      <c r="AD28" s="1546" t="str">
        <f t="shared" si="20"/>
        <v/>
      </c>
      <c r="AE28" s="6"/>
      <c r="AF28" s="1202" t="str" cm="1">
        <f t="array" ref="AF28">IF((_xlfn.IFS(TRIM(SUBSTITUTE(AE28,CHAR(160),""))="Devis 1",IFERROR(VALUE(TRIM(SUBSTITUTE(R28,CHAR(160),""))),0),TRIM(SUBSTITUTE(AE28,CHAR(160),""))="Devis 2",IFERROR(VALUE(TRIM(SUBSTITUTE(W28,CHAR(160),""))),0),TRIM(SUBSTITUTE(AE28,CHAR(160),""))="Devis 3",IFERROR(VALUE(TRIM(SUBSTITUTE(AB28,CHAR(160),""))),0),TRUE,0)*IFERROR(VALUE(TRIM(SUBSTITUTE(M28,CHAR(160),""))),0))=0,"",_xlfn.IFS(TRIM(SUBSTITUTE(AE28,CHAR(160),""))="Devis 1",IFERROR(VALUE(TRIM(SUBSTITUTE(R28,CHAR(160),""))),0),TRIM(SUBSTITUTE(AE28,CHAR(160),""))="Devis 2",IFERROR(VALUE(TRIM(SUBSTITUTE(W28,CHAR(160),""))),0),TRIM(SUBSTITUTE(AE28,CHAR(160),""))="Devis 3",IFERROR(VALUE(TRIM(SUBSTITUTE(AB28,CHAR(160),""))),0),TRUE,0)*IFERROR(VALUE(TRIM(SUBSTITUTE(M28,CHAR(160),""))),0))</f>
        <v/>
      </c>
      <c r="AG28" s="1202" t="str" cm="1">
        <f t="array" ref="AG28">IF((_xlfn.IFS(TRIM(SUBSTITUTE(AE28,CHAR(160),""))="Devis 1",IFERROR(VALUE(TRIM(SUBSTITUTE(S28,CHAR(160),""))),0),TRIM(SUBSTITUTE(AE28,CHAR(160),""))="Devis 2",IFERROR(VALUE(TRIM(SUBSTITUTE(X28,CHAR(160),""))),0),TRIM(SUBSTITUTE(AE28,CHAR(160),""))="Devis 3",IFERROR(VALUE(TRIM(SUBSTITUTE(AC28,CHAR(160),""))),0),TRUE,0)*IFERROR(VALUE(TRIM(SUBSTITUTE(M28,CHAR(160),""))),0))=0,"",_xlfn.IFS(TRIM(SUBSTITUTE(AE28,CHAR(160),""))="Devis 1",IFERROR(VALUE(TRIM(SUBSTITUTE(S28,CHAR(160),""))),0),TRIM(SUBSTITUTE(AF28,CHAR(160),""))="Devis 2",IFERROR(VALUE(TRIM(SUBSTITUTE(X28,CHAR(160),""))),0),TRIM(SUBSTITUTE(AF28,CHAR(160),""))="Devis 3",IFERROR(VALUE(TRIM(SUBSTITUTE(AC28,CHAR(160),""))),0),TRUE,0)*IFERROR(VALUE(TRIM(SUBSTITUTE(M28,CHAR(160),""))),0))</f>
        <v/>
      </c>
      <c r="AH28" s="1202" t="str" cm="1">
        <f t="array" ref="AH28">IF((_xlfn.IFS(TRIM(SUBSTITUTE(AE28,CHAR(160),""))="Devis 1",IFERROR(VALUE(TRIM(SUBSTITUTE(T28,CHAR(160),""))),0),TRIM(SUBSTITUTE(AE28,CHAR(160),""))="Devis 2",IFERROR(VALUE(TRIM(SUBSTITUTE(Y28,CHAR(160),""))),0),TRIM(SUBSTITUTE(AE28,CHAR(160),""))="Devis 3",IFERROR(VALUE(TRIM(SUBSTITUTE(AD28,CHAR(160),""))),0),TRUE,0)*IFERROR(VALUE(TRIM(SUBSTITUTE(M28,CHAR(160),""))),0))=0,"",_xlfn.IFS(TRIM(SUBSTITUTE(AE28,CHAR(160),""))="Devis 1",IFERROR(VALUE(TRIM(SUBSTITUTE(T28,CHAR(160),""))),0),TRIM(SUBSTITUTE(AE28,CHAR(160),""))="Devis 2",IFERROR(VALUE(TRIM(SUBSTITUTE(Y28,CHAR(160),""))),0),TRIM(SUBSTITUTE(AE28,CHAR(160),""))="Devis 3",IFERROR(VALUE(TRIM(SUBSTITUTE(AD28,CHAR(160),""))),0),TRUE,0)*IFERROR(VALUE(TRIM(SUBSTITUTE(M28,CHAR(160),""))),0))</f>
        <v/>
      </c>
      <c r="AI28" s="488"/>
      <c r="AJ28" s="215" t="str">
        <f t="shared" si="26"/>
        <v/>
      </c>
      <c r="AK28" s="57" t="str">
        <f t="shared" si="27"/>
        <v/>
      </c>
      <c r="AL28" s="57" t="str">
        <f t="shared" si="28"/>
        <v/>
      </c>
      <c r="AM28" s="57" t="str">
        <f t="shared" si="29"/>
        <v/>
      </c>
      <c r="AN28" s="57" t="str">
        <f t="shared" si="21"/>
        <v/>
      </c>
      <c r="AO28" s="57" t="str">
        <f t="shared" si="30"/>
        <v/>
      </c>
      <c r="AP28" s="57" t="str">
        <f t="shared" si="31"/>
        <v/>
      </c>
      <c r="AQ28" s="57" t="str">
        <f t="shared" si="32"/>
        <v/>
      </c>
      <c r="AR28" s="57" t="str">
        <f t="shared" si="33"/>
        <v/>
      </c>
      <c r="AS28" s="57" t="str">
        <f t="shared" si="34"/>
        <v/>
      </c>
      <c r="AT28" s="1172" t="str">
        <f t="shared" si="35"/>
        <v/>
      </c>
      <c r="AU28" s="57" t="str">
        <f t="shared" si="36"/>
        <v/>
      </c>
      <c r="AV28" s="691" t="str">
        <f t="shared" si="37"/>
        <v/>
      </c>
      <c r="AW28" s="1533" t="str">
        <f t="shared" si="38"/>
        <v/>
      </c>
      <c r="AX28" s="1521" t="str">
        <f t="shared" si="39"/>
        <v/>
      </c>
      <c r="AY28" s="1663" t="str">
        <f t="shared" si="40"/>
        <v/>
      </c>
      <c r="AZ28" s="1663" t="str">
        <f t="shared" si="41"/>
        <v/>
      </c>
      <c r="BA28" s="1522" t="str">
        <f t="shared" si="2"/>
        <v/>
      </c>
      <c r="BB28" s="1527" t="str">
        <f t="shared" si="3"/>
        <v/>
      </c>
      <c r="BC28" s="1528" t="str">
        <f t="shared" si="4"/>
        <v/>
      </c>
      <c r="BD28" s="1654" t="str">
        <f t="shared" si="5"/>
        <v/>
      </c>
      <c r="BE28" s="1657" t="str">
        <f t="shared" si="6"/>
        <v/>
      </c>
      <c r="BF28" s="1539" t="str">
        <f t="shared" si="7"/>
        <v/>
      </c>
      <c r="BG28" s="1544" t="str">
        <f t="shared" si="8"/>
        <v/>
      </c>
      <c r="BH28" s="1545" t="str">
        <f t="shared" si="9"/>
        <v/>
      </c>
      <c r="BI28" s="1660" t="str">
        <f t="shared" si="10"/>
        <v/>
      </c>
      <c r="BJ28" s="1660" t="str">
        <f t="shared" si="11"/>
        <v/>
      </c>
      <c r="BK28" s="1546" t="str">
        <f t="shared" si="12"/>
        <v/>
      </c>
      <c r="BL28" s="1467" t="str">
        <f t="shared" si="22"/>
        <v/>
      </c>
      <c r="BM28" s="260"/>
      <c r="BN28" s="1667" t="str">
        <f t="shared" si="23"/>
        <v/>
      </c>
      <c r="BO28" s="1667" t="str">
        <f t="shared" si="24"/>
        <v/>
      </c>
      <c r="BP28" s="300" t="str">
        <f t="shared" si="14"/>
        <v/>
      </c>
      <c r="BQ28" s="1470" t="str" cm="1">
        <f t="array" ref="BQ28">IF($AT28="","",
_xlfn.IFS(
$BL28="Devis 1",
IF(ISBLANK(AY28),"",IFERROR(VALUE(TRIM(SUBSTITUTE(AY28,CHAR(160),""))),0)*IFERROR(VALUE(TRIM(SUBSTITUTE($AT28,CHAR(160),""))),0)),
$BL28="Devis 2",
IF(ISBLANK(BD28),"",IFERROR(VALUE(TRIM(SUBSTITUTE(BD28,CHAR(160),""))),0)*IFERROR(VALUE(TRIM(SUBSTITUTE($AT28,CHAR(160),""))),0)),
$BL28="Devis 3",
IF(ISBLANK(BI28),"",IFERROR(VALUE(TRIM(SUBSTITUTE(BI28,CHAR(160),""))),0)*IFERROR(VALUE(TRIM(SUBSTITUTE($AT28,CHAR(160),""))),0)),
TRUE,0
)
)</f>
        <v/>
      </c>
      <c r="BR28" s="1470" t="str" cm="1">
        <f t="array" ref="BR28">IF($AT28="","",
_xlfn.IFS(
$BL28="Devis 1",
IF(ISBLANK(AZ28),"",IFERROR(VALUE(TRIM(SUBSTITUTE(AZ28,CHAR(160),""))),0)*IFERROR(VALUE(TRIM(SUBSTITUTE($AT28,CHAR(160),""))),0)),
$BL28="Devis 2",
IF(ISBLANK(BE28),"",IFERROR(VALUE(TRIM(SUBSTITUTE(BE28,CHAR(160),""))),0)*IFERROR(VALUE(TRIM(SUBSTITUTE($AT28,CHAR(160),""))),0)),
$BL28="Devis 3",
IF(ISBLANK(BJ28),"",IFERROR(VALUE(TRIM(SUBSTITUTE(BJ28,CHAR(160),""))),0)*IFERROR(VALUE(TRIM(SUBSTITUTE($AT28,CHAR(160),""))),0)),
TRUE,0
)
)</f>
        <v/>
      </c>
      <c r="BS28" s="1470" t="str">
        <f t="shared" si="25"/>
        <v/>
      </c>
      <c r="BT28" s="194"/>
      <c r="BU28" s="216" t="str" cm="1">
        <f t="array" ref="BU28">IF(OR(BS28="",BP28="",BQ28="",BN28="",BR28="",BO28=""),"",_xlfn.IFS(
ROUND(IFERROR(VALUE(TRIM(SUBSTITUTE(BS28,CHAR(160),""))),0),2)&gt;
ROUND(IFERROR(VALUE(TRIM(SUBSTITUTE(BP28,CHAR(160),""))),0),2),
"KO : Le montant retenu TTC est supérieur au montant raisonnable TTC. Merci de revoir la ligne de dépense ou plafonner son montant.",
ROUND(IFERROR(VALUE(TRIM(SUBSTITUTE(BQ28,CHAR(160),""))),0),2)&gt;
ROUND(IFERROR(VALUE(TRIM(SUBSTITUTE(BN28,CHAR(160),""))),0),2),
"Attention : Le montant retenu HT est supérieur au montant HT raisonnable. Merci de revoir la ligne de dépense, plafonner son montant, ou justifier la reventillation HT / TVA.",
ROUND(IFERROR(VALUE(TRIM(SUBSTITUTE(BR28,CHAR(160),""))),0),2)&gt;
ROUND(IFERROR(VALUE(TRIM(SUBSTITUTE(BO28,CHAR(160),""))),0),2),
"Attention : Le montant TVA retenu est supérieur au montant TVA raisonnable. Merci de revoir la ligne de dépense, plafonner son montant, ou justifier la reventillation HT / TVA.",
ROUND(IFERROR(VALUE(TRIM(SUBSTITUTE(BS28,CHAR(160),""))),0),2)&gt;
ROUND(IFERROR(VALUE(TRIM(SUBSTITUTE(MIN(T28,Y28,AD28),CHAR(160),""))),0),2),
"Attention : Le devis retenu n'est pas le moins cher. Une justification de la part du porteur est nécessaire.",
ROUND(IFERROR(VALUE(TRIM(SUBSTITUTE(BS28,CHAR(160),""))),0),2)=0,
"Attention : montant présenté entièrement écarté",
ROUND(IFERROR(VALUE(TRIM(SUBSTITUTE(BP28,CHAR(160),""))),0),2)=
ROUND(IFERROR(VALUE(TRIM(SUBSTITUTE(BS28,CHAR(160),""))),0),2),
"OK",
ROUND(IFERROR(VALUE(TRIM(SUBSTITUTE(BP28,CHAR(160),""))),0),2)&gt;
ROUND(IFERROR(VALUE(TRIM(SUBSTITUTE(BS28,CHAR(160),""))),0),2),
" OK : Montant instruit inférieur au montant raisonnable.",
TRUE,""
))</f>
        <v/>
      </c>
      <c r="BV28" s="57" t="str" cm="1">
        <f t="array" ref="BV28">IF(OR(BS28="",AH28="",BQ28="",AF28="",BR28="",AG28=""),"",_xlfn.IFS(
ROUND(IFERROR(VALUE(TRIM(SUBSTITUTE(BS28,CHAR(160),""))),0),2)&gt;
ROUND(IFERROR(VALUE(TRIM(SUBSTITUTE(AH28,CHAR(160),""))),0),2),
"KO : Le montant retenu TTC est supérieur au montant présenté TTC. Merci de revoir la ligne de dépense ou plafonner son montant.",
ROUND(IFERROR(VALUE(TRIM(SUBSTITUTE(BQ28,CHAR(160),""))),0),2)&gt;
ROUND(IFERROR(VALUE(TRIM(SUBSTITUTE(AF28,CHAR(160),""))),0),2),
"Attention : Le montant retenu HT est supérieur au montant HT présenté. Merci de revoir la ligne de dépense, plafonner son montant, ou justifier la reventillation HT / TVA.",
ROUND(IFERROR(VALUE(TRIM(SUBSTITUTE(BR28,CHAR(160),""))),0),2)&gt;
ROUND(IFERROR(VALUE(TRIM(SUBSTITUTE(AG28,CHAR(160),""))),0),2),
"Attention : Le montant TVA retenu est supérieur au montant TVA présenté. Merci de revoir la ligne de dépense, plafonner son montant, ou justifier la reventillation HT / TVA.",
ROUND(IFERROR(VALUE(TRIM(SUBSTITUTE(AH28,CHAR(160),""))),0),2)=0,
"",
ROUND(IFERROR(VALUE(TRIM(SUBSTITUTE(BS28,CHAR(160),""))),0),2)=
ROUND(IFERROR(VALUE(TRIM(SUBSTITUTE(AH28,CHAR(160),""))),0),2),
"OK",
ROUND(IFERROR(VALUE(TRIM(SUBSTITUTE(BS28,CHAR(160),""))),0),2)=0,
"Attention : Montant présenté entièrement rejeté.",
ROUND(IFERROR(VALUE(TRIM(SUBSTITUTE(BS28,CHAR(160),""))),0),2)&lt;
ROUND(IFERROR(VALUE(TRIM(SUBSTITUTE(AH28,CHAR(160),""))),0),2),
"Attention : Montant présenté partiellement rejeté.",
TRUE,""
))</f>
        <v/>
      </c>
      <c r="BW28" s="1202" t="str">
        <f t="shared" si="15"/>
        <v/>
      </c>
      <c r="BX28" s="1202" t="str">
        <f t="shared" si="16"/>
        <v/>
      </c>
      <c r="BY28" s="1216" t="str">
        <f t="shared" si="17"/>
        <v/>
      </c>
      <c r="CB28"/>
      <c r="CF28" s="185"/>
    </row>
    <row r="29" spans="2:84" ht="20.100000000000001" customHeight="1">
      <c r="B29" s="1206">
        <v>19</v>
      </c>
      <c r="C29" s="11"/>
      <c r="D29" s="11"/>
      <c r="E29" s="22"/>
      <c r="F29" s="22"/>
      <c r="G29" s="22"/>
      <c r="H29" s="22"/>
      <c r="I29" s="11"/>
      <c r="J29" s="1201"/>
      <c r="K29" s="1512"/>
      <c r="L29" s="11"/>
      <c r="M29" s="2"/>
      <c r="N29" s="23"/>
      <c r="O29" s="25"/>
      <c r="P29" s="1552"/>
      <c r="Q29" s="1518"/>
      <c r="R29" s="1517"/>
      <c r="S29" s="1517"/>
      <c r="T29" s="1522" t="str">
        <f t="shared" si="18"/>
        <v/>
      </c>
      <c r="U29" s="1559"/>
      <c r="V29" s="1523"/>
      <c r="W29" s="1524"/>
      <c r="X29" s="1524"/>
      <c r="Y29" s="1539" t="str">
        <f t="shared" si="19"/>
        <v/>
      </c>
      <c r="Z29" s="1567"/>
      <c r="AA29" s="1568"/>
      <c r="AB29" s="1569"/>
      <c r="AC29" s="1569"/>
      <c r="AD29" s="1546" t="str">
        <f t="shared" si="20"/>
        <v/>
      </c>
      <c r="AE29" s="6"/>
      <c r="AF29" s="1202" t="str" cm="1">
        <f t="array" ref="AF29">IF((_xlfn.IFS(TRIM(SUBSTITUTE(AE29,CHAR(160),""))="Devis 1",IFERROR(VALUE(TRIM(SUBSTITUTE(R29,CHAR(160),""))),0),TRIM(SUBSTITUTE(AE29,CHAR(160),""))="Devis 2",IFERROR(VALUE(TRIM(SUBSTITUTE(W29,CHAR(160),""))),0),TRIM(SUBSTITUTE(AE29,CHAR(160),""))="Devis 3",IFERROR(VALUE(TRIM(SUBSTITUTE(AB29,CHAR(160),""))),0),TRUE,0)*IFERROR(VALUE(TRIM(SUBSTITUTE(M29,CHAR(160),""))),0))=0,"",_xlfn.IFS(TRIM(SUBSTITUTE(AE29,CHAR(160),""))="Devis 1",IFERROR(VALUE(TRIM(SUBSTITUTE(R29,CHAR(160),""))),0),TRIM(SUBSTITUTE(AE29,CHAR(160),""))="Devis 2",IFERROR(VALUE(TRIM(SUBSTITUTE(W29,CHAR(160),""))),0),TRIM(SUBSTITUTE(AE29,CHAR(160),""))="Devis 3",IFERROR(VALUE(TRIM(SUBSTITUTE(AB29,CHAR(160),""))),0),TRUE,0)*IFERROR(VALUE(TRIM(SUBSTITUTE(M29,CHAR(160),""))),0))</f>
        <v/>
      </c>
      <c r="AG29" s="1202" t="str" cm="1">
        <f t="array" ref="AG29">IF((_xlfn.IFS(TRIM(SUBSTITUTE(AE29,CHAR(160),""))="Devis 1",IFERROR(VALUE(TRIM(SUBSTITUTE(S29,CHAR(160),""))),0),TRIM(SUBSTITUTE(AE29,CHAR(160),""))="Devis 2",IFERROR(VALUE(TRIM(SUBSTITUTE(X29,CHAR(160),""))),0),TRIM(SUBSTITUTE(AE29,CHAR(160),""))="Devis 3",IFERROR(VALUE(TRIM(SUBSTITUTE(AC29,CHAR(160),""))),0),TRUE,0)*IFERROR(VALUE(TRIM(SUBSTITUTE(M29,CHAR(160),""))),0))=0,"",_xlfn.IFS(TRIM(SUBSTITUTE(AE29,CHAR(160),""))="Devis 1",IFERROR(VALUE(TRIM(SUBSTITUTE(S29,CHAR(160),""))),0),TRIM(SUBSTITUTE(AF29,CHAR(160),""))="Devis 2",IFERROR(VALUE(TRIM(SUBSTITUTE(X29,CHAR(160),""))),0),TRIM(SUBSTITUTE(AF29,CHAR(160),""))="Devis 3",IFERROR(VALUE(TRIM(SUBSTITUTE(AC29,CHAR(160),""))),0),TRUE,0)*IFERROR(VALUE(TRIM(SUBSTITUTE(M29,CHAR(160),""))),0))</f>
        <v/>
      </c>
      <c r="AH29" s="1202" t="str" cm="1">
        <f t="array" ref="AH29">IF((_xlfn.IFS(TRIM(SUBSTITUTE(AE29,CHAR(160),""))="Devis 1",IFERROR(VALUE(TRIM(SUBSTITUTE(T29,CHAR(160),""))),0),TRIM(SUBSTITUTE(AE29,CHAR(160),""))="Devis 2",IFERROR(VALUE(TRIM(SUBSTITUTE(Y29,CHAR(160),""))),0),TRIM(SUBSTITUTE(AE29,CHAR(160),""))="Devis 3",IFERROR(VALUE(TRIM(SUBSTITUTE(AD29,CHAR(160),""))),0),TRUE,0)*IFERROR(VALUE(TRIM(SUBSTITUTE(M29,CHAR(160),""))),0))=0,"",_xlfn.IFS(TRIM(SUBSTITUTE(AE29,CHAR(160),""))="Devis 1",IFERROR(VALUE(TRIM(SUBSTITUTE(T29,CHAR(160),""))),0),TRIM(SUBSTITUTE(AE29,CHAR(160),""))="Devis 2",IFERROR(VALUE(TRIM(SUBSTITUTE(Y29,CHAR(160),""))),0),TRIM(SUBSTITUTE(AE29,CHAR(160),""))="Devis 3",IFERROR(VALUE(TRIM(SUBSTITUTE(AD29,CHAR(160),""))),0),TRUE,0)*IFERROR(VALUE(TRIM(SUBSTITUTE(M29,CHAR(160),""))),0))</f>
        <v/>
      </c>
      <c r="AI29" s="488"/>
      <c r="AJ29" s="215" t="str">
        <f t="shared" si="26"/>
        <v/>
      </c>
      <c r="AK29" s="57" t="str">
        <f t="shared" si="27"/>
        <v/>
      </c>
      <c r="AL29" s="57" t="str">
        <f t="shared" si="28"/>
        <v/>
      </c>
      <c r="AM29" s="57" t="str">
        <f t="shared" si="29"/>
        <v/>
      </c>
      <c r="AN29" s="57" t="str">
        <f t="shared" si="21"/>
        <v/>
      </c>
      <c r="AO29" s="57" t="str">
        <f t="shared" si="30"/>
        <v/>
      </c>
      <c r="AP29" s="57" t="str">
        <f t="shared" si="31"/>
        <v/>
      </c>
      <c r="AQ29" s="57" t="str">
        <f t="shared" si="32"/>
        <v/>
      </c>
      <c r="AR29" s="57" t="str">
        <f t="shared" si="33"/>
        <v/>
      </c>
      <c r="AS29" s="57" t="str">
        <f t="shared" si="34"/>
        <v/>
      </c>
      <c r="AT29" s="1172" t="str">
        <f t="shared" si="35"/>
        <v/>
      </c>
      <c r="AU29" s="57" t="str">
        <f t="shared" si="36"/>
        <v/>
      </c>
      <c r="AV29" s="691" t="str">
        <f t="shared" si="37"/>
        <v/>
      </c>
      <c r="AW29" s="1533" t="str">
        <f t="shared" si="38"/>
        <v/>
      </c>
      <c r="AX29" s="1521" t="str">
        <f t="shared" si="39"/>
        <v/>
      </c>
      <c r="AY29" s="1663" t="str">
        <f t="shared" si="40"/>
        <v/>
      </c>
      <c r="AZ29" s="1663" t="str">
        <f t="shared" si="41"/>
        <v/>
      </c>
      <c r="BA29" s="1522" t="str">
        <f t="shared" si="2"/>
        <v/>
      </c>
      <c r="BB29" s="1527" t="str">
        <f t="shared" si="3"/>
        <v/>
      </c>
      <c r="BC29" s="1528" t="str">
        <f t="shared" si="4"/>
        <v/>
      </c>
      <c r="BD29" s="1654" t="str">
        <f t="shared" si="5"/>
        <v/>
      </c>
      <c r="BE29" s="1657" t="str">
        <f t="shared" si="6"/>
        <v/>
      </c>
      <c r="BF29" s="1539" t="str">
        <f t="shared" si="7"/>
        <v/>
      </c>
      <c r="BG29" s="1544" t="str">
        <f t="shared" si="8"/>
        <v/>
      </c>
      <c r="BH29" s="1545" t="str">
        <f t="shared" si="9"/>
        <v/>
      </c>
      <c r="BI29" s="1660" t="str">
        <f t="shared" si="10"/>
        <v/>
      </c>
      <c r="BJ29" s="1660" t="str">
        <f t="shared" si="11"/>
        <v/>
      </c>
      <c r="BK29" s="1546" t="str">
        <f t="shared" si="12"/>
        <v/>
      </c>
      <c r="BL29" s="1467" t="str">
        <f t="shared" si="22"/>
        <v/>
      </c>
      <c r="BM29" s="260"/>
      <c r="BN29" s="1667" t="str">
        <f t="shared" si="23"/>
        <v/>
      </c>
      <c r="BO29" s="1667" t="str">
        <f t="shared" si="24"/>
        <v/>
      </c>
      <c r="BP29" s="300" t="str">
        <f t="shared" si="14"/>
        <v/>
      </c>
      <c r="BQ29" s="1470" t="str" cm="1">
        <f t="array" ref="BQ29">IF($AT29="","",
_xlfn.IFS(
$BL29="Devis 1",
IF(ISBLANK(AY29),"",IFERROR(VALUE(TRIM(SUBSTITUTE(AY29,CHAR(160),""))),0)*IFERROR(VALUE(TRIM(SUBSTITUTE($AT29,CHAR(160),""))),0)),
$BL29="Devis 2",
IF(ISBLANK(BD29),"",IFERROR(VALUE(TRIM(SUBSTITUTE(BD29,CHAR(160),""))),0)*IFERROR(VALUE(TRIM(SUBSTITUTE($AT29,CHAR(160),""))),0)),
$BL29="Devis 3",
IF(ISBLANK(BI29),"",IFERROR(VALUE(TRIM(SUBSTITUTE(BI29,CHAR(160),""))),0)*IFERROR(VALUE(TRIM(SUBSTITUTE($AT29,CHAR(160),""))),0)),
TRUE,0
)
)</f>
        <v/>
      </c>
      <c r="BR29" s="1470" t="str" cm="1">
        <f t="array" ref="BR29">IF($AT29="","",
_xlfn.IFS(
$BL29="Devis 1",
IF(ISBLANK(AZ29),"",IFERROR(VALUE(TRIM(SUBSTITUTE(AZ29,CHAR(160),""))),0)*IFERROR(VALUE(TRIM(SUBSTITUTE($AT29,CHAR(160),""))),0)),
$BL29="Devis 2",
IF(ISBLANK(BE29),"",IFERROR(VALUE(TRIM(SUBSTITUTE(BE29,CHAR(160),""))),0)*IFERROR(VALUE(TRIM(SUBSTITUTE($AT29,CHAR(160),""))),0)),
$BL29="Devis 3",
IF(ISBLANK(BJ29),"",IFERROR(VALUE(TRIM(SUBSTITUTE(BJ29,CHAR(160),""))),0)*IFERROR(VALUE(TRIM(SUBSTITUTE($AT29,CHAR(160),""))),0)),
TRUE,0
)
)</f>
        <v/>
      </c>
      <c r="BS29" s="1470" t="str">
        <f t="shared" si="25"/>
        <v/>
      </c>
      <c r="BT29" s="194"/>
      <c r="BU29" s="216" t="str" cm="1">
        <f t="array" ref="BU29">IF(OR(BS29="",BP29="",BQ29="",BN29="",BR29="",BO29=""),"",_xlfn.IFS(
ROUND(IFERROR(VALUE(TRIM(SUBSTITUTE(BS29,CHAR(160),""))),0),2)&gt;
ROUND(IFERROR(VALUE(TRIM(SUBSTITUTE(BP29,CHAR(160),""))),0),2),
"KO : Le montant retenu TTC est supérieur au montant raisonnable TTC. Merci de revoir la ligne de dépense ou plafonner son montant.",
ROUND(IFERROR(VALUE(TRIM(SUBSTITUTE(BQ29,CHAR(160),""))),0),2)&gt;
ROUND(IFERROR(VALUE(TRIM(SUBSTITUTE(BN29,CHAR(160),""))),0),2),
"Attention : Le montant retenu HT est supérieur au montant HT raisonnable. Merci de revoir la ligne de dépense, plafonner son montant, ou justifier la reventillation HT / TVA.",
ROUND(IFERROR(VALUE(TRIM(SUBSTITUTE(BR29,CHAR(160),""))),0),2)&gt;
ROUND(IFERROR(VALUE(TRIM(SUBSTITUTE(BO29,CHAR(160),""))),0),2),
"Attention : Le montant TVA retenu est supérieur au montant TVA raisonnable. Merci de revoir la ligne de dépense, plafonner son montant, ou justifier la reventillation HT / TVA.",
ROUND(IFERROR(VALUE(TRIM(SUBSTITUTE(BS29,CHAR(160),""))),0),2)&gt;
ROUND(IFERROR(VALUE(TRIM(SUBSTITUTE(MIN(T29,Y29,AD29),CHAR(160),""))),0),2),
"Attention : Le devis retenu n'est pas le moins cher. Une justification de la part du porteur est nécessaire.",
ROUND(IFERROR(VALUE(TRIM(SUBSTITUTE(BS29,CHAR(160),""))),0),2)=0,
"Attention : montant présenté entièrement écarté",
ROUND(IFERROR(VALUE(TRIM(SUBSTITUTE(BP29,CHAR(160),""))),0),2)=
ROUND(IFERROR(VALUE(TRIM(SUBSTITUTE(BS29,CHAR(160),""))),0),2),
"OK",
ROUND(IFERROR(VALUE(TRIM(SUBSTITUTE(BP29,CHAR(160),""))),0),2)&gt;
ROUND(IFERROR(VALUE(TRIM(SUBSTITUTE(BS29,CHAR(160),""))),0),2),
" OK : Montant instruit inférieur au montant raisonnable.",
TRUE,""
))</f>
        <v/>
      </c>
      <c r="BV29" s="57" t="str" cm="1">
        <f t="array" ref="BV29">IF(OR(BS29="",AH29="",BQ29="",AF29="",BR29="",AG29=""),"",_xlfn.IFS(
ROUND(IFERROR(VALUE(TRIM(SUBSTITUTE(BS29,CHAR(160),""))),0),2)&gt;
ROUND(IFERROR(VALUE(TRIM(SUBSTITUTE(AH29,CHAR(160),""))),0),2),
"KO : Le montant retenu TTC est supérieur au montant présenté TTC. Merci de revoir la ligne de dépense ou plafonner son montant.",
ROUND(IFERROR(VALUE(TRIM(SUBSTITUTE(BQ29,CHAR(160),""))),0),2)&gt;
ROUND(IFERROR(VALUE(TRIM(SUBSTITUTE(AF29,CHAR(160),""))),0),2),
"Attention : Le montant retenu HT est supérieur au montant HT présenté. Merci de revoir la ligne de dépense, plafonner son montant, ou justifier la reventillation HT / TVA.",
ROUND(IFERROR(VALUE(TRIM(SUBSTITUTE(BR29,CHAR(160),""))),0),2)&gt;
ROUND(IFERROR(VALUE(TRIM(SUBSTITUTE(AG29,CHAR(160),""))),0),2),
"Attention : Le montant TVA retenu est supérieur au montant TVA présenté. Merci de revoir la ligne de dépense, plafonner son montant, ou justifier la reventillation HT / TVA.",
ROUND(IFERROR(VALUE(TRIM(SUBSTITUTE(AH29,CHAR(160),""))),0),2)=0,
"",
ROUND(IFERROR(VALUE(TRIM(SUBSTITUTE(BS29,CHAR(160),""))),0),2)=
ROUND(IFERROR(VALUE(TRIM(SUBSTITUTE(AH29,CHAR(160),""))),0),2),
"OK",
ROUND(IFERROR(VALUE(TRIM(SUBSTITUTE(BS29,CHAR(160),""))),0),2)=0,
"Attention : Montant présenté entièrement rejeté.",
ROUND(IFERROR(VALUE(TRIM(SUBSTITUTE(BS29,CHAR(160),""))),0),2)&lt;
ROUND(IFERROR(VALUE(TRIM(SUBSTITUTE(AH29,CHAR(160),""))),0),2),
"Attention : Montant présenté partiellement rejeté.",
TRUE,""
))</f>
        <v/>
      </c>
      <c r="BW29" s="1202" t="str">
        <f t="shared" si="15"/>
        <v/>
      </c>
      <c r="BX29" s="1202" t="str">
        <f t="shared" si="16"/>
        <v/>
      </c>
      <c r="BY29" s="1216" t="str">
        <f t="shared" si="17"/>
        <v/>
      </c>
      <c r="CB29"/>
      <c r="CF29" s="185"/>
    </row>
    <row r="30" spans="2:84" ht="20.100000000000001" customHeight="1">
      <c r="B30" s="1206">
        <v>20</v>
      </c>
      <c r="C30" s="11"/>
      <c r="D30" s="11"/>
      <c r="E30" s="22"/>
      <c r="F30" s="22"/>
      <c r="G30" s="22"/>
      <c r="H30" s="22"/>
      <c r="I30" s="11"/>
      <c r="J30" s="1201"/>
      <c r="K30" s="1512"/>
      <c r="L30" s="11"/>
      <c r="M30" s="2"/>
      <c r="N30" s="23"/>
      <c r="O30" s="25"/>
      <c r="P30" s="1552"/>
      <c r="Q30" s="1518"/>
      <c r="R30" s="1517"/>
      <c r="S30" s="1517"/>
      <c r="T30" s="1522" t="str">
        <f t="shared" si="18"/>
        <v/>
      </c>
      <c r="U30" s="1559"/>
      <c r="V30" s="1523"/>
      <c r="W30" s="1524"/>
      <c r="X30" s="1524"/>
      <c r="Y30" s="1539" t="str">
        <f t="shared" si="19"/>
        <v/>
      </c>
      <c r="Z30" s="1567"/>
      <c r="AA30" s="1568"/>
      <c r="AB30" s="1569"/>
      <c r="AC30" s="1569"/>
      <c r="AD30" s="1546" t="str">
        <f t="shared" si="20"/>
        <v/>
      </c>
      <c r="AE30" s="6"/>
      <c r="AF30" s="1202" t="str" cm="1">
        <f t="array" ref="AF30">IF((_xlfn.IFS(TRIM(SUBSTITUTE(AE30,CHAR(160),""))="Devis 1",IFERROR(VALUE(TRIM(SUBSTITUTE(R30,CHAR(160),""))),0),TRIM(SUBSTITUTE(AE30,CHAR(160),""))="Devis 2",IFERROR(VALUE(TRIM(SUBSTITUTE(W30,CHAR(160),""))),0),TRIM(SUBSTITUTE(AE30,CHAR(160),""))="Devis 3",IFERROR(VALUE(TRIM(SUBSTITUTE(AB30,CHAR(160),""))),0),TRUE,0)*IFERROR(VALUE(TRIM(SUBSTITUTE(M30,CHAR(160),""))),0))=0,"",_xlfn.IFS(TRIM(SUBSTITUTE(AE30,CHAR(160),""))="Devis 1",IFERROR(VALUE(TRIM(SUBSTITUTE(R30,CHAR(160),""))),0),TRIM(SUBSTITUTE(AE30,CHAR(160),""))="Devis 2",IFERROR(VALUE(TRIM(SUBSTITUTE(W30,CHAR(160),""))),0),TRIM(SUBSTITUTE(AE30,CHAR(160),""))="Devis 3",IFERROR(VALUE(TRIM(SUBSTITUTE(AB30,CHAR(160),""))),0),TRUE,0)*IFERROR(VALUE(TRIM(SUBSTITUTE(M30,CHAR(160),""))),0))</f>
        <v/>
      </c>
      <c r="AG30" s="1202" t="str" cm="1">
        <f t="array" ref="AG30">IF((_xlfn.IFS(TRIM(SUBSTITUTE(AE30,CHAR(160),""))="Devis 1",IFERROR(VALUE(TRIM(SUBSTITUTE(S30,CHAR(160),""))),0),TRIM(SUBSTITUTE(AE30,CHAR(160),""))="Devis 2",IFERROR(VALUE(TRIM(SUBSTITUTE(X30,CHAR(160),""))),0),TRIM(SUBSTITUTE(AE30,CHAR(160),""))="Devis 3",IFERROR(VALUE(TRIM(SUBSTITUTE(AC30,CHAR(160),""))),0),TRUE,0)*IFERROR(VALUE(TRIM(SUBSTITUTE(M30,CHAR(160),""))),0))=0,"",_xlfn.IFS(TRIM(SUBSTITUTE(AE30,CHAR(160),""))="Devis 1",IFERROR(VALUE(TRIM(SUBSTITUTE(S30,CHAR(160),""))),0),TRIM(SUBSTITUTE(AF30,CHAR(160),""))="Devis 2",IFERROR(VALUE(TRIM(SUBSTITUTE(X30,CHAR(160),""))),0),TRIM(SUBSTITUTE(AF30,CHAR(160),""))="Devis 3",IFERROR(VALUE(TRIM(SUBSTITUTE(AC30,CHAR(160),""))),0),TRUE,0)*IFERROR(VALUE(TRIM(SUBSTITUTE(M30,CHAR(160),""))),0))</f>
        <v/>
      </c>
      <c r="AH30" s="1202" t="str" cm="1">
        <f t="array" ref="AH30">IF((_xlfn.IFS(TRIM(SUBSTITUTE(AE30,CHAR(160),""))="Devis 1",IFERROR(VALUE(TRIM(SUBSTITUTE(T30,CHAR(160),""))),0),TRIM(SUBSTITUTE(AE30,CHAR(160),""))="Devis 2",IFERROR(VALUE(TRIM(SUBSTITUTE(Y30,CHAR(160),""))),0),TRIM(SUBSTITUTE(AE30,CHAR(160),""))="Devis 3",IFERROR(VALUE(TRIM(SUBSTITUTE(AD30,CHAR(160),""))),0),TRUE,0)*IFERROR(VALUE(TRIM(SUBSTITUTE(M30,CHAR(160),""))),0))=0,"",_xlfn.IFS(TRIM(SUBSTITUTE(AE30,CHAR(160),""))="Devis 1",IFERROR(VALUE(TRIM(SUBSTITUTE(T30,CHAR(160),""))),0),TRIM(SUBSTITUTE(AE30,CHAR(160),""))="Devis 2",IFERROR(VALUE(TRIM(SUBSTITUTE(Y30,CHAR(160),""))),0),TRIM(SUBSTITUTE(AE30,CHAR(160),""))="Devis 3",IFERROR(VALUE(TRIM(SUBSTITUTE(AD30,CHAR(160),""))),0),TRUE,0)*IFERROR(VALUE(TRIM(SUBSTITUTE(M30,CHAR(160),""))),0))</f>
        <v/>
      </c>
      <c r="AI30" s="488"/>
      <c r="AJ30" s="215" t="str">
        <f t="shared" si="26"/>
        <v/>
      </c>
      <c r="AK30" s="57" t="str">
        <f t="shared" si="27"/>
        <v/>
      </c>
      <c r="AL30" s="57" t="str">
        <f t="shared" si="28"/>
        <v/>
      </c>
      <c r="AM30" s="57" t="str">
        <f t="shared" si="29"/>
        <v/>
      </c>
      <c r="AN30" s="57" t="str">
        <f t="shared" si="21"/>
        <v/>
      </c>
      <c r="AO30" s="57" t="str">
        <f t="shared" si="30"/>
        <v/>
      </c>
      <c r="AP30" s="57" t="str">
        <f t="shared" si="31"/>
        <v/>
      </c>
      <c r="AQ30" s="57" t="str">
        <f t="shared" si="32"/>
        <v/>
      </c>
      <c r="AR30" s="57" t="str">
        <f t="shared" si="33"/>
        <v/>
      </c>
      <c r="AS30" s="57" t="str">
        <f t="shared" si="34"/>
        <v/>
      </c>
      <c r="AT30" s="1172" t="str">
        <f t="shared" si="35"/>
        <v/>
      </c>
      <c r="AU30" s="57" t="str">
        <f t="shared" si="36"/>
        <v/>
      </c>
      <c r="AV30" s="691" t="str">
        <f t="shared" si="37"/>
        <v/>
      </c>
      <c r="AW30" s="1533" t="str">
        <f t="shared" si="38"/>
        <v/>
      </c>
      <c r="AX30" s="1521" t="str">
        <f t="shared" si="39"/>
        <v/>
      </c>
      <c r="AY30" s="1663" t="str">
        <f t="shared" si="40"/>
        <v/>
      </c>
      <c r="AZ30" s="1663" t="str">
        <f t="shared" si="41"/>
        <v/>
      </c>
      <c r="BA30" s="1522" t="str">
        <f t="shared" si="2"/>
        <v/>
      </c>
      <c r="BB30" s="1527" t="str">
        <f t="shared" si="3"/>
        <v/>
      </c>
      <c r="BC30" s="1528" t="str">
        <f t="shared" si="4"/>
        <v/>
      </c>
      <c r="BD30" s="1654" t="str">
        <f t="shared" si="5"/>
        <v/>
      </c>
      <c r="BE30" s="1657" t="str">
        <f t="shared" si="6"/>
        <v/>
      </c>
      <c r="BF30" s="1539" t="str">
        <f t="shared" si="7"/>
        <v/>
      </c>
      <c r="BG30" s="1544" t="str">
        <f t="shared" si="8"/>
        <v/>
      </c>
      <c r="BH30" s="1545" t="str">
        <f t="shared" si="9"/>
        <v/>
      </c>
      <c r="BI30" s="1660" t="str">
        <f t="shared" si="10"/>
        <v/>
      </c>
      <c r="BJ30" s="1660" t="str">
        <f t="shared" si="11"/>
        <v/>
      </c>
      <c r="BK30" s="1546" t="str">
        <f t="shared" si="12"/>
        <v/>
      </c>
      <c r="BL30" s="1467" t="str">
        <f t="shared" si="22"/>
        <v/>
      </c>
      <c r="BM30" s="260"/>
      <c r="BN30" s="1667" t="str">
        <f t="shared" si="23"/>
        <v/>
      </c>
      <c r="BO30" s="1667" t="str">
        <f t="shared" si="24"/>
        <v/>
      </c>
      <c r="BP30" s="300" t="str">
        <f t="shared" si="14"/>
        <v/>
      </c>
      <c r="BQ30" s="1470" t="str" cm="1">
        <f t="array" ref="BQ30">IF($AT30="","",
_xlfn.IFS(
$BL30="Devis 1",
IF(ISBLANK(AY30),"",IFERROR(VALUE(TRIM(SUBSTITUTE(AY30,CHAR(160),""))),0)*IFERROR(VALUE(TRIM(SUBSTITUTE($AT30,CHAR(160),""))),0)),
$BL30="Devis 2",
IF(ISBLANK(BD30),"",IFERROR(VALUE(TRIM(SUBSTITUTE(BD30,CHAR(160),""))),0)*IFERROR(VALUE(TRIM(SUBSTITUTE($AT30,CHAR(160),""))),0)),
$BL30="Devis 3",
IF(ISBLANK(BI30),"",IFERROR(VALUE(TRIM(SUBSTITUTE(BI30,CHAR(160),""))),0)*IFERROR(VALUE(TRIM(SUBSTITUTE($AT30,CHAR(160),""))),0)),
TRUE,0
)
)</f>
        <v/>
      </c>
      <c r="BR30" s="1470" t="str" cm="1">
        <f t="array" ref="BR30">IF($AT30="","",
_xlfn.IFS(
$BL30="Devis 1",
IF(ISBLANK(AZ30),"",IFERROR(VALUE(TRIM(SUBSTITUTE(AZ30,CHAR(160),""))),0)*IFERROR(VALUE(TRIM(SUBSTITUTE($AT30,CHAR(160),""))),0)),
$BL30="Devis 2",
IF(ISBLANK(BE30),"",IFERROR(VALUE(TRIM(SUBSTITUTE(BE30,CHAR(160),""))),0)*IFERROR(VALUE(TRIM(SUBSTITUTE($AT30,CHAR(160),""))),0)),
$BL30="Devis 3",
IF(ISBLANK(BJ30),"",IFERROR(VALUE(TRIM(SUBSTITUTE(BJ30,CHAR(160),""))),0)*IFERROR(VALUE(TRIM(SUBSTITUTE($AT30,CHAR(160),""))),0)),
TRUE,0
)
)</f>
        <v/>
      </c>
      <c r="BS30" s="1470" t="str">
        <f t="shared" si="25"/>
        <v/>
      </c>
      <c r="BT30" s="194"/>
      <c r="BU30" s="216" t="str" cm="1">
        <f t="array" ref="BU30">IF(OR(BS30="",BP30="",BQ30="",BN30="",BR30="",BO30=""),"",_xlfn.IFS(
ROUND(IFERROR(VALUE(TRIM(SUBSTITUTE(BS30,CHAR(160),""))),0),2)&gt;
ROUND(IFERROR(VALUE(TRIM(SUBSTITUTE(BP30,CHAR(160),""))),0),2),
"KO : Le montant retenu TTC est supérieur au montant raisonnable TTC. Merci de revoir la ligne de dépense ou plafonner son montant.",
ROUND(IFERROR(VALUE(TRIM(SUBSTITUTE(BQ30,CHAR(160),""))),0),2)&gt;
ROUND(IFERROR(VALUE(TRIM(SUBSTITUTE(BN30,CHAR(160),""))),0),2),
"Attention : Le montant retenu HT est supérieur au montant HT raisonnable. Merci de revoir la ligne de dépense, plafonner son montant, ou justifier la reventillation HT / TVA.",
ROUND(IFERROR(VALUE(TRIM(SUBSTITUTE(BR30,CHAR(160),""))),0),2)&gt;
ROUND(IFERROR(VALUE(TRIM(SUBSTITUTE(BO30,CHAR(160),""))),0),2),
"Attention : Le montant TVA retenu est supérieur au montant TVA raisonnable. Merci de revoir la ligne de dépense, plafonner son montant, ou justifier la reventillation HT / TVA.",
ROUND(IFERROR(VALUE(TRIM(SUBSTITUTE(BS30,CHAR(160),""))),0),2)&gt;
ROUND(IFERROR(VALUE(TRIM(SUBSTITUTE(MIN(T30,Y30,AD30),CHAR(160),""))),0),2),
"Attention : Le devis retenu n'est pas le moins cher. Une justification de la part du porteur est nécessaire.",
ROUND(IFERROR(VALUE(TRIM(SUBSTITUTE(BS30,CHAR(160),""))),0),2)=0,
"Attention : montant présenté entièrement écarté",
ROUND(IFERROR(VALUE(TRIM(SUBSTITUTE(BP30,CHAR(160),""))),0),2)=
ROUND(IFERROR(VALUE(TRIM(SUBSTITUTE(BS30,CHAR(160),""))),0),2),
"OK",
ROUND(IFERROR(VALUE(TRIM(SUBSTITUTE(BP30,CHAR(160),""))),0),2)&gt;
ROUND(IFERROR(VALUE(TRIM(SUBSTITUTE(BS30,CHAR(160),""))),0),2),
" OK : Montant instruit inférieur au montant raisonnable.",
TRUE,""
))</f>
        <v/>
      </c>
      <c r="BV30" s="57" t="str" cm="1">
        <f t="array" ref="BV30">IF(OR(BS30="",AH30="",BQ30="",AF30="",BR30="",AG30=""),"",_xlfn.IFS(
ROUND(IFERROR(VALUE(TRIM(SUBSTITUTE(BS30,CHAR(160),""))),0),2)&gt;
ROUND(IFERROR(VALUE(TRIM(SUBSTITUTE(AH30,CHAR(160),""))),0),2),
"KO : Le montant retenu TTC est supérieur au montant présenté TTC. Merci de revoir la ligne de dépense ou plafonner son montant.",
ROUND(IFERROR(VALUE(TRIM(SUBSTITUTE(BQ30,CHAR(160),""))),0),2)&gt;
ROUND(IFERROR(VALUE(TRIM(SUBSTITUTE(AF30,CHAR(160),""))),0),2),
"Attention : Le montant retenu HT est supérieur au montant HT présenté. Merci de revoir la ligne de dépense, plafonner son montant, ou justifier la reventillation HT / TVA.",
ROUND(IFERROR(VALUE(TRIM(SUBSTITUTE(BR30,CHAR(160),""))),0),2)&gt;
ROUND(IFERROR(VALUE(TRIM(SUBSTITUTE(AG30,CHAR(160),""))),0),2),
"Attention : Le montant TVA retenu est supérieur au montant TVA présenté. Merci de revoir la ligne de dépense, plafonner son montant, ou justifier la reventillation HT / TVA.",
ROUND(IFERROR(VALUE(TRIM(SUBSTITUTE(AH30,CHAR(160),""))),0),2)=0,
"",
ROUND(IFERROR(VALUE(TRIM(SUBSTITUTE(BS30,CHAR(160),""))),0),2)=
ROUND(IFERROR(VALUE(TRIM(SUBSTITUTE(AH30,CHAR(160),""))),0),2),
"OK",
ROUND(IFERROR(VALUE(TRIM(SUBSTITUTE(BS30,CHAR(160),""))),0),2)=0,
"Attention : Montant présenté entièrement rejeté.",
ROUND(IFERROR(VALUE(TRIM(SUBSTITUTE(BS30,CHAR(160),""))),0),2)&lt;
ROUND(IFERROR(VALUE(TRIM(SUBSTITUTE(AH30,CHAR(160),""))),0),2),
"Attention : Montant présenté partiellement rejeté.",
TRUE,""
))</f>
        <v/>
      </c>
      <c r="BW30" s="1202" t="str">
        <f t="shared" si="15"/>
        <v/>
      </c>
      <c r="BX30" s="1202" t="str">
        <f t="shared" si="16"/>
        <v/>
      </c>
      <c r="BY30" s="1216" t="str">
        <f t="shared" si="17"/>
        <v/>
      </c>
      <c r="CB30"/>
      <c r="CF30" s="185"/>
    </row>
    <row r="31" spans="2:84" ht="20.100000000000001" customHeight="1">
      <c r="B31" s="1206">
        <v>21</v>
      </c>
      <c r="C31" s="11"/>
      <c r="D31" s="11"/>
      <c r="E31" s="22"/>
      <c r="F31" s="22"/>
      <c r="G31" s="22"/>
      <c r="H31" s="22"/>
      <c r="I31" s="11"/>
      <c r="J31" s="1201"/>
      <c r="K31" s="1512"/>
      <c r="L31" s="11"/>
      <c r="M31" s="2"/>
      <c r="N31" s="23"/>
      <c r="O31" s="25"/>
      <c r="P31" s="1552"/>
      <c r="Q31" s="1518"/>
      <c r="R31" s="1517"/>
      <c r="S31" s="1517"/>
      <c r="T31" s="1522" t="str">
        <f t="shared" si="18"/>
        <v/>
      </c>
      <c r="U31" s="1559"/>
      <c r="V31" s="1523"/>
      <c r="W31" s="1524"/>
      <c r="X31" s="1524"/>
      <c r="Y31" s="1539" t="str">
        <f t="shared" si="19"/>
        <v/>
      </c>
      <c r="Z31" s="1567"/>
      <c r="AA31" s="1568"/>
      <c r="AB31" s="1569"/>
      <c r="AC31" s="1569"/>
      <c r="AD31" s="1546" t="str">
        <f t="shared" si="20"/>
        <v/>
      </c>
      <c r="AE31" s="6"/>
      <c r="AF31" s="1202" t="str" cm="1">
        <f t="array" ref="AF31">IF((_xlfn.IFS(TRIM(SUBSTITUTE(AE31,CHAR(160),""))="Devis 1",IFERROR(VALUE(TRIM(SUBSTITUTE(R31,CHAR(160),""))),0),TRIM(SUBSTITUTE(AE31,CHAR(160),""))="Devis 2",IFERROR(VALUE(TRIM(SUBSTITUTE(W31,CHAR(160),""))),0),TRIM(SUBSTITUTE(AE31,CHAR(160),""))="Devis 3",IFERROR(VALUE(TRIM(SUBSTITUTE(AB31,CHAR(160),""))),0),TRUE,0)*IFERROR(VALUE(TRIM(SUBSTITUTE(M31,CHAR(160),""))),0))=0,"",_xlfn.IFS(TRIM(SUBSTITUTE(AE31,CHAR(160),""))="Devis 1",IFERROR(VALUE(TRIM(SUBSTITUTE(R31,CHAR(160),""))),0),TRIM(SUBSTITUTE(AE31,CHAR(160),""))="Devis 2",IFERROR(VALUE(TRIM(SUBSTITUTE(W31,CHAR(160),""))),0),TRIM(SUBSTITUTE(AE31,CHAR(160),""))="Devis 3",IFERROR(VALUE(TRIM(SUBSTITUTE(AB31,CHAR(160),""))),0),TRUE,0)*IFERROR(VALUE(TRIM(SUBSTITUTE(M31,CHAR(160),""))),0))</f>
        <v/>
      </c>
      <c r="AG31" s="1202" t="str" cm="1">
        <f t="array" ref="AG31">IF((_xlfn.IFS(TRIM(SUBSTITUTE(AE31,CHAR(160),""))="Devis 1",IFERROR(VALUE(TRIM(SUBSTITUTE(S31,CHAR(160),""))),0),TRIM(SUBSTITUTE(AE31,CHAR(160),""))="Devis 2",IFERROR(VALUE(TRIM(SUBSTITUTE(X31,CHAR(160),""))),0),TRIM(SUBSTITUTE(AE31,CHAR(160),""))="Devis 3",IFERROR(VALUE(TRIM(SUBSTITUTE(AC31,CHAR(160),""))),0),TRUE,0)*IFERROR(VALUE(TRIM(SUBSTITUTE(M31,CHAR(160),""))),0))=0,"",_xlfn.IFS(TRIM(SUBSTITUTE(AE31,CHAR(160),""))="Devis 1",IFERROR(VALUE(TRIM(SUBSTITUTE(S31,CHAR(160),""))),0),TRIM(SUBSTITUTE(AF31,CHAR(160),""))="Devis 2",IFERROR(VALUE(TRIM(SUBSTITUTE(X31,CHAR(160),""))),0),TRIM(SUBSTITUTE(AF31,CHAR(160),""))="Devis 3",IFERROR(VALUE(TRIM(SUBSTITUTE(AC31,CHAR(160),""))),0),TRUE,0)*IFERROR(VALUE(TRIM(SUBSTITUTE(M31,CHAR(160),""))),0))</f>
        <v/>
      </c>
      <c r="AH31" s="1202" t="str" cm="1">
        <f t="array" ref="AH31">IF((_xlfn.IFS(TRIM(SUBSTITUTE(AE31,CHAR(160),""))="Devis 1",IFERROR(VALUE(TRIM(SUBSTITUTE(T31,CHAR(160),""))),0),TRIM(SUBSTITUTE(AE31,CHAR(160),""))="Devis 2",IFERROR(VALUE(TRIM(SUBSTITUTE(Y31,CHAR(160),""))),0),TRIM(SUBSTITUTE(AE31,CHAR(160),""))="Devis 3",IFERROR(VALUE(TRIM(SUBSTITUTE(AD31,CHAR(160),""))),0),TRUE,0)*IFERROR(VALUE(TRIM(SUBSTITUTE(M31,CHAR(160),""))),0))=0,"",_xlfn.IFS(TRIM(SUBSTITUTE(AE31,CHAR(160),""))="Devis 1",IFERROR(VALUE(TRIM(SUBSTITUTE(T31,CHAR(160),""))),0),TRIM(SUBSTITUTE(AE31,CHAR(160),""))="Devis 2",IFERROR(VALUE(TRIM(SUBSTITUTE(Y31,CHAR(160),""))),0),TRIM(SUBSTITUTE(AE31,CHAR(160),""))="Devis 3",IFERROR(VALUE(TRIM(SUBSTITUTE(AD31,CHAR(160),""))),0),TRUE,0)*IFERROR(VALUE(TRIM(SUBSTITUTE(M31,CHAR(160),""))),0))</f>
        <v/>
      </c>
      <c r="AI31" s="488"/>
      <c r="AJ31" s="215" t="str">
        <f t="shared" si="26"/>
        <v/>
      </c>
      <c r="AK31" s="57" t="str">
        <f t="shared" si="27"/>
        <v/>
      </c>
      <c r="AL31" s="57" t="str">
        <f t="shared" si="28"/>
        <v/>
      </c>
      <c r="AM31" s="57" t="str">
        <f t="shared" si="29"/>
        <v/>
      </c>
      <c r="AN31" s="57" t="str">
        <f t="shared" si="21"/>
        <v/>
      </c>
      <c r="AO31" s="57" t="str">
        <f t="shared" si="30"/>
        <v/>
      </c>
      <c r="AP31" s="57" t="str">
        <f t="shared" si="31"/>
        <v/>
      </c>
      <c r="AQ31" s="57" t="str">
        <f t="shared" si="32"/>
        <v/>
      </c>
      <c r="AR31" s="57" t="str">
        <f t="shared" si="33"/>
        <v/>
      </c>
      <c r="AS31" s="57" t="str">
        <f t="shared" si="34"/>
        <v/>
      </c>
      <c r="AT31" s="1172" t="str">
        <f t="shared" si="35"/>
        <v/>
      </c>
      <c r="AU31" s="57" t="str">
        <f t="shared" si="36"/>
        <v/>
      </c>
      <c r="AV31" s="691" t="str">
        <f t="shared" si="37"/>
        <v/>
      </c>
      <c r="AW31" s="1533" t="str">
        <f t="shared" si="38"/>
        <v/>
      </c>
      <c r="AX31" s="1521" t="str">
        <f t="shared" si="39"/>
        <v/>
      </c>
      <c r="AY31" s="1663" t="str">
        <f t="shared" si="40"/>
        <v/>
      </c>
      <c r="AZ31" s="1663" t="str">
        <f t="shared" si="41"/>
        <v/>
      </c>
      <c r="BA31" s="1522" t="str">
        <f t="shared" si="2"/>
        <v/>
      </c>
      <c r="BB31" s="1527" t="str">
        <f t="shared" si="3"/>
        <v/>
      </c>
      <c r="BC31" s="1528" t="str">
        <f t="shared" si="4"/>
        <v/>
      </c>
      <c r="BD31" s="1654" t="str">
        <f t="shared" si="5"/>
        <v/>
      </c>
      <c r="BE31" s="1657" t="str">
        <f t="shared" si="6"/>
        <v/>
      </c>
      <c r="BF31" s="1539" t="str">
        <f t="shared" si="7"/>
        <v/>
      </c>
      <c r="BG31" s="1544" t="str">
        <f t="shared" si="8"/>
        <v/>
      </c>
      <c r="BH31" s="1545" t="str">
        <f t="shared" si="9"/>
        <v/>
      </c>
      <c r="BI31" s="1660" t="str">
        <f t="shared" si="10"/>
        <v/>
      </c>
      <c r="BJ31" s="1660" t="str">
        <f t="shared" si="11"/>
        <v/>
      </c>
      <c r="BK31" s="1546" t="str">
        <f t="shared" si="12"/>
        <v/>
      </c>
      <c r="BL31" s="1467" t="str">
        <f t="shared" si="22"/>
        <v/>
      </c>
      <c r="BM31" s="260"/>
      <c r="BN31" s="1667" t="str">
        <f t="shared" si="23"/>
        <v/>
      </c>
      <c r="BO31" s="1667" t="str">
        <f t="shared" si="24"/>
        <v/>
      </c>
      <c r="BP31" s="300" t="str">
        <f t="shared" si="14"/>
        <v/>
      </c>
      <c r="BQ31" s="1470" t="str" cm="1">
        <f t="array" ref="BQ31">IF($AT31="","",
_xlfn.IFS(
$BL31="Devis 1",
IF(ISBLANK(AY31),"",IFERROR(VALUE(TRIM(SUBSTITUTE(AY31,CHAR(160),""))),0)*IFERROR(VALUE(TRIM(SUBSTITUTE($AT31,CHAR(160),""))),0)),
$BL31="Devis 2",
IF(ISBLANK(BD31),"",IFERROR(VALUE(TRIM(SUBSTITUTE(BD31,CHAR(160),""))),0)*IFERROR(VALUE(TRIM(SUBSTITUTE($AT31,CHAR(160),""))),0)),
$BL31="Devis 3",
IF(ISBLANK(BI31),"",IFERROR(VALUE(TRIM(SUBSTITUTE(BI31,CHAR(160),""))),0)*IFERROR(VALUE(TRIM(SUBSTITUTE($AT31,CHAR(160),""))),0)),
TRUE,0
)
)</f>
        <v/>
      </c>
      <c r="BR31" s="1470" t="str" cm="1">
        <f t="array" ref="BR31">IF($AT31="","",
_xlfn.IFS(
$BL31="Devis 1",
IF(ISBLANK(AZ31),"",IFERROR(VALUE(TRIM(SUBSTITUTE(AZ31,CHAR(160),""))),0)*IFERROR(VALUE(TRIM(SUBSTITUTE($AT31,CHAR(160),""))),0)),
$BL31="Devis 2",
IF(ISBLANK(BE31),"",IFERROR(VALUE(TRIM(SUBSTITUTE(BE31,CHAR(160),""))),0)*IFERROR(VALUE(TRIM(SUBSTITUTE($AT31,CHAR(160),""))),0)),
$BL31="Devis 3",
IF(ISBLANK(BJ31),"",IFERROR(VALUE(TRIM(SUBSTITUTE(BJ31,CHAR(160),""))),0)*IFERROR(VALUE(TRIM(SUBSTITUTE($AT31,CHAR(160),""))),0)),
TRUE,0
)
)</f>
        <v/>
      </c>
      <c r="BS31" s="1470" t="str">
        <f t="shared" si="25"/>
        <v/>
      </c>
      <c r="BT31" s="194"/>
      <c r="BU31" s="216" t="str" cm="1">
        <f t="array" ref="BU31">IF(OR(BS31="",BP31="",BQ31="",BN31="",BR31="",BO31=""),"",_xlfn.IFS(
ROUND(IFERROR(VALUE(TRIM(SUBSTITUTE(BS31,CHAR(160),""))),0),2)&gt;
ROUND(IFERROR(VALUE(TRIM(SUBSTITUTE(BP31,CHAR(160),""))),0),2),
"KO : Le montant retenu TTC est supérieur au montant raisonnable TTC. Merci de revoir la ligne de dépense ou plafonner son montant.",
ROUND(IFERROR(VALUE(TRIM(SUBSTITUTE(BQ31,CHAR(160),""))),0),2)&gt;
ROUND(IFERROR(VALUE(TRIM(SUBSTITUTE(BN31,CHAR(160),""))),0),2),
"Attention : Le montant retenu HT est supérieur au montant HT raisonnable. Merci de revoir la ligne de dépense, plafonner son montant, ou justifier la reventillation HT / TVA.",
ROUND(IFERROR(VALUE(TRIM(SUBSTITUTE(BR31,CHAR(160),""))),0),2)&gt;
ROUND(IFERROR(VALUE(TRIM(SUBSTITUTE(BO31,CHAR(160),""))),0),2),
"Attention : Le montant TVA retenu est supérieur au montant TVA raisonnable. Merci de revoir la ligne de dépense, plafonner son montant, ou justifier la reventillation HT / TVA.",
ROUND(IFERROR(VALUE(TRIM(SUBSTITUTE(BS31,CHAR(160),""))),0),2)&gt;
ROUND(IFERROR(VALUE(TRIM(SUBSTITUTE(MIN(T31,Y31,AD31),CHAR(160),""))),0),2),
"Attention : Le devis retenu n'est pas le moins cher. Une justification de la part du porteur est nécessaire.",
ROUND(IFERROR(VALUE(TRIM(SUBSTITUTE(BS31,CHAR(160),""))),0),2)=0,
"Attention : montant présenté entièrement écarté",
ROUND(IFERROR(VALUE(TRIM(SUBSTITUTE(BP31,CHAR(160),""))),0),2)=
ROUND(IFERROR(VALUE(TRIM(SUBSTITUTE(BS31,CHAR(160),""))),0),2),
"OK",
ROUND(IFERROR(VALUE(TRIM(SUBSTITUTE(BP31,CHAR(160),""))),0),2)&gt;
ROUND(IFERROR(VALUE(TRIM(SUBSTITUTE(BS31,CHAR(160),""))),0),2),
" OK : Montant instruit inférieur au montant raisonnable.",
TRUE,""
))</f>
        <v/>
      </c>
      <c r="BV31" s="57" t="str" cm="1">
        <f t="array" ref="BV31">IF(OR(BS31="",AH31="",BQ31="",AF31="",BR31="",AG31=""),"",_xlfn.IFS(
ROUND(IFERROR(VALUE(TRIM(SUBSTITUTE(BS31,CHAR(160),""))),0),2)&gt;
ROUND(IFERROR(VALUE(TRIM(SUBSTITUTE(AH31,CHAR(160),""))),0),2),
"KO : Le montant retenu TTC est supérieur au montant présenté TTC. Merci de revoir la ligne de dépense ou plafonner son montant.",
ROUND(IFERROR(VALUE(TRIM(SUBSTITUTE(BQ31,CHAR(160),""))),0),2)&gt;
ROUND(IFERROR(VALUE(TRIM(SUBSTITUTE(AF31,CHAR(160),""))),0),2),
"Attention : Le montant retenu HT est supérieur au montant HT présenté. Merci de revoir la ligne de dépense, plafonner son montant, ou justifier la reventillation HT / TVA.",
ROUND(IFERROR(VALUE(TRIM(SUBSTITUTE(BR31,CHAR(160),""))),0),2)&gt;
ROUND(IFERROR(VALUE(TRIM(SUBSTITUTE(AG31,CHAR(160),""))),0),2),
"Attention : Le montant TVA retenu est supérieur au montant TVA présenté. Merci de revoir la ligne de dépense, plafonner son montant, ou justifier la reventillation HT / TVA.",
ROUND(IFERROR(VALUE(TRIM(SUBSTITUTE(AH31,CHAR(160),""))),0),2)=0,
"",
ROUND(IFERROR(VALUE(TRIM(SUBSTITUTE(BS31,CHAR(160),""))),0),2)=
ROUND(IFERROR(VALUE(TRIM(SUBSTITUTE(AH31,CHAR(160),""))),0),2),
"OK",
ROUND(IFERROR(VALUE(TRIM(SUBSTITUTE(BS31,CHAR(160),""))),0),2)=0,
"Attention : Montant présenté entièrement rejeté.",
ROUND(IFERROR(VALUE(TRIM(SUBSTITUTE(BS31,CHAR(160),""))),0),2)&lt;
ROUND(IFERROR(VALUE(TRIM(SUBSTITUTE(AH31,CHAR(160),""))),0),2),
"Attention : Montant présenté partiellement rejeté.",
TRUE,""
))</f>
        <v/>
      </c>
      <c r="BW31" s="1202" t="str">
        <f t="shared" si="15"/>
        <v/>
      </c>
      <c r="BX31" s="1202" t="str">
        <f t="shared" si="16"/>
        <v/>
      </c>
      <c r="BY31" s="1216" t="str">
        <f t="shared" si="17"/>
        <v/>
      </c>
      <c r="CB31"/>
      <c r="CF31" s="185"/>
    </row>
    <row r="32" spans="2:84" ht="20.100000000000001" customHeight="1">
      <c r="B32" s="1206">
        <v>22</v>
      </c>
      <c r="C32" s="11"/>
      <c r="D32" s="11"/>
      <c r="E32" s="22"/>
      <c r="F32" s="22"/>
      <c r="G32" s="22"/>
      <c r="H32" s="22"/>
      <c r="I32" s="11"/>
      <c r="J32" s="1201"/>
      <c r="K32" s="1512"/>
      <c r="L32" s="11"/>
      <c r="M32" s="2"/>
      <c r="N32" s="23"/>
      <c r="O32" s="25"/>
      <c r="P32" s="1552"/>
      <c r="Q32" s="1518"/>
      <c r="R32" s="1517"/>
      <c r="S32" s="1517"/>
      <c r="T32" s="1522" t="str">
        <f t="shared" si="18"/>
        <v/>
      </c>
      <c r="U32" s="1559"/>
      <c r="V32" s="1523"/>
      <c r="W32" s="1524"/>
      <c r="X32" s="1524"/>
      <c r="Y32" s="1539" t="str">
        <f t="shared" si="19"/>
        <v/>
      </c>
      <c r="Z32" s="1567"/>
      <c r="AA32" s="1568"/>
      <c r="AB32" s="1569"/>
      <c r="AC32" s="1569"/>
      <c r="AD32" s="1546" t="str">
        <f t="shared" si="20"/>
        <v/>
      </c>
      <c r="AE32" s="6"/>
      <c r="AF32" s="1202" t="str" cm="1">
        <f t="array" ref="AF32">IF((_xlfn.IFS(TRIM(SUBSTITUTE(AE32,CHAR(160),""))="Devis 1",IFERROR(VALUE(TRIM(SUBSTITUTE(R32,CHAR(160),""))),0),TRIM(SUBSTITUTE(AE32,CHAR(160),""))="Devis 2",IFERROR(VALUE(TRIM(SUBSTITUTE(W32,CHAR(160),""))),0),TRIM(SUBSTITUTE(AE32,CHAR(160),""))="Devis 3",IFERROR(VALUE(TRIM(SUBSTITUTE(AB32,CHAR(160),""))),0),TRUE,0)*IFERROR(VALUE(TRIM(SUBSTITUTE(M32,CHAR(160),""))),0))=0,"",_xlfn.IFS(TRIM(SUBSTITUTE(AE32,CHAR(160),""))="Devis 1",IFERROR(VALUE(TRIM(SUBSTITUTE(R32,CHAR(160),""))),0),TRIM(SUBSTITUTE(AE32,CHAR(160),""))="Devis 2",IFERROR(VALUE(TRIM(SUBSTITUTE(W32,CHAR(160),""))),0),TRIM(SUBSTITUTE(AE32,CHAR(160),""))="Devis 3",IFERROR(VALUE(TRIM(SUBSTITUTE(AB32,CHAR(160),""))),0),TRUE,0)*IFERROR(VALUE(TRIM(SUBSTITUTE(M32,CHAR(160),""))),0))</f>
        <v/>
      </c>
      <c r="AG32" s="1202" t="str" cm="1">
        <f t="array" ref="AG32">IF((_xlfn.IFS(TRIM(SUBSTITUTE(AE32,CHAR(160),""))="Devis 1",IFERROR(VALUE(TRIM(SUBSTITUTE(S32,CHAR(160),""))),0),TRIM(SUBSTITUTE(AE32,CHAR(160),""))="Devis 2",IFERROR(VALUE(TRIM(SUBSTITUTE(X32,CHAR(160),""))),0),TRIM(SUBSTITUTE(AE32,CHAR(160),""))="Devis 3",IFERROR(VALUE(TRIM(SUBSTITUTE(AC32,CHAR(160),""))),0),TRUE,0)*IFERROR(VALUE(TRIM(SUBSTITUTE(M32,CHAR(160),""))),0))=0,"",_xlfn.IFS(TRIM(SUBSTITUTE(AE32,CHAR(160),""))="Devis 1",IFERROR(VALUE(TRIM(SUBSTITUTE(S32,CHAR(160),""))),0),TRIM(SUBSTITUTE(AF32,CHAR(160),""))="Devis 2",IFERROR(VALUE(TRIM(SUBSTITUTE(X32,CHAR(160),""))),0),TRIM(SUBSTITUTE(AF32,CHAR(160),""))="Devis 3",IFERROR(VALUE(TRIM(SUBSTITUTE(AC32,CHAR(160),""))),0),TRUE,0)*IFERROR(VALUE(TRIM(SUBSTITUTE(M32,CHAR(160),""))),0))</f>
        <v/>
      </c>
      <c r="AH32" s="1202" t="str" cm="1">
        <f t="array" ref="AH32">IF((_xlfn.IFS(TRIM(SUBSTITUTE(AE32,CHAR(160),""))="Devis 1",IFERROR(VALUE(TRIM(SUBSTITUTE(T32,CHAR(160),""))),0),TRIM(SUBSTITUTE(AE32,CHAR(160),""))="Devis 2",IFERROR(VALUE(TRIM(SUBSTITUTE(Y32,CHAR(160),""))),0),TRIM(SUBSTITUTE(AE32,CHAR(160),""))="Devis 3",IFERROR(VALUE(TRIM(SUBSTITUTE(AD32,CHAR(160),""))),0),TRUE,0)*IFERROR(VALUE(TRIM(SUBSTITUTE(M32,CHAR(160),""))),0))=0,"",_xlfn.IFS(TRIM(SUBSTITUTE(AE32,CHAR(160),""))="Devis 1",IFERROR(VALUE(TRIM(SUBSTITUTE(T32,CHAR(160),""))),0),TRIM(SUBSTITUTE(AE32,CHAR(160),""))="Devis 2",IFERROR(VALUE(TRIM(SUBSTITUTE(Y32,CHAR(160),""))),0),TRIM(SUBSTITUTE(AE32,CHAR(160),""))="Devis 3",IFERROR(VALUE(TRIM(SUBSTITUTE(AD32,CHAR(160),""))),0),TRUE,0)*IFERROR(VALUE(TRIM(SUBSTITUTE(M32,CHAR(160),""))),0))</f>
        <v/>
      </c>
      <c r="AI32" s="488"/>
      <c r="AJ32" s="215" t="str">
        <f t="shared" si="26"/>
        <v/>
      </c>
      <c r="AK32" s="57" t="str">
        <f t="shared" si="27"/>
        <v/>
      </c>
      <c r="AL32" s="57" t="str">
        <f t="shared" si="28"/>
        <v/>
      </c>
      <c r="AM32" s="57" t="str">
        <f t="shared" si="29"/>
        <v/>
      </c>
      <c r="AN32" s="57" t="str">
        <f t="shared" si="21"/>
        <v/>
      </c>
      <c r="AO32" s="57" t="str">
        <f t="shared" si="30"/>
        <v/>
      </c>
      <c r="AP32" s="57" t="str">
        <f t="shared" si="31"/>
        <v/>
      </c>
      <c r="AQ32" s="57" t="str">
        <f t="shared" si="32"/>
        <v/>
      </c>
      <c r="AR32" s="57" t="str">
        <f t="shared" si="33"/>
        <v/>
      </c>
      <c r="AS32" s="57" t="str">
        <f t="shared" si="34"/>
        <v/>
      </c>
      <c r="AT32" s="1172" t="str">
        <f t="shared" si="35"/>
        <v/>
      </c>
      <c r="AU32" s="57" t="str">
        <f t="shared" si="36"/>
        <v/>
      </c>
      <c r="AV32" s="691" t="str">
        <f t="shared" si="37"/>
        <v/>
      </c>
      <c r="AW32" s="1533" t="str">
        <f t="shared" si="38"/>
        <v/>
      </c>
      <c r="AX32" s="1521" t="str">
        <f t="shared" si="39"/>
        <v/>
      </c>
      <c r="AY32" s="1663" t="str">
        <f t="shared" si="40"/>
        <v/>
      </c>
      <c r="AZ32" s="1663" t="str">
        <f t="shared" si="41"/>
        <v/>
      </c>
      <c r="BA32" s="1522" t="str">
        <f t="shared" si="2"/>
        <v/>
      </c>
      <c r="BB32" s="1527" t="str">
        <f t="shared" si="3"/>
        <v/>
      </c>
      <c r="BC32" s="1528" t="str">
        <f t="shared" si="4"/>
        <v/>
      </c>
      <c r="BD32" s="1654" t="str">
        <f t="shared" si="5"/>
        <v/>
      </c>
      <c r="BE32" s="1657" t="str">
        <f t="shared" si="6"/>
        <v/>
      </c>
      <c r="BF32" s="1539" t="str">
        <f t="shared" si="7"/>
        <v/>
      </c>
      <c r="BG32" s="1544" t="str">
        <f t="shared" si="8"/>
        <v/>
      </c>
      <c r="BH32" s="1545" t="str">
        <f t="shared" si="9"/>
        <v/>
      </c>
      <c r="BI32" s="1660" t="str">
        <f t="shared" si="10"/>
        <v/>
      </c>
      <c r="BJ32" s="1660" t="str">
        <f t="shared" si="11"/>
        <v/>
      </c>
      <c r="BK32" s="1546" t="str">
        <f t="shared" si="12"/>
        <v/>
      </c>
      <c r="BL32" s="1467" t="str">
        <f t="shared" si="22"/>
        <v/>
      </c>
      <c r="BM32" s="260"/>
      <c r="BN32" s="1667" t="str">
        <f t="shared" si="23"/>
        <v/>
      </c>
      <c r="BO32" s="1667" t="str">
        <f t="shared" si="24"/>
        <v/>
      </c>
      <c r="BP32" s="300" t="str">
        <f t="shared" si="14"/>
        <v/>
      </c>
      <c r="BQ32" s="1470" t="str" cm="1">
        <f t="array" ref="BQ32">IF($AT32="","",
_xlfn.IFS(
$BL32="Devis 1",
IF(ISBLANK(AY32),"",IFERROR(VALUE(TRIM(SUBSTITUTE(AY32,CHAR(160),""))),0)*IFERROR(VALUE(TRIM(SUBSTITUTE($AT32,CHAR(160),""))),0)),
$BL32="Devis 2",
IF(ISBLANK(BD32),"",IFERROR(VALUE(TRIM(SUBSTITUTE(BD32,CHAR(160),""))),0)*IFERROR(VALUE(TRIM(SUBSTITUTE($AT32,CHAR(160),""))),0)),
$BL32="Devis 3",
IF(ISBLANK(BI32),"",IFERROR(VALUE(TRIM(SUBSTITUTE(BI32,CHAR(160),""))),0)*IFERROR(VALUE(TRIM(SUBSTITUTE($AT32,CHAR(160),""))),0)),
TRUE,0
)
)</f>
        <v/>
      </c>
      <c r="BR32" s="1470" t="str" cm="1">
        <f t="array" ref="BR32">IF($AT32="","",
_xlfn.IFS(
$BL32="Devis 1",
IF(ISBLANK(AZ32),"",IFERROR(VALUE(TRIM(SUBSTITUTE(AZ32,CHAR(160),""))),0)*IFERROR(VALUE(TRIM(SUBSTITUTE($AT32,CHAR(160),""))),0)),
$BL32="Devis 2",
IF(ISBLANK(BE32),"",IFERROR(VALUE(TRIM(SUBSTITUTE(BE32,CHAR(160),""))),0)*IFERROR(VALUE(TRIM(SUBSTITUTE($AT32,CHAR(160),""))),0)),
$BL32="Devis 3",
IF(ISBLANK(BJ32),"",IFERROR(VALUE(TRIM(SUBSTITUTE(BJ32,CHAR(160),""))),0)*IFERROR(VALUE(TRIM(SUBSTITUTE($AT32,CHAR(160),""))),0)),
TRUE,0
)
)</f>
        <v/>
      </c>
      <c r="BS32" s="1470" t="str">
        <f t="shared" si="25"/>
        <v/>
      </c>
      <c r="BT32" s="194"/>
      <c r="BU32" s="216" t="str" cm="1">
        <f t="array" ref="BU32">IF(OR(BS32="",BP32="",BQ32="",BN32="",BR32="",BO32=""),"",_xlfn.IFS(
ROUND(IFERROR(VALUE(TRIM(SUBSTITUTE(BS32,CHAR(160),""))),0),2)&gt;
ROUND(IFERROR(VALUE(TRIM(SUBSTITUTE(BP32,CHAR(160),""))),0),2),
"KO : Le montant retenu TTC est supérieur au montant raisonnable TTC. Merci de revoir la ligne de dépense ou plafonner son montant.",
ROUND(IFERROR(VALUE(TRIM(SUBSTITUTE(BQ32,CHAR(160),""))),0),2)&gt;
ROUND(IFERROR(VALUE(TRIM(SUBSTITUTE(BN32,CHAR(160),""))),0),2),
"Attention : Le montant retenu HT est supérieur au montant HT raisonnable. Merci de revoir la ligne de dépense, plafonner son montant, ou justifier la reventillation HT / TVA.",
ROUND(IFERROR(VALUE(TRIM(SUBSTITUTE(BR32,CHAR(160),""))),0),2)&gt;
ROUND(IFERROR(VALUE(TRIM(SUBSTITUTE(BO32,CHAR(160),""))),0),2),
"Attention : Le montant TVA retenu est supérieur au montant TVA raisonnable. Merci de revoir la ligne de dépense, plafonner son montant, ou justifier la reventillation HT / TVA.",
ROUND(IFERROR(VALUE(TRIM(SUBSTITUTE(BS32,CHAR(160),""))),0),2)&gt;
ROUND(IFERROR(VALUE(TRIM(SUBSTITUTE(MIN(T32,Y32,AD32),CHAR(160),""))),0),2),
"Attention : Le devis retenu n'est pas le moins cher. Une justification de la part du porteur est nécessaire.",
ROUND(IFERROR(VALUE(TRIM(SUBSTITUTE(BS32,CHAR(160),""))),0),2)=0,
"Attention : montant présenté entièrement écarté",
ROUND(IFERROR(VALUE(TRIM(SUBSTITUTE(BP32,CHAR(160),""))),0),2)=
ROUND(IFERROR(VALUE(TRIM(SUBSTITUTE(BS32,CHAR(160),""))),0),2),
"OK",
ROUND(IFERROR(VALUE(TRIM(SUBSTITUTE(BP32,CHAR(160),""))),0),2)&gt;
ROUND(IFERROR(VALUE(TRIM(SUBSTITUTE(BS32,CHAR(160),""))),0),2),
" OK : Montant instruit inférieur au montant raisonnable.",
TRUE,""
))</f>
        <v/>
      </c>
      <c r="BV32" s="57" t="str" cm="1">
        <f t="array" ref="BV32">IF(OR(BS32="",AH32="",BQ32="",AF32="",BR32="",AG32=""),"",_xlfn.IFS(
ROUND(IFERROR(VALUE(TRIM(SUBSTITUTE(BS32,CHAR(160),""))),0),2)&gt;
ROUND(IFERROR(VALUE(TRIM(SUBSTITUTE(AH32,CHAR(160),""))),0),2),
"KO : Le montant retenu TTC est supérieur au montant présenté TTC. Merci de revoir la ligne de dépense ou plafonner son montant.",
ROUND(IFERROR(VALUE(TRIM(SUBSTITUTE(BQ32,CHAR(160),""))),0),2)&gt;
ROUND(IFERROR(VALUE(TRIM(SUBSTITUTE(AF32,CHAR(160),""))),0),2),
"Attention : Le montant retenu HT est supérieur au montant HT présenté. Merci de revoir la ligne de dépense, plafonner son montant, ou justifier la reventillation HT / TVA.",
ROUND(IFERROR(VALUE(TRIM(SUBSTITUTE(BR32,CHAR(160),""))),0),2)&gt;
ROUND(IFERROR(VALUE(TRIM(SUBSTITUTE(AG32,CHAR(160),""))),0),2),
"Attention : Le montant TVA retenu est supérieur au montant TVA présenté. Merci de revoir la ligne de dépense, plafonner son montant, ou justifier la reventillation HT / TVA.",
ROUND(IFERROR(VALUE(TRIM(SUBSTITUTE(AH32,CHAR(160),""))),0),2)=0,
"",
ROUND(IFERROR(VALUE(TRIM(SUBSTITUTE(BS32,CHAR(160),""))),0),2)=
ROUND(IFERROR(VALUE(TRIM(SUBSTITUTE(AH32,CHAR(160),""))),0),2),
"OK",
ROUND(IFERROR(VALUE(TRIM(SUBSTITUTE(BS32,CHAR(160),""))),0),2)=0,
"Attention : Montant présenté entièrement rejeté.",
ROUND(IFERROR(VALUE(TRIM(SUBSTITUTE(BS32,CHAR(160),""))),0),2)&lt;
ROUND(IFERROR(VALUE(TRIM(SUBSTITUTE(AH32,CHAR(160),""))),0),2),
"Attention : Montant présenté partiellement rejeté.",
TRUE,""
))</f>
        <v/>
      </c>
      <c r="BW32" s="1202" t="str">
        <f t="shared" si="15"/>
        <v/>
      </c>
      <c r="BX32" s="1202" t="str">
        <f t="shared" si="16"/>
        <v/>
      </c>
      <c r="BY32" s="1216" t="str">
        <f t="shared" si="17"/>
        <v/>
      </c>
      <c r="CB32"/>
      <c r="CF32" s="185"/>
    </row>
    <row r="33" spans="2:84" ht="20.100000000000001" customHeight="1">
      <c r="B33" s="1206">
        <v>23</v>
      </c>
      <c r="C33" s="11"/>
      <c r="D33" s="11"/>
      <c r="E33" s="22"/>
      <c r="F33" s="22"/>
      <c r="G33" s="22"/>
      <c r="H33" s="22"/>
      <c r="I33" s="11"/>
      <c r="J33" s="1201"/>
      <c r="K33" s="1512"/>
      <c r="L33" s="11"/>
      <c r="M33" s="2"/>
      <c r="N33" s="23"/>
      <c r="O33" s="25"/>
      <c r="P33" s="1552"/>
      <c r="Q33" s="1518"/>
      <c r="R33" s="1517"/>
      <c r="S33" s="1517"/>
      <c r="T33" s="1522" t="str">
        <f t="shared" si="18"/>
        <v/>
      </c>
      <c r="U33" s="1559"/>
      <c r="V33" s="1523"/>
      <c r="W33" s="1524"/>
      <c r="X33" s="1524"/>
      <c r="Y33" s="1539" t="str">
        <f t="shared" si="19"/>
        <v/>
      </c>
      <c r="Z33" s="1567"/>
      <c r="AA33" s="1568"/>
      <c r="AB33" s="1569"/>
      <c r="AC33" s="1569"/>
      <c r="AD33" s="1546" t="str">
        <f t="shared" si="20"/>
        <v/>
      </c>
      <c r="AE33" s="6"/>
      <c r="AF33" s="1202" t="str" cm="1">
        <f t="array" ref="AF33">IF((_xlfn.IFS(TRIM(SUBSTITUTE(AE33,CHAR(160),""))="Devis 1",IFERROR(VALUE(TRIM(SUBSTITUTE(R33,CHAR(160),""))),0),TRIM(SUBSTITUTE(AE33,CHAR(160),""))="Devis 2",IFERROR(VALUE(TRIM(SUBSTITUTE(W33,CHAR(160),""))),0),TRIM(SUBSTITUTE(AE33,CHAR(160),""))="Devis 3",IFERROR(VALUE(TRIM(SUBSTITUTE(AB33,CHAR(160),""))),0),TRUE,0)*IFERROR(VALUE(TRIM(SUBSTITUTE(M33,CHAR(160),""))),0))=0,"",_xlfn.IFS(TRIM(SUBSTITUTE(AE33,CHAR(160),""))="Devis 1",IFERROR(VALUE(TRIM(SUBSTITUTE(R33,CHAR(160),""))),0),TRIM(SUBSTITUTE(AE33,CHAR(160),""))="Devis 2",IFERROR(VALUE(TRIM(SUBSTITUTE(W33,CHAR(160),""))),0),TRIM(SUBSTITUTE(AE33,CHAR(160),""))="Devis 3",IFERROR(VALUE(TRIM(SUBSTITUTE(AB33,CHAR(160),""))),0),TRUE,0)*IFERROR(VALUE(TRIM(SUBSTITUTE(M33,CHAR(160),""))),0))</f>
        <v/>
      </c>
      <c r="AG33" s="1202" t="str" cm="1">
        <f t="array" ref="AG33">IF((_xlfn.IFS(TRIM(SUBSTITUTE(AE33,CHAR(160),""))="Devis 1",IFERROR(VALUE(TRIM(SUBSTITUTE(S33,CHAR(160),""))),0),TRIM(SUBSTITUTE(AE33,CHAR(160),""))="Devis 2",IFERROR(VALUE(TRIM(SUBSTITUTE(X33,CHAR(160),""))),0),TRIM(SUBSTITUTE(AE33,CHAR(160),""))="Devis 3",IFERROR(VALUE(TRIM(SUBSTITUTE(AC33,CHAR(160),""))),0),TRUE,0)*IFERROR(VALUE(TRIM(SUBSTITUTE(M33,CHAR(160),""))),0))=0,"",_xlfn.IFS(TRIM(SUBSTITUTE(AE33,CHAR(160),""))="Devis 1",IFERROR(VALUE(TRIM(SUBSTITUTE(S33,CHAR(160),""))),0),TRIM(SUBSTITUTE(AF33,CHAR(160),""))="Devis 2",IFERROR(VALUE(TRIM(SUBSTITUTE(X33,CHAR(160),""))),0),TRIM(SUBSTITUTE(AF33,CHAR(160),""))="Devis 3",IFERROR(VALUE(TRIM(SUBSTITUTE(AC33,CHAR(160),""))),0),TRUE,0)*IFERROR(VALUE(TRIM(SUBSTITUTE(M33,CHAR(160),""))),0))</f>
        <v/>
      </c>
      <c r="AH33" s="1202" t="str" cm="1">
        <f t="array" ref="AH33">IF((_xlfn.IFS(TRIM(SUBSTITUTE(AE33,CHAR(160),""))="Devis 1",IFERROR(VALUE(TRIM(SUBSTITUTE(T33,CHAR(160),""))),0),TRIM(SUBSTITUTE(AE33,CHAR(160),""))="Devis 2",IFERROR(VALUE(TRIM(SUBSTITUTE(Y33,CHAR(160),""))),0),TRIM(SUBSTITUTE(AE33,CHAR(160),""))="Devis 3",IFERROR(VALUE(TRIM(SUBSTITUTE(AD33,CHAR(160),""))),0),TRUE,0)*IFERROR(VALUE(TRIM(SUBSTITUTE(M33,CHAR(160),""))),0))=0,"",_xlfn.IFS(TRIM(SUBSTITUTE(AE33,CHAR(160),""))="Devis 1",IFERROR(VALUE(TRIM(SUBSTITUTE(T33,CHAR(160),""))),0),TRIM(SUBSTITUTE(AE33,CHAR(160),""))="Devis 2",IFERROR(VALUE(TRIM(SUBSTITUTE(Y33,CHAR(160),""))),0),TRIM(SUBSTITUTE(AE33,CHAR(160),""))="Devis 3",IFERROR(VALUE(TRIM(SUBSTITUTE(AD33,CHAR(160),""))),0),TRUE,0)*IFERROR(VALUE(TRIM(SUBSTITUTE(M33,CHAR(160),""))),0))</f>
        <v/>
      </c>
      <c r="AI33" s="488"/>
      <c r="AJ33" s="215" t="str">
        <f t="shared" si="26"/>
        <v/>
      </c>
      <c r="AK33" s="57" t="str">
        <f t="shared" si="27"/>
        <v/>
      </c>
      <c r="AL33" s="57" t="str">
        <f t="shared" si="28"/>
        <v/>
      </c>
      <c r="AM33" s="57" t="str">
        <f t="shared" si="29"/>
        <v/>
      </c>
      <c r="AN33" s="57" t="str">
        <f t="shared" si="21"/>
        <v/>
      </c>
      <c r="AO33" s="57" t="str">
        <f t="shared" si="30"/>
        <v/>
      </c>
      <c r="AP33" s="57" t="str">
        <f t="shared" si="31"/>
        <v/>
      </c>
      <c r="AQ33" s="57" t="str">
        <f t="shared" si="32"/>
        <v/>
      </c>
      <c r="AR33" s="57" t="str">
        <f t="shared" si="33"/>
        <v/>
      </c>
      <c r="AS33" s="57" t="str">
        <f t="shared" si="34"/>
        <v/>
      </c>
      <c r="AT33" s="1172" t="str">
        <f t="shared" si="35"/>
        <v/>
      </c>
      <c r="AU33" s="57" t="str">
        <f t="shared" si="36"/>
        <v/>
      </c>
      <c r="AV33" s="691" t="str">
        <f t="shared" si="37"/>
        <v/>
      </c>
      <c r="AW33" s="1533" t="str">
        <f t="shared" si="38"/>
        <v/>
      </c>
      <c r="AX33" s="1521" t="str">
        <f t="shared" si="39"/>
        <v/>
      </c>
      <c r="AY33" s="1663" t="str">
        <f t="shared" si="40"/>
        <v/>
      </c>
      <c r="AZ33" s="1663" t="str">
        <f t="shared" si="41"/>
        <v/>
      </c>
      <c r="BA33" s="1522" t="str">
        <f t="shared" si="2"/>
        <v/>
      </c>
      <c r="BB33" s="1527" t="str">
        <f t="shared" si="3"/>
        <v/>
      </c>
      <c r="BC33" s="1528" t="str">
        <f t="shared" si="4"/>
        <v/>
      </c>
      <c r="BD33" s="1654" t="str">
        <f t="shared" si="5"/>
        <v/>
      </c>
      <c r="BE33" s="1657" t="str">
        <f t="shared" si="6"/>
        <v/>
      </c>
      <c r="BF33" s="1539" t="str">
        <f t="shared" si="7"/>
        <v/>
      </c>
      <c r="BG33" s="1544" t="str">
        <f t="shared" si="8"/>
        <v/>
      </c>
      <c r="BH33" s="1545" t="str">
        <f t="shared" si="9"/>
        <v/>
      </c>
      <c r="BI33" s="1660" t="str">
        <f t="shared" si="10"/>
        <v/>
      </c>
      <c r="BJ33" s="1660" t="str">
        <f t="shared" si="11"/>
        <v/>
      </c>
      <c r="BK33" s="1546" t="str">
        <f t="shared" si="12"/>
        <v/>
      </c>
      <c r="BL33" s="1467" t="str">
        <f t="shared" si="22"/>
        <v/>
      </c>
      <c r="BM33" s="260"/>
      <c r="BN33" s="1667" t="str">
        <f t="shared" si="23"/>
        <v/>
      </c>
      <c r="BO33" s="1667" t="str">
        <f t="shared" si="24"/>
        <v/>
      </c>
      <c r="BP33" s="300" t="str">
        <f t="shared" si="14"/>
        <v/>
      </c>
      <c r="BQ33" s="1470" t="str" cm="1">
        <f t="array" ref="BQ33">IF($AT33="","",
_xlfn.IFS(
$BL33="Devis 1",
IF(ISBLANK(AY33),"",IFERROR(VALUE(TRIM(SUBSTITUTE(AY33,CHAR(160),""))),0)*IFERROR(VALUE(TRIM(SUBSTITUTE($AT33,CHAR(160),""))),0)),
$BL33="Devis 2",
IF(ISBLANK(BD33),"",IFERROR(VALUE(TRIM(SUBSTITUTE(BD33,CHAR(160),""))),0)*IFERROR(VALUE(TRIM(SUBSTITUTE($AT33,CHAR(160),""))),0)),
$BL33="Devis 3",
IF(ISBLANK(BI33),"",IFERROR(VALUE(TRIM(SUBSTITUTE(BI33,CHAR(160),""))),0)*IFERROR(VALUE(TRIM(SUBSTITUTE($AT33,CHAR(160),""))),0)),
TRUE,0
)
)</f>
        <v/>
      </c>
      <c r="BR33" s="1470" t="str" cm="1">
        <f t="array" ref="BR33">IF($AT33="","",
_xlfn.IFS(
$BL33="Devis 1",
IF(ISBLANK(AZ33),"",IFERROR(VALUE(TRIM(SUBSTITUTE(AZ33,CHAR(160),""))),0)*IFERROR(VALUE(TRIM(SUBSTITUTE($AT33,CHAR(160),""))),0)),
$BL33="Devis 2",
IF(ISBLANK(BE33),"",IFERROR(VALUE(TRIM(SUBSTITUTE(BE33,CHAR(160),""))),0)*IFERROR(VALUE(TRIM(SUBSTITUTE($AT33,CHAR(160),""))),0)),
$BL33="Devis 3",
IF(ISBLANK(BJ33),"",IFERROR(VALUE(TRIM(SUBSTITUTE(BJ33,CHAR(160),""))),0)*IFERROR(VALUE(TRIM(SUBSTITUTE($AT33,CHAR(160),""))),0)),
TRUE,0
)
)</f>
        <v/>
      </c>
      <c r="BS33" s="1470" t="str">
        <f t="shared" si="25"/>
        <v/>
      </c>
      <c r="BT33" s="194"/>
      <c r="BU33" s="216" t="str" cm="1">
        <f t="array" ref="BU33">IF(OR(BS33="",BP33="",BQ33="",BN33="",BR33="",BO33=""),"",_xlfn.IFS(
ROUND(IFERROR(VALUE(TRIM(SUBSTITUTE(BS33,CHAR(160),""))),0),2)&gt;
ROUND(IFERROR(VALUE(TRIM(SUBSTITUTE(BP33,CHAR(160),""))),0),2),
"KO : Le montant retenu TTC est supérieur au montant raisonnable TTC. Merci de revoir la ligne de dépense ou plafonner son montant.",
ROUND(IFERROR(VALUE(TRIM(SUBSTITUTE(BQ33,CHAR(160),""))),0),2)&gt;
ROUND(IFERROR(VALUE(TRIM(SUBSTITUTE(BN33,CHAR(160),""))),0),2),
"Attention : Le montant retenu HT est supérieur au montant HT raisonnable. Merci de revoir la ligne de dépense, plafonner son montant, ou justifier la reventillation HT / TVA.",
ROUND(IFERROR(VALUE(TRIM(SUBSTITUTE(BR33,CHAR(160),""))),0),2)&gt;
ROUND(IFERROR(VALUE(TRIM(SUBSTITUTE(BO33,CHAR(160),""))),0),2),
"Attention : Le montant TVA retenu est supérieur au montant TVA raisonnable. Merci de revoir la ligne de dépense, plafonner son montant, ou justifier la reventillation HT / TVA.",
ROUND(IFERROR(VALUE(TRIM(SUBSTITUTE(BS33,CHAR(160),""))),0),2)&gt;
ROUND(IFERROR(VALUE(TRIM(SUBSTITUTE(MIN(T33,Y33,AD33),CHAR(160),""))),0),2),
"Attention : Le devis retenu n'est pas le moins cher. Une justification de la part du porteur est nécessaire.",
ROUND(IFERROR(VALUE(TRIM(SUBSTITUTE(BS33,CHAR(160),""))),0),2)=0,
"Attention : montant présenté entièrement écarté",
ROUND(IFERROR(VALUE(TRIM(SUBSTITUTE(BP33,CHAR(160),""))),0),2)=
ROUND(IFERROR(VALUE(TRIM(SUBSTITUTE(BS33,CHAR(160),""))),0),2),
"OK",
ROUND(IFERROR(VALUE(TRIM(SUBSTITUTE(BP33,CHAR(160),""))),0),2)&gt;
ROUND(IFERROR(VALUE(TRIM(SUBSTITUTE(BS33,CHAR(160),""))),0),2),
" OK : Montant instruit inférieur au montant raisonnable.",
TRUE,""
))</f>
        <v/>
      </c>
      <c r="BV33" s="57" t="str" cm="1">
        <f t="array" ref="BV33">IF(OR(BS33="",AH33="",BQ33="",AF33="",BR33="",AG33=""),"",_xlfn.IFS(
ROUND(IFERROR(VALUE(TRIM(SUBSTITUTE(BS33,CHAR(160),""))),0),2)&gt;
ROUND(IFERROR(VALUE(TRIM(SUBSTITUTE(AH33,CHAR(160),""))),0),2),
"KO : Le montant retenu TTC est supérieur au montant présenté TTC. Merci de revoir la ligne de dépense ou plafonner son montant.",
ROUND(IFERROR(VALUE(TRIM(SUBSTITUTE(BQ33,CHAR(160),""))),0),2)&gt;
ROUND(IFERROR(VALUE(TRIM(SUBSTITUTE(AF33,CHAR(160),""))),0),2),
"Attention : Le montant retenu HT est supérieur au montant HT présenté. Merci de revoir la ligne de dépense, plafonner son montant, ou justifier la reventillation HT / TVA.",
ROUND(IFERROR(VALUE(TRIM(SUBSTITUTE(BR33,CHAR(160),""))),0),2)&gt;
ROUND(IFERROR(VALUE(TRIM(SUBSTITUTE(AG33,CHAR(160),""))),0),2),
"Attention : Le montant TVA retenu est supérieur au montant TVA présenté. Merci de revoir la ligne de dépense, plafonner son montant, ou justifier la reventillation HT / TVA.",
ROUND(IFERROR(VALUE(TRIM(SUBSTITUTE(AH33,CHAR(160),""))),0),2)=0,
"",
ROUND(IFERROR(VALUE(TRIM(SUBSTITUTE(BS33,CHAR(160),""))),0),2)=
ROUND(IFERROR(VALUE(TRIM(SUBSTITUTE(AH33,CHAR(160),""))),0),2),
"OK",
ROUND(IFERROR(VALUE(TRIM(SUBSTITUTE(BS33,CHAR(160),""))),0),2)=0,
"Attention : Montant présenté entièrement rejeté.",
ROUND(IFERROR(VALUE(TRIM(SUBSTITUTE(BS33,CHAR(160),""))),0),2)&lt;
ROUND(IFERROR(VALUE(TRIM(SUBSTITUTE(AH33,CHAR(160),""))),0),2),
"Attention : Montant présenté partiellement rejeté.",
TRUE,""
))</f>
        <v/>
      </c>
      <c r="BW33" s="1202" t="str">
        <f t="shared" si="15"/>
        <v/>
      </c>
      <c r="BX33" s="1202" t="str">
        <f t="shared" si="16"/>
        <v/>
      </c>
      <c r="BY33" s="1216" t="str">
        <f t="shared" si="17"/>
        <v/>
      </c>
      <c r="CB33"/>
      <c r="CF33" s="185"/>
    </row>
    <row r="34" spans="2:84" ht="20.100000000000001" customHeight="1">
      <c r="B34" s="1206">
        <v>24</v>
      </c>
      <c r="C34" s="11"/>
      <c r="D34" s="11"/>
      <c r="E34" s="22"/>
      <c r="F34" s="22"/>
      <c r="G34" s="22"/>
      <c r="H34" s="22"/>
      <c r="I34" s="11"/>
      <c r="J34" s="1201"/>
      <c r="K34" s="1512"/>
      <c r="L34" s="11"/>
      <c r="M34" s="2"/>
      <c r="N34" s="23"/>
      <c r="O34" s="25"/>
      <c r="P34" s="1552"/>
      <c r="Q34" s="1518"/>
      <c r="R34" s="1517"/>
      <c r="S34" s="1517"/>
      <c r="T34" s="1522" t="str">
        <f t="shared" si="18"/>
        <v/>
      </c>
      <c r="U34" s="1559"/>
      <c r="V34" s="1523"/>
      <c r="W34" s="1524"/>
      <c r="X34" s="1524"/>
      <c r="Y34" s="1539" t="str">
        <f t="shared" si="19"/>
        <v/>
      </c>
      <c r="Z34" s="1567"/>
      <c r="AA34" s="1568"/>
      <c r="AB34" s="1569"/>
      <c r="AC34" s="1569"/>
      <c r="AD34" s="1546" t="str">
        <f t="shared" si="20"/>
        <v/>
      </c>
      <c r="AE34" s="6"/>
      <c r="AF34" s="1202" t="str" cm="1">
        <f t="array" ref="AF34">IF((_xlfn.IFS(TRIM(SUBSTITUTE(AE34,CHAR(160),""))="Devis 1",IFERROR(VALUE(TRIM(SUBSTITUTE(R34,CHAR(160),""))),0),TRIM(SUBSTITUTE(AE34,CHAR(160),""))="Devis 2",IFERROR(VALUE(TRIM(SUBSTITUTE(W34,CHAR(160),""))),0),TRIM(SUBSTITUTE(AE34,CHAR(160),""))="Devis 3",IFERROR(VALUE(TRIM(SUBSTITUTE(AB34,CHAR(160),""))),0),TRUE,0)*IFERROR(VALUE(TRIM(SUBSTITUTE(M34,CHAR(160),""))),0))=0,"",_xlfn.IFS(TRIM(SUBSTITUTE(AE34,CHAR(160),""))="Devis 1",IFERROR(VALUE(TRIM(SUBSTITUTE(R34,CHAR(160),""))),0),TRIM(SUBSTITUTE(AE34,CHAR(160),""))="Devis 2",IFERROR(VALUE(TRIM(SUBSTITUTE(W34,CHAR(160),""))),0),TRIM(SUBSTITUTE(AE34,CHAR(160),""))="Devis 3",IFERROR(VALUE(TRIM(SUBSTITUTE(AB34,CHAR(160),""))),0),TRUE,0)*IFERROR(VALUE(TRIM(SUBSTITUTE(M34,CHAR(160),""))),0))</f>
        <v/>
      </c>
      <c r="AG34" s="1202" t="str" cm="1">
        <f t="array" ref="AG34">IF((_xlfn.IFS(TRIM(SUBSTITUTE(AE34,CHAR(160),""))="Devis 1",IFERROR(VALUE(TRIM(SUBSTITUTE(S34,CHAR(160),""))),0),TRIM(SUBSTITUTE(AE34,CHAR(160),""))="Devis 2",IFERROR(VALUE(TRIM(SUBSTITUTE(X34,CHAR(160),""))),0),TRIM(SUBSTITUTE(AE34,CHAR(160),""))="Devis 3",IFERROR(VALUE(TRIM(SUBSTITUTE(AC34,CHAR(160),""))),0),TRUE,0)*IFERROR(VALUE(TRIM(SUBSTITUTE(M34,CHAR(160),""))),0))=0,"",_xlfn.IFS(TRIM(SUBSTITUTE(AE34,CHAR(160),""))="Devis 1",IFERROR(VALUE(TRIM(SUBSTITUTE(S34,CHAR(160),""))),0),TRIM(SUBSTITUTE(AF34,CHAR(160),""))="Devis 2",IFERROR(VALUE(TRIM(SUBSTITUTE(X34,CHAR(160),""))),0),TRIM(SUBSTITUTE(AF34,CHAR(160),""))="Devis 3",IFERROR(VALUE(TRIM(SUBSTITUTE(AC34,CHAR(160),""))),0),TRUE,0)*IFERROR(VALUE(TRIM(SUBSTITUTE(M34,CHAR(160),""))),0))</f>
        <v/>
      </c>
      <c r="AH34" s="1202" t="str" cm="1">
        <f t="array" ref="AH34">IF((_xlfn.IFS(TRIM(SUBSTITUTE(AE34,CHAR(160),""))="Devis 1",IFERROR(VALUE(TRIM(SUBSTITUTE(T34,CHAR(160),""))),0),TRIM(SUBSTITUTE(AE34,CHAR(160),""))="Devis 2",IFERROR(VALUE(TRIM(SUBSTITUTE(Y34,CHAR(160),""))),0),TRIM(SUBSTITUTE(AE34,CHAR(160),""))="Devis 3",IFERROR(VALUE(TRIM(SUBSTITUTE(AD34,CHAR(160),""))),0),TRUE,0)*IFERROR(VALUE(TRIM(SUBSTITUTE(M34,CHAR(160),""))),0))=0,"",_xlfn.IFS(TRIM(SUBSTITUTE(AE34,CHAR(160),""))="Devis 1",IFERROR(VALUE(TRIM(SUBSTITUTE(T34,CHAR(160),""))),0),TRIM(SUBSTITUTE(AE34,CHAR(160),""))="Devis 2",IFERROR(VALUE(TRIM(SUBSTITUTE(Y34,CHAR(160),""))),0),TRIM(SUBSTITUTE(AE34,CHAR(160),""))="Devis 3",IFERROR(VALUE(TRIM(SUBSTITUTE(AD34,CHAR(160),""))),0),TRUE,0)*IFERROR(VALUE(TRIM(SUBSTITUTE(M34,CHAR(160),""))),0))</f>
        <v/>
      </c>
      <c r="AI34" s="488"/>
      <c r="AJ34" s="215" t="str">
        <f t="shared" si="26"/>
        <v/>
      </c>
      <c r="AK34" s="57" t="str">
        <f t="shared" si="27"/>
        <v/>
      </c>
      <c r="AL34" s="57" t="str">
        <f t="shared" si="28"/>
        <v/>
      </c>
      <c r="AM34" s="57" t="str">
        <f t="shared" si="29"/>
        <v/>
      </c>
      <c r="AN34" s="57" t="str">
        <f t="shared" si="21"/>
        <v/>
      </c>
      <c r="AO34" s="57" t="str">
        <f t="shared" si="30"/>
        <v/>
      </c>
      <c r="AP34" s="57" t="str">
        <f t="shared" si="31"/>
        <v/>
      </c>
      <c r="AQ34" s="57" t="str">
        <f t="shared" si="32"/>
        <v/>
      </c>
      <c r="AR34" s="57" t="str">
        <f t="shared" si="33"/>
        <v/>
      </c>
      <c r="AS34" s="57" t="str">
        <f t="shared" si="34"/>
        <v/>
      </c>
      <c r="AT34" s="1172" t="str">
        <f t="shared" si="35"/>
        <v/>
      </c>
      <c r="AU34" s="57" t="str">
        <f t="shared" si="36"/>
        <v/>
      </c>
      <c r="AV34" s="691" t="str">
        <f t="shared" si="37"/>
        <v/>
      </c>
      <c r="AW34" s="1533" t="str">
        <f t="shared" si="38"/>
        <v/>
      </c>
      <c r="AX34" s="1521" t="str">
        <f t="shared" si="39"/>
        <v/>
      </c>
      <c r="AY34" s="1663" t="str">
        <f t="shared" si="40"/>
        <v/>
      </c>
      <c r="AZ34" s="1663" t="str">
        <f t="shared" si="41"/>
        <v/>
      </c>
      <c r="BA34" s="1522" t="str">
        <f t="shared" si="2"/>
        <v/>
      </c>
      <c r="BB34" s="1527" t="str">
        <f t="shared" si="3"/>
        <v/>
      </c>
      <c r="BC34" s="1528" t="str">
        <f t="shared" si="4"/>
        <v/>
      </c>
      <c r="BD34" s="1654" t="str">
        <f t="shared" si="5"/>
        <v/>
      </c>
      <c r="BE34" s="1657" t="str">
        <f t="shared" si="6"/>
        <v/>
      </c>
      <c r="BF34" s="1539" t="str">
        <f t="shared" si="7"/>
        <v/>
      </c>
      <c r="BG34" s="1544" t="str">
        <f t="shared" si="8"/>
        <v/>
      </c>
      <c r="BH34" s="1545" t="str">
        <f t="shared" si="9"/>
        <v/>
      </c>
      <c r="BI34" s="1660" t="str">
        <f t="shared" si="10"/>
        <v/>
      </c>
      <c r="BJ34" s="1660" t="str">
        <f t="shared" si="11"/>
        <v/>
      </c>
      <c r="BK34" s="1546" t="str">
        <f t="shared" si="12"/>
        <v/>
      </c>
      <c r="BL34" s="1467" t="str">
        <f t="shared" si="22"/>
        <v/>
      </c>
      <c r="BM34" s="260"/>
      <c r="BN34" s="1667" t="str">
        <f t="shared" si="23"/>
        <v/>
      </c>
      <c r="BO34" s="1667" t="str">
        <f t="shared" si="24"/>
        <v/>
      </c>
      <c r="BP34" s="300" t="str">
        <f t="shared" si="14"/>
        <v/>
      </c>
      <c r="BQ34" s="1470" t="str" cm="1">
        <f t="array" ref="BQ34">IF($AT34="","",
_xlfn.IFS(
$BL34="Devis 1",
IF(ISBLANK(AY34),"",IFERROR(VALUE(TRIM(SUBSTITUTE(AY34,CHAR(160),""))),0)*IFERROR(VALUE(TRIM(SUBSTITUTE($AT34,CHAR(160),""))),0)),
$BL34="Devis 2",
IF(ISBLANK(BD34),"",IFERROR(VALUE(TRIM(SUBSTITUTE(BD34,CHAR(160),""))),0)*IFERROR(VALUE(TRIM(SUBSTITUTE($AT34,CHAR(160),""))),0)),
$BL34="Devis 3",
IF(ISBLANK(BI34),"",IFERROR(VALUE(TRIM(SUBSTITUTE(BI34,CHAR(160),""))),0)*IFERROR(VALUE(TRIM(SUBSTITUTE($AT34,CHAR(160),""))),0)),
TRUE,0
)
)</f>
        <v/>
      </c>
      <c r="BR34" s="1470" t="str" cm="1">
        <f t="array" ref="BR34">IF($AT34="","",
_xlfn.IFS(
$BL34="Devis 1",
IF(ISBLANK(AZ34),"",IFERROR(VALUE(TRIM(SUBSTITUTE(AZ34,CHAR(160),""))),0)*IFERROR(VALUE(TRIM(SUBSTITUTE($AT34,CHAR(160),""))),0)),
$BL34="Devis 2",
IF(ISBLANK(BE34),"",IFERROR(VALUE(TRIM(SUBSTITUTE(BE34,CHAR(160),""))),0)*IFERROR(VALUE(TRIM(SUBSTITUTE($AT34,CHAR(160),""))),0)),
$BL34="Devis 3",
IF(ISBLANK(BJ34),"",IFERROR(VALUE(TRIM(SUBSTITUTE(BJ34,CHAR(160),""))),0)*IFERROR(VALUE(TRIM(SUBSTITUTE($AT34,CHAR(160),""))),0)),
TRUE,0
)
)</f>
        <v/>
      </c>
      <c r="BS34" s="1470" t="str">
        <f t="shared" si="25"/>
        <v/>
      </c>
      <c r="BT34" s="194"/>
      <c r="BU34" s="216" t="str" cm="1">
        <f t="array" ref="BU34">IF(OR(BS34="",BP34="",BQ34="",BN34="",BR34="",BO34=""),"",_xlfn.IFS(
ROUND(IFERROR(VALUE(TRIM(SUBSTITUTE(BS34,CHAR(160),""))),0),2)&gt;
ROUND(IFERROR(VALUE(TRIM(SUBSTITUTE(BP34,CHAR(160),""))),0),2),
"KO : Le montant retenu TTC est supérieur au montant raisonnable TTC. Merci de revoir la ligne de dépense ou plafonner son montant.",
ROUND(IFERROR(VALUE(TRIM(SUBSTITUTE(BQ34,CHAR(160),""))),0),2)&gt;
ROUND(IFERROR(VALUE(TRIM(SUBSTITUTE(BN34,CHAR(160),""))),0),2),
"Attention : Le montant retenu HT est supérieur au montant HT raisonnable. Merci de revoir la ligne de dépense, plafonner son montant, ou justifier la reventillation HT / TVA.",
ROUND(IFERROR(VALUE(TRIM(SUBSTITUTE(BR34,CHAR(160),""))),0),2)&gt;
ROUND(IFERROR(VALUE(TRIM(SUBSTITUTE(BO34,CHAR(160),""))),0),2),
"Attention : Le montant TVA retenu est supérieur au montant TVA raisonnable. Merci de revoir la ligne de dépense, plafonner son montant, ou justifier la reventillation HT / TVA.",
ROUND(IFERROR(VALUE(TRIM(SUBSTITUTE(BS34,CHAR(160),""))),0),2)&gt;
ROUND(IFERROR(VALUE(TRIM(SUBSTITUTE(MIN(T34,Y34,AD34),CHAR(160),""))),0),2),
"Attention : Le devis retenu n'est pas le moins cher. Une justification de la part du porteur est nécessaire.",
ROUND(IFERROR(VALUE(TRIM(SUBSTITUTE(BS34,CHAR(160),""))),0),2)=0,
"Attention : montant présenté entièrement écarté",
ROUND(IFERROR(VALUE(TRIM(SUBSTITUTE(BP34,CHAR(160),""))),0),2)=
ROUND(IFERROR(VALUE(TRIM(SUBSTITUTE(BS34,CHAR(160),""))),0),2),
"OK",
ROUND(IFERROR(VALUE(TRIM(SUBSTITUTE(BP34,CHAR(160),""))),0),2)&gt;
ROUND(IFERROR(VALUE(TRIM(SUBSTITUTE(BS34,CHAR(160),""))),0),2),
" OK : Montant instruit inférieur au montant raisonnable.",
TRUE,""
))</f>
        <v/>
      </c>
      <c r="BV34" s="57" t="str" cm="1">
        <f t="array" ref="BV34">IF(OR(BS34="",AH34="",BQ34="",AF34="",BR34="",AG34=""),"",_xlfn.IFS(
ROUND(IFERROR(VALUE(TRIM(SUBSTITUTE(BS34,CHAR(160),""))),0),2)&gt;
ROUND(IFERROR(VALUE(TRIM(SUBSTITUTE(AH34,CHAR(160),""))),0),2),
"KO : Le montant retenu TTC est supérieur au montant présenté TTC. Merci de revoir la ligne de dépense ou plafonner son montant.",
ROUND(IFERROR(VALUE(TRIM(SUBSTITUTE(BQ34,CHAR(160),""))),0),2)&gt;
ROUND(IFERROR(VALUE(TRIM(SUBSTITUTE(AF34,CHAR(160),""))),0),2),
"Attention : Le montant retenu HT est supérieur au montant HT présenté. Merci de revoir la ligne de dépense, plafonner son montant, ou justifier la reventillation HT / TVA.",
ROUND(IFERROR(VALUE(TRIM(SUBSTITUTE(BR34,CHAR(160),""))),0),2)&gt;
ROUND(IFERROR(VALUE(TRIM(SUBSTITUTE(AG34,CHAR(160),""))),0),2),
"Attention : Le montant TVA retenu est supérieur au montant TVA présenté. Merci de revoir la ligne de dépense, plafonner son montant, ou justifier la reventillation HT / TVA.",
ROUND(IFERROR(VALUE(TRIM(SUBSTITUTE(AH34,CHAR(160),""))),0),2)=0,
"",
ROUND(IFERROR(VALUE(TRIM(SUBSTITUTE(BS34,CHAR(160),""))),0),2)=
ROUND(IFERROR(VALUE(TRIM(SUBSTITUTE(AH34,CHAR(160),""))),0),2),
"OK",
ROUND(IFERROR(VALUE(TRIM(SUBSTITUTE(BS34,CHAR(160),""))),0),2)=0,
"Attention : Montant présenté entièrement rejeté.",
ROUND(IFERROR(VALUE(TRIM(SUBSTITUTE(BS34,CHAR(160),""))),0),2)&lt;
ROUND(IFERROR(VALUE(TRIM(SUBSTITUTE(AH34,CHAR(160),""))),0),2),
"Attention : Montant présenté partiellement rejeté.",
TRUE,""
))</f>
        <v/>
      </c>
      <c r="BW34" s="1202" t="str">
        <f t="shared" si="15"/>
        <v/>
      </c>
      <c r="BX34" s="1202" t="str">
        <f t="shared" si="16"/>
        <v/>
      </c>
      <c r="BY34" s="1216" t="str">
        <f t="shared" si="17"/>
        <v/>
      </c>
      <c r="CB34"/>
      <c r="CF34" s="185"/>
    </row>
    <row r="35" spans="2:84" ht="20.100000000000001" customHeight="1">
      <c r="B35" s="1206">
        <v>25</v>
      </c>
      <c r="C35" s="11"/>
      <c r="D35" s="11"/>
      <c r="E35" s="22"/>
      <c r="F35" s="22"/>
      <c r="G35" s="22"/>
      <c r="H35" s="22"/>
      <c r="I35" s="11"/>
      <c r="J35" s="1201"/>
      <c r="K35" s="1512"/>
      <c r="L35" s="11"/>
      <c r="M35" s="2"/>
      <c r="N35" s="23"/>
      <c r="O35" s="25"/>
      <c r="P35" s="1552"/>
      <c r="Q35" s="1518"/>
      <c r="R35" s="1517"/>
      <c r="S35" s="1517"/>
      <c r="T35" s="1522" t="str">
        <f t="shared" si="18"/>
        <v/>
      </c>
      <c r="U35" s="1559"/>
      <c r="V35" s="1523"/>
      <c r="W35" s="1524"/>
      <c r="X35" s="1524"/>
      <c r="Y35" s="1539" t="str">
        <f t="shared" si="19"/>
        <v/>
      </c>
      <c r="Z35" s="1567"/>
      <c r="AA35" s="1568"/>
      <c r="AB35" s="1569"/>
      <c r="AC35" s="1569"/>
      <c r="AD35" s="1546" t="str">
        <f t="shared" si="20"/>
        <v/>
      </c>
      <c r="AE35" s="6"/>
      <c r="AF35" s="1202" t="str" cm="1">
        <f t="array" ref="AF35">IF((_xlfn.IFS(TRIM(SUBSTITUTE(AE35,CHAR(160),""))="Devis 1",IFERROR(VALUE(TRIM(SUBSTITUTE(R35,CHAR(160),""))),0),TRIM(SUBSTITUTE(AE35,CHAR(160),""))="Devis 2",IFERROR(VALUE(TRIM(SUBSTITUTE(W35,CHAR(160),""))),0),TRIM(SUBSTITUTE(AE35,CHAR(160),""))="Devis 3",IFERROR(VALUE(TRIM(SUBSTITUTE(AB35,CHAR(160),""))),0),TRUE,0)*IFERROR(VALUE(TRIM(SUBSTITUTE(M35,CHAR(160),""))),0))=0,"",_xlfn.IFS(TRIM(SUBSTITUTE(AE35,CHAR(160),""))="Devis 1",IFERROR(VALUE(TRIM(SUBSTITUTE(R35,CHAR(160),""))),0),TRIM(SUBSTITUTE(AE35,CHAR(160),""))="Devis 2",IFERROR(VALUE(TRIM(SUBSTITUTE(W35,CHAR(160),""))),0),TRIM(SUBSTITUTE(AE35,CHAR(160),""))="Devis 3",IFERROR(VALUE(TRIM(SUBSTITUTE(AB35,CHAR(160),""))),0),TRUE,0)*IFERROR(VALUE(TRIM(SUBSTITUTE(M35,CHAR(160),""))),0))</f>
        <v/>
      </c>
      <c r="AG35" s="1202" t="str" cm="1">
        <f t="array" ref="AG35">IF((_xlfn.IFS(TRIM(SUBSTITUTE(AE35,CHAR(160),""))="Devis 1",IFERROR(VALUE(TRIM(SUBSTITUTE(S35,CHAR(160),""))),0),TRIM(SUBSTITUTE(AE35,CHAR(160),""))="Devis 2",IFERROR(VALUE(TRIM(SUBSTITUTE(X35,CHAR(160),""))),0),TRIM(SUBSTITUTE(AE35,CHAR(160),""))="Devis 3",IFERROR(VALUE(TRIM(SUBSTITUTE(AC35,CHAR(160),""))),0),TRUE,0)*IFERROR(VALUE(TRIM(SUBSTITUTE(M35,CHAR(160),""))),0))=0,"",_xlfn.IFS(TRIM(SUBSTITUTE(AE35,CHAR(160),""))="Devis 1",IFERROR(VALUE(TRIM(SUBSTITUTE(S35,CHAR(160),""))),0),TRIM(SUBSTITUTE(AF35,CHAR(160),""))="Devis 2",IFERROR(VALUE(TRIM(SUBSTITUTE(X35,CHAR(160),""))),0),TRIM(SUBSTITUTE(AF35,CHAR(160),""))="Devis 3",IFERROR(VALUE(TRIM(SUBSTITUTE(AC35,CHAR(160),""))),0),TRUE,0)*IFERROR(VALUE(TRIM(SUBSTITUTE(M35,CHAR(160),""))),0))</f>
        <v/>
      </c>
      <c r="AH35" s="1202" t="str" cm="1">
        <f t="array" ref="AH35">IF((_xlfn.IFS(TRIM(SUBSTITUTE(AE35,CHAR(160),""))="Devis 1",IFERROR(VALUE(TRIM(SUBSTITUTE(T35,CHAR(160),""))),0),TRIM(SUBSTITUTE(AE35,CHAR(160),""))="Devis 2",IFERROR(VALUE(TRIM(SUBSTITUTE(Y35,CHAR(160),""))),0),TRIM(SUBSTITUTE(AE35,CHAR(160),""))="Devis 3",IFERROR(VALUE(TRIM(SUBSTITUTE(AD35,CHAR(160),""))),0),TRUE,0)*IFERROR(VALUE(TRIM(SUBSTITUTE(M35,CHAR(160),""))),0))=0,"",_xlfn.IFS(TRIM(SUBSTITUTE(AE35,CHAR(160),""))="Devis 1",IFERROR(VALUE(TRIM(SUBSTITUTE(T35,CHAR(160),""))),0),TRIM(SUBSTITUTE(AE35,CHAR(160),""))="Devis 2",IFERROR(VALUE(TRIM(SUBSTITUTE(Y35,CHAR(160),""))),0),TRIM(SUBSTITUTE(AE35,CHAR(160),""))="Devis 3",IFERROR(VALUE(TRIM(SUBSTITUTE(AD35,CHAR(160),""))),0),TRUE,0)*IFERROR(VALUE(TRIM(SUBSTITUTE(M35,CHAR(160),""))),0))</f>
        <v/>
      </c>
      <c r="AI35" s="488"/>
      <c r="AJ35" s="215" t="str">
        <f t="shared" si="26"/>
        <v/>
      </c>
      <c r="AK35" s="57" t="str">
        <f t="shared" si="27"/>
        <v/>
      </c>
      <c r="AL35" s="57" t="str">
        <f t="shared" si="28"/>
        <v/>
      </c>
      <c r="AM35" s="57" t="str">
        <f t="shared" si="29"/>
        <v/>
      </c>
      <c r="AN35" s="57" t="str">
        <f t="shared" si="21"/>
        <v/>
      </c>
      <c r="AO35" s="57" t="str">
        <f t="shared" si="30"/>
        <v/>
      </c>
      <c r="AP35" s="57" t="str">
        <f t="shared" si="31"/>
        <v/>
      </c>
      <c r="AQ35" s="57" t="str">
        <f t="shared" si="32"/>
        <v/>
      </c>
      <c r="AR35" s="57" t="str">
        <f t="shared" si="33"/>
        <v/>
      </c>
      <c r="AS35" s="57" t="str">
        <f t="shared" si="34"/>
        <v/>
      </c>
      <c r="AT35" s="1172" t="str">
        <f t="shared" si="35"/>
        <v/>
      </c>
      <c r="AU35" s="57" t="str">
        <f t="shared" si="36"/>
        <v/>
      </c>
      <c r="AV35" s="691" t="str">
        <f t="shared" si="37"/>
        <v/>
      </c>
      <c r="AW35" s="1533" t="str">
        <f t="shared" si="38"/>
        <v/>
      </c>
      <c r="AX35" s="1521" t="str">
        <f t="shared" si="39"/>
        <v/>
      </c>
      <c r="AY35" s="1663" t="str">
        <f t="shared" si="40"/>
        <v/>
      </c>
      <c r="AZ35" s="1663" t="str">
        <f t="shared" si="41"/>
        <v/>
      </c>
      <c r="BA35" s="1522" t="str">
        <f t="shared" si="2"/>
        <v/>
      </c>
      <c r="BB35" s="1527" t="str">
        <f t="shared" si="3"/>
        <v/>
      </c>
      <c r="BC35" s="1528" t="str">
        <f t="shared" si="4"/>
        <v/>
      </c>
      <c r="BD35" s="1654" t="str">
        <f t="shared" si="5"/>
        <v/>
      </c>
      <c r="BE35" s="1657" t="str">
        <f t="shared" si="6"/>
        <v/>
      </c>
      <c r="BF35" s="1539" t="str">
        <f t="shared" si="7"/>
        <v/>
      </c>
      <c r="BG35" s="1544" t="str">
        <f t="shared" si="8"/>
        <v/>
      </c>
      <c r="BH35" s="1545" t="str">
        <f t="shared" si="9"/>
        <v/>
      </c>
      <c r="BI35" s="1660" t="str">
        <f t="shared" si="10"/>
        <v/>
      </c>
      <c r="BJ35" s="1660" t="str">
        <f t="shared" si="11"/>
        <v/>
      </c>
      <c r="BK35" s="1546" t="str">
        <f t="shared" si="12"/>
        <v/>
      </c>
      <c r="BL35" s="1467" t="str">
        <f t="shared" si="22"/>
        <v/>
      </c>
      <c r="BM35" s="260"/>
      <c r="BN35" s="1667" t="str">
        <f t="shared" si="23"/>
        <v/>
      </c>
      <c r="BO35" s="1667" t="str">
        <f t="shared" si="24"/>
        <v/>
      </c>
      <c r="BP35" s="300" t="str">
        <f t="shared" si="14"/>
        <v/>
      </c>
      <c r="BQ35" s="1470" t="str" cm="1">
        <f t="array" ref="BQ35">IF($AT35="","",
_xlfn.IFS(
$BL35="Devis 1",
IF(ISBLANK(AY35),"",IFERROR(VALUE(TRIM(SUBSTITUTE(AY35,CHAR(160),""))),0)*IFERROR(VALUE(TRIM(SUBSTITUTE($AT35,CHAR(160),""))),0)),
$BL35="Devis 2",
IF(ISBLANK(BD35),"",IFERROR(VALUE(TRIM(SUBSTITUTE(BD35,CHAR(160),""))),0)*IFERROR(VALUE(TRIM(SUBSTITUTE($AT35,CHAR(160),""))),0)),
$BL35="Devis 3",
IF(ISBLANK(BI35),"",IFERROR(VALUE(TRIM(SUBSTITUTE(BI35,CHAR(160),""))),0)*IFERROR(VALUE(TRIM(SUBSTITUTE($AT35,CHAR(160),""))),0)),
TRUE,0
)
)</f>
        <v/>
      </c>
      <c r="BR35" s="1470" t="str" cm="1">
        <f t="array" ref="BR35">IF($AT35="","",
_xlfn.IFS(
$BL35="Devis 1",
IF(ISBLANK(AZ35),"",IFERROR(VALUE(TRIM(SUBSTITUTE(AZ35,CHAR(160),""))),0)*IFERROR(VALUE(TRIM(SUBSTITUTE($AT35,CHAR(160),""))),0)),
$BL35="Devis 2",
IF(ISBLANK(BE35),"",IFERROR(VALUE(TRIM(SUBSTITUTE(BE35,CHAR(160),""))),0)*IFERROR(VALUE(TRIM(SUBSTITUTE($AT35,CHAR(160),""))),0)),
$BL35="Devis 3",
IF(ISBLANK(BJ35),"",IFERROR(VALUE(TRIM(SUBSTITUTE(BJ35,CHAR(160),""))),0)*IFERROR(VALUE(TRIM(SUBSTITUTE($AT35,CHAR(160),""))),0)),
TRUE,0
)
)</f>
        <v/>
      </c>
      <c r="BS35" s="1470" t="str">
        <f t="shared" si="25"/>
        <v/>
      </c>
      <c r="BT35" s="194"/>
      <c r="BU35" s="216" t="str" cm="1">
        <f t="array" ref="BU35">IF(OR(BS35="",BP35="",BQ35="",BN35="",BR35="",BO35=""),"",_xlfn.IFS(
ROUND(IFERROR(VALUE(TRIM(SUBSTITUTE(BS35,CHAR(160),""))),0),2)&gt;
ROUND(IFERROR(VALUE(TRIM(SUBSTITUTE(BP35,CHAR(160),""))),0),2),
"KO : Le montant retenu TTC est supérieur au montant raisonnable TTC. Merci de revoir la ligne de dépense ou plafonner son montant.",
ROUND(IFERROR(VALUE(TRIM(SUBSTITUTE(BQ35,CHAR(160),""))),0),2)&gt;
ROUND(IFERROR(VALUE(TRIM(SUBSTITUTE(BN35,CHAR(160),""))),0),2),
"Attention : Le montant retenu HT est supérieur au montant HT raisonnable. Merci de revoir la ligne de dépense, plafonner son montant, ou justifier la reventillation HT / TVA.",
ROUND(IFERROR(VALUE(TRIM(SUBSTITUTE(BR35,CHAR(160),""))),0),2)&gt;
ROUND(IFERROR(VALUE(TRIM(SUBSTITUTE(BO35,CHAR(160),""))),0),2),
"Attention : Le montant TVA retenu est supérieur au montant TVA raisonnable. Merci de revoir la ligne de dépense, plafonner son montant, ou justifier la reventillation HT / TVA.",
ROUND(IFERROR(VALUE(TRIM(SUBSTITUTE(BS35,CHAR(160),""))),0),2)&gt;
ROUND(IFERROR(VALUE(TRIM(SUBSTITUTE(MIN(T35,Y35,AD35),CHAR(160),""))),0),2),
"Attention : Le devis retenu n'est pas le moins cher. Une justification de la part du porteur est nécessaire.",
ROUND(IFERROR(VALUE(TRIM(SUBSTITUTE(BS35,CHAR(160),""))),0),2)=0,
"Attention : montant présenté entièrement écarté",
ROUND(IFERROR(VALUE(TRIM(SUBSTITUTE(BP35,CHAR(160),""))),0),2)=
ROUND(IFERROR(VALUE(TRIM(SUBSTITUTE(BS35,CHAR(160),""))),0),2),
"OK",
ROUND(IFERROR(VALUE(TRIM(SUBSTITUTE(BP35,CHAR(160),""))),0),2)&gt;
ROUND(IFERROR(VALUE(TRIM(SUBSTITUTE(BS35,CHAR(160),""))),0),2),
" OK : Montant instruit inférieur au montant raisonnable.",
TRUE,""
))</f>
        <v/>
      </c>
      <c r="BV35" s="57" t="str" cm="1">
        <f t="array" ref="BV35">IF(OR(BS35="",AH35="",BQ35="",AF35="",BR35="",AG35=""),"",_xlfn.IFS(
ROUND(IFERROR(VALUE(TRIM(SUBSTITUTE(BS35,CHAR(160),""))),0),2)&gt;
ROUND(IFERROR(VALUE(TRIM(SUBSTITUTE(AH35,CHAR(160),""))),0),2),
"KO : Le montant retenu TTC est supérieur au montant présenté TTC. Merci de revoir la ligne de dépense ou plafonner son montant.",
ROUND(IFERROR(VALUE(TRIM(SUBSTITUTE(BQ35,CHAR(160),""))),0),2)&gt;
ROUND(IFERROR(VALUE(TRIM(SUBSTITUTE(AF35,CHAR(160),""))),0),2),
"Attention : Le montant retenu HT est supérieur au montant HT présenté. Merci de revoir la ligne de dépense, plafonner son montant, ou justifier la reventillation HT / TVA.",
ROUND(IFERROR(VALUE(TRIM(SUBSTITUTE(BR35,CHAR(160),""))),0),2)&gt;
ROUND(IFERROR(VALUE(TRIM(SUBSTITUTE(AG35,CHAR(160),""))),0),2),
"Attention : Le montant TVA retenu est supérieur au montant TVA présenté. Merci de revoir la ligne de dépense, plafonner son montant, ou justifier la reventillation HT / TVA.",
ROUND(IFERROR(VALUE(TRIM(SUBSTITUTE(AH35,CHAR(160),""))),0),2)=0,
"",
ROUND(IFERROR(VALUE(TRIM(SUBSTITUTE(BS35,CHAR(160),""))),0),2)=
ROUND(IFERROR(VALUE(TRIM(SUBSTITUTE(AH35,CHAR(160),""))),0),2),
"OK",
ROUND(IFERROR(VALUE(TRIM(SUBSTITUTE(BS35,CHAR(160),""))),0),2)=0,
"Attention : Montant présenté entièrement rejeté.",
ROUND(IFERROR(VALUE(TRIM(SUBSTITUTE(BS35,CHAR(160),""))),0),2)&lt;
ROUND(IFERROR(VALUE(TRIM(SUBSTITUTE(AH35,CHAR(160),""))),0),2),
"Attention : Montant présenté partiellement rejeté.",
TRUE,""
))</f>
        <v/>
      </c>
      <c r="BW35" s="1202" t="str">
        <f t="shared" si="15"/>
        <v/>
      </c>
      <c r="BX35" s="1202" t="str">
        <f t="shared" si="16"/>
        <v/>
      </c>
      <c r="BY35" s="1216" t="str">
        <f t="shared" si="17"/>
        <v/>
      </c>
      <c r="CB35"/>
      <c r="CF35" s="185"/>
    </row>
    <row r="36" spans="2:84" ht="20.100000000000001" customHeight="1">
      <c r="B36" s="1206">
        <v>26</v>
      </c>
      <c r="C36" s="11"/>
      <c r="D36" s="11"/>
      <c r="E36" s="22"/>
      <c r="F36" s="22"/>
      <c r="G36" s="22"/>
      <c r="H36" s="22"/>
      <c r="I36" s="11"/>
      <c r="J36" s="1201"/>
      <c r="K36" s="1512"/>
      <c r="L36" s="11"/>
      <c r="M36" s="2"/>
      <c r="N36" s="23"/>
      <c r="O36" s="25"/>
      <c r="P36" s="1552"/>
      <c r="Q36" s="1518"/>
      <c r="R36" s="1517"/>
      <c r="S36" s="1517"/>
      <c r="T36" s="1522" t="str">
        <f t="shared" si="18"/>
        <v/>
      </c>
      <c r="U36" s="1559"/>
      <c r="V36" s="1523"/>
      <c r="W36" s="1524"/>
      <c r="X36" s="1524"/>
      <c r="Y36" s="1539" t="str">
        <f t="shared" si="19"/>
        <v/>
      </c>
      <c r="Z36" s="1567"/>
      <c r="AA36" s="1568"/>
      <c r="AB36" s="1569"/>
      <c r="AC36" s="1569"/>
      <c r="AD36" s="1546" t="str">
        <f t="shared" si="20"/>
        <v/>
      </c>
      <c r="AE36" s="6"/>
      <c r="AF36" s="1202" t="str" cm="1">
        <f t="array" ref="AF36">IF((_xlfn.IFS(TRIM(SUBSTITUTE(AE36,CHAR(160),""))="Devis 1",IFERROR(VALUE(TRIM(SUBSTITUTE(R36,CHAR(160),""))),0),TRIM(SUBSTITUTE(AE36,CHAR(160),""))="Devis 2",IFERROR(VALUE(TRIM(SUBSTITUTE(W36,CHAR(160),""))),0),TRIM(SUBSTITUTE(AE36,CHAR(160),""))="Devis 3",IFERROR(VALUE(TRIM(SUBSTITUTE(AB36,CHAR(160),""))),0),TRUE,0)*IFERROR(VALUE(TRIM(SUBSTITUTE(M36,CHAR(160),""))),0))=0,"",_xlfn.IFS(TRIM(SUBSTITUTE(AE36,CHAR(160),""))="Devis 1",IFERROR(VALUE(TRIM(SUBSTITUTE(R36,CHAR(160),""))),0),TRIM(SUBSTITUTE(AE36,CHAR(160),""))="Devis 2",IFERROR(VALUE(TRIM(SUBSTITUTE(W36,CHAR(160),""))),0),TRIM(SUBSTITUTE(AE36,CHAR(160),""))="Devis 3",IFERROR(VALUE(TRIM(SUBSTITUTE(AB36,CHAR(160),""))),0),TRUE,0)*IFERROR(VALUE(TRIM(SUBSTITUTE(M36,CHAR(160),""))),0))</f>
        <v/>
      </c>
      <c r="AG36" s="1202" t="str" cm="1">
        <f t="array" ref="AG36">IF((_xlfn.IFS(TRIM(SUBSTITUTE(AE36,CHAR(160),""))="Devis 1",IFERROR(VALUE(TRIM(SUBSTITUTE(S36,CHAR(160),""))),0),TRIM(SUBSTITUTE(AE36,CHAR(160),""))="Devis 2",IFERROR(VALUE(TRIM(SUBSTITUTE(X36,CHAR(160),""))),0),TRIM(SUBSTITUTE(AE36,CHAR(160),""))="Devis 3",IFERROR(VALUE(TRIM(SUBSTITUTE(AC36,CHAR(160),""))),0),TRUE,0)*IFERROR(VALUE(TRIM(SUBSTITUTE(M36,CHAR(160),""))),0))=0,"",_xlfn.IFS(TRIM(SUBSTITUTE(AE36,CHAR(160),""))="Devis 1",IFERROR(VALUE(TRIM(SUBSTITUTE(S36,CHAR(160),""))),0),TRIM(SUBSTITUTE(AF36,CHAR(160),""))="Devis 2",IFERROR(VALUE(TRIM(SUBSTITUTE(X36,CHAR(160),""))),0),TRIM(SUBSTITUTE(AF36,CHAR(160),""))="Devis 3",IFERROR(VALUE(TRIM(SUBSTITUTE(AC36,CHAR(160),""))),0),TRUE,0)*IFERROR(VALUE(TRIM(SUBSTITUTE(M36,CHAR(160),""))),0))</f>
        <v/>
      </c>
      <c r="AH36" s="1202" t="str" cm="1">
        <f t="array" ref="AH36">IF((_xlfn.IFS(TRIM(SUBSTITUTE(AE36,CHAR(160),""))="Devis 1",IFERROR(VALUE(TRIM(SUBSTITUTE(T36,CHAR(160),""))),0),TRIM(SUBSTITUTE(AE36,CHAR(160),""))="Devis 2",IFERROR(VALUE(TRIM(SUBSTITUTE(Y36,CHAR(160),""))),0),TRIM(SUBSTITUTE(AE36,CHAR(160),""))="Devis 3",IFERROR(VALUE(TRIM(SUBSTITUTE(AD36,CHAR(160),""))),0),TRUE,0)*IFERROR(VALUE(TRIM(SUBSTITUTE(M36,CHAR(160),""))),0))=0,"",_xlfn.IFS(TRIM(SUBSTITUTE(AE36,CHAR(160),""))="Devis 1",IFERROR(VALUE(TRIM(SUBSTITUTE(T36,CHAR(160),""))),0),TRIM(SUBSTITUTE(AE36,CHAR(160),""))="Devis 2",IFERROR(VALUE(TRIM(SUBSTITUTE(Y36,CHAR(160),""))),0),TRIM(SUBSTITUTE(AE36,CHAR(160),""))="Devis 3",IFERROR(VALUE(TRIM(SUBSTITUTE(AD36,CHAR(160),""))),0),TRUE,0)*IFERROR(VALUE(TRIM(SUBSTITUTE(M36,CHAR(160),""))),0))</f>
        <v/>
      </c>
      <c r="AI36" s="488"/>
      <c r="AJ36" s="215" t="str">
        <f t="shared" si="26"/>
        <v/>
      </c>
      <c r="AK36" s="57" t="str">
        <f t="shared" si="27"/>
        <v/>
      </c>
      <c r="AL36" s="57" t="str">
        <f t="shared" si="28"/>
        <v/>
      </c>
      <c r="AM36" s="57" t="str">
        <f t="shared" si="29"/>
        <v/>
      </c>
      <c r="AN36" s="57" t="str">
        <f t="shared" si="21"/>
        <v/>
      </c>
      <c r="AO36" s="57" t="str">
        <f t="shared" si="30"/>
        <v/>
      </c>
      <c r="AP36" s="57" t="str">
        <f t="shared" si="31"/>
        <v/>
      </c>
      <c r="AQ36" s="57" t="str">
        <f t="shared" si="32"/>
        <v/>
      </c>
      <c r="AR36" s="57" t="str">
        <f t="shared" si="33"/>
        <v/>
      </c>
      <c r="AS36" s="57" t="str">
        <f t="shared" si="34"/>
        <v/>
      </c>
      <c r="AT36" s="1172" t="str">
        <f t="shared" si="35"/>
        <v/>
      </c>
      <c r="AU36" s="57" t="str">
        <f t="shared" si="36"/>
        <v/>
      </c>
      <c r="AV36" s="691" t="str">
        <f t="shared" si="37"/>
        <v/>
      </c>
      <c r="AW36" s="1533" t="str">
        <f t="shared" si="38"/>
        <v/>
      </c>
      <c r="AX36" s="1521" t="str">
        <f t="shared" si="39"/>
        <v/>
      </c>
      <c r="AY36" s="1663" t="str">
        <f t="shared" si="40"/>
        <v/>
      </c>
      <c r="AZ36" s="1663" t="str">
        <f t="shared" si="41"/>
        <v/>
      </c>
      <c r="BA36" s="1522" t="str">
        <f t="shared" si="2"/>
        <v/>
      </c>
      <c r="BB36" s="1527" t="str">
        <f t="shared" si="3"/>
        <v/>
      </c>
      <c r="BC36" s="1528" t="str">
        <f t="shared" si="4"/>
        <v/>
      </c>
      <c r="BD36" s="1654" t="str">
        <f t="shared" si="5"/>
        <v/>
      </c>
      <c r="BE36" s="1657" t="str">
        <f t="shared" si="6"/>
        <v/>
      </c>
      <c r="BF36" s="1539" t="str">
        <f t="shared" si="7"/>
        <v/>
      </c>
      <c r="BG36" s="1544" t="str">
        <f t="shared" si="8"/>
        <v/>
      </c>
      <c r="BH36" s="1545" t="str">
        <f t="shared" si="9"/>
        <v/>
      </c>
      <c r="BI36" s="1660" t="str">
        <f t="shared" si="10"/>
        <v/>
      </c>
      <c r="BJ36" s="1660" t="str">
        <f t="shared" si="11"/>
        <v/>
      </c>
      <c r="BK36" s="1546" t="str">
        <f t="shared" si="12"/>
        <v/>
      </c>
      <c r="BL36" s="1467" t="str">
        <f t="shared" si="22"/>
        <v/>
      </c>
      <c r="BM36" s="260"/>
      <c r="BN36" s="1667" t="str">
        <f t="shared" si="23"/>
        <v/>
      </c>
      <c r="BO36" s="1667" t="str">
        <f t="shared" si="24"/>
        <v/>
      </c>
      <c r="BP36" s="300" t="str">
        <f t="shared" si="14"/>
        <v/>
      </c>
      <c r="BQ36" s="1470" t="str" cm="1">
        <f t="array" ref="BQ36">IF($AT36="","",
_xlfn.IFS(
$BL36="Devis 1",
IF(ISBLANK(AY36),"",IFERROR(VALUE(TRIM(SUBSTITUTE(AY36,CHAR(160),""))),0)*IFERROR(VALUE(TRIM(SUBSTITUTE($AT36,CHAR(160),""))),0)),
$BL36="Devis 2",
IF(ISBLANK(BD36),"",IFERROR(VALUE(TRIM(SUBSTITUTE(BD36,CHAR(160),""))),0)*IFERROR(VALUE(TRIM(SUBSTITUTE($AT36,CHAR(160),""))),0)),
$BL36="Devis 3",
IF(ISBLANK(BI36),"",IFERROR(VALUE(TRIM(SUBSTITUTE(BI36,CHAR(160),""))),0)*IFERROR(VALUE(TRIM(SUBSTITUTE($AT36,CHAR(160),""))),0)),
TRUE,0
)
)</f>
        <v/>
      </c>
      <c r="BR36" s="1470" t="str" cm="1">
        <f t="array" ref="BR36">IF($AT36="","",
_xlfn.IFS(
$BL36="Devis 1",
IF(ISBLANK(AZ36),"",IFERROR(VALUE(TRIM(SUBSTITUTE(AZ36,CHAR(160),""))),0)*IFERROR(VALUE(TRIM(SUBSTITUTE($AT36,CHAR(160),""))),0)),
$BL36="Devis 2",
IF(ISBLANK(BE36),"",IFERROR(VALUE(TRIM(SUBSTITUTE(BE36,CHAR(160),""))),0)*IFERROR(VALUE(TRIM(SUBSTITUTE($AT36,CHAR(160),""))),0)),
$BL36="Devis 3",
IF(ISBLANK(BJ36),"",IFERROR(VALUE(TRIM(SUBSTITUTE(BJ36,CHAR(160),""))),0)*IFERROR(VALUE(TRIM(SUBSTITUTE($AT36,CHAR(160),""))),0)),
TRUE,0
)
)</f>
        <v/>
      </c>
      <c r="BS36" s="1470" t="str">
        <f t="shared" si="25"/>
        <v/>
      </c>
      <c r="BT36" s="194"/>
      <c r="BU36" s="216" t="str" cm="1">
        <f t="array" ref="BU36">IF(OR(BS36="",BP36="",BQ36="",BN36="",BR36="",BO36=""),"",_xlfn.IFS(
ROUND(IFERROR(VALUE(TRIM(SUBSTITUTE(BS36,CHAR(160),""))),0),2)&gt;
ROUND(IFERROR(VALUE(TRIM(SUBSTITUTE(BP36,CHAR(160),""))),0),2),
"KO : Le montant retenu TTC est supérieur au montant raisonnable TTC. Merci de revoir la ligne de dépense ou plafonner son montant.",
ROUND(IFERROR(VALUE(TRIM(SUBSTITUTE(BQ36,CHAR(160),""))),0),2)&gt;
ROUND(IFERROR(VALUE(TRIM(SUBSTITUTE(BN36,CHAR(160),""))),0),2),
"Attention : Le montant retenu HT est supérieur au montant HT raisonnable. Merci de revoir la ligne de dépense, plafonner son montant, ou justifier la reventillation HT / TVA.",
ROUND(IFERROR(VALUE(TRIM(SUBSTITUTE(BR36,CHAR(160),""))),0),2)&gt;
ROUND(IFERROR(VALUE(TRIM(SUBSTITUTE(BO36,CHAR(160),""))),0),2),
"Attention : Le montant TVA retenu est supérieur au montant TVA raisonnable. Merci de revoir la ligne de dépense, plafonner son montant, ou justifier la reventillation HT / TVA.",
ROUND(IFERROR(VALUE(TRIM(SUBSTITUTE(BS36,CHAR(160),""))),0),2)&gt;
ROUND(IFERROR(VALUE(TRIM(SUBSTITUTE(MIN(T36,Y36,AD36),CHAR(160),""))),0),2),
"Attention : Le devis retenu n'est pas le moins cher. Une justification de la part du porteur est nécessaire.",
ROUND(IFERROR(VALUE(TRIM(SUBSTITUTE(BS36,CHAR(160),""))),0),2)=0,
"Attention : montant présenté entièrement écarté",
ROUND(IFERROR(VALUE(TRIM(SUBSTITUTE(BP36,CHAR(160),""))),0),2)=
ROUND(IFERROR(VALUE(TRIM(SUBSTITUTE(BS36,CHAR(160),""))),0),2),
"OK",
ROUND(IFERROR(VALUE(TRIM(SUBSTITUTE(BP36,CHAR(160),""))),0),2)&gt;
ROUND(IFERROR(VALUE(TRIM(SUBSTITUTE(BS36,CHAR(160),""))),0),2),
" OK : Montant instruit inférieur au montant raisonnable.",
TRUE,""
))</f>
        <v/>
      </c>
      <c r="BV36" s="57" t="str" cm="1">
        <f t="array" ref="BV36">IF(OR(BS36="",AH36="",BQ36="",AF36="",BR36="",AG36=""),"",_xlfn.IFS(
ROUND(IFERROR(VALUE(TRIM(SUBSTITUTE(BS36,CHAR(160),""))),0),2)&gt;
ROUND(IFERROR(VALUE(TRIM(SUBSTITUTE(AH36,CHAR(160),""))),0),2),
"KO : Le montant retenu TTC est supérieur au montant présenté TTC. Merci de revoir la ligne de dépense ou plafonner son montant.",
ROUND(IFERROR(VALUE(TRIM(SUBSTITUTE(BQ36,CHAR(160),""))),0),2)&gt;
ROUND(IFERROR(VALUE(TRIM(SUBSTITUTE(AF36,CHAR(160),""))),0),2),
"Attention : Le montant retenu HT est supérieur au montant HT présenté. Merci de revoir la ligne de dépense, plafonner son montant, ou justifier la reventillation HT / TVA.",
ROUND(IFERROR(VALUE(TRIM(SUBSTITUTE(BR36,CHAR(160),""))),0),2)&gt;
ROUND(IFERROR(VALUE(TRIM(SUBSTITUTE(AG36,CHAR(160),""))),0),2),
"Attention : Le montant TVA retenu est supérieur au montant TVA présenté. Merci de revoir la ligne de dépense, plafonner son montant, ou justifier la reventillation HT / TVA.",
ROUND(IFERROR(VALUE(TRIM(SUBSTITUTE(AH36,CHAR(160),""))),0),2)=0,
"",
ROUND(IFERROR(VALUE(TRIM(SUBSTITUTE(BS36,CHAR(160),""))),0),2)=
ROUND(IFERROR(VALUE(TRIM(SUBSTITUTE(AH36,CHAR(160),""))),0),2),
"OK",
ROUND(IFERROR(VALUE(TRIM(SUBSTITUTE(BS36,CHAR(160),""))),0),2)=0,
"Attention : Montant présenté entièrement rejeté.",
ROUND(IFERROR(VALUE(TRIM(SUBSTITUTE(BS36,CHAR(160),""))),0),2)&lt;
ROUND(IFERROR(VALUE(TRIM(SUBSTITUTE(AH36,CHAR(160),""))),0),2),
"Attention : Montant présenté partiellement rejeté.",
TRUE,""
))</f>
        <v/>
      </c>
      <c r="BW36" s="1202" t="str">
        <f t="shared" si="15"/>
        <v/>
      </c>
      <c r="BX36" s="1202" t="str">
        <f t="shared" si="16"/>
        <v/>
      </c>
      <c r="BY36" s="1216" t="str">
        <f t="shared" si="17"/>
        <v/>
      </c>
      <c r="CB36"/>
      <c r="CF36" s="185"/>
    </row>
    <row r="37" spans="2:84" ht="20.100000000000001" customHeight="1">
      <c r="B37" s="1206">
        <v>27</v>
      </c>
      <c r="C37" s="11"/>
      <c r="D37" s="11"/>
      <c r="E37" s="22"/>
      <c r="F37" s="22"/>
      <c r="G37" s="22"/>
      <c r="H37" s="22"/>
      <c r="I37" s="11"/>
      <c r="J37" s="1201"/>
      <c r="K37" s="1512"/>
      <c r="L37" s="11"/>
      <c r="M37" s="2"/>
      <c r="N37" s="23"/>
      <c r="O37" s="25"/>
      <c r="P37" s="1552"/>
      <c r="Q37" s="1518"/>
      <c r="R37" s="1517"/>
      <c r="S37" s="1517"/>
      <c r="T37" s="1522" t="str">
        <f t="shared" si="18"/>
        <v/>
      </c>
      <c r="U37" s="1559"/>
      <c r="V37" s="1523"/>
      <c r="W37" s="1524"/>
      <c r="X37" s="1524"/>
      <c r="Y37" s="1539" t="str">
        <f t="shared" si="19"/>
        <v/>
      </c>
      <c r="Z37" s="1567"/>
      <c r="AA37" s="1568"/>
      <c r="AB37" s="1569"/>
      <c r="AC37" s="1569"/>
      <c r="AD37" s="1546" t="str">
        <f t="shared" si="20"/>
        <v/>
      </c>
      <c r="AE37" s="6"/>
      <c r="AF37" s="1202" t="str" cm="1">
        <f t="array" ref="AF37">IF((_xlfn.IFS(TRIM(SUBSTITUTE(AE37,CHAR(160),""))="Devis 1",IFERROR(VALUE(TRIM(SUBSTITUTE(R37,CHAR(160),""))),0),TRIM(SUBSTITUTE(AE37,CHAR(160),""))="Devis 2",IFERROR(VALUE(TRIM(SUBSTITUTE(W37,CHAR(160),""))),0),TRIM(SUBSTITUTE(AE37,CHAR(160),""))="Devis 3",IFERROR(VALUE(TRIM(SUBSTITUTE(AB37,CHAR(160),""))),0),TRUE,0)*IFERROR(VALUE(TRIM(SUBSTITUTE(M37,CHAR(160),""))),0))=0,"",_xlfn.IFS(TRIM(SUBSTITUTE(AE37,CHAR(160),""))="Devis 1",IFERROR(VALUE(TRIM(SUBSTITUTE(R37,CHAR(160),""))),0),TRIM(SUBSTITUTE(AE37,CHAR(160),""))="Devis 2",IFERROR(VALUE(TRIM(SUBSTITUTE(W37,CHAR(160),""))),0),TRIM(SUBSTITUTE(AE37,CHAR(160),""))="Devis 3",IFERROR(VALUE(TRIM(SUBSTITUTE(AB37,CHAR(160),""))),0),TRUE,0)*IFERROR(VALUE(TRIM(SUBSTITUTE(M37,CHAR(160),""))),0))</f>
        <v/>
      </c>
      <c r="AG37" s="1202" t="str" cm="1">
        <f t="array" ref="AG37">IF((_xlfn.IFS(TRIM(SUBSTITUTE(AE37,CHAR(160),""))="Devis 1",IFERROR(VALUE(TRIM(SUBSTITUTE(S37,CHAR(160),""))),0),TRIM(SUBSTITUTE(AE37,CHAR(160),""))="Devis 2",IFERROR(VALUE(TRIM(SUBSTITUTE(X37,CHAR(160),""))),0),TRIM(SUBSTITUTE(AE37,CHAR(160),""))="Devis 3",IFERROR(VALUE(TRIM(SUBSTITUTE(AC37,CHAR(160),""))),0),TRUE,0)*IFERROR(VALUE(TRIM(SUBSTITUTE(M37,CHAR(160),""))),0))=0,"",_xlfn.IFS(TRIM(SUBSTITUTE(AE37,CHAR(160),""))="Devis 1",IFERROR(VALUE(TRIM(SUBSTITUTE(S37,CHAR(160),""))),0),TRIM(SUBSTITUTE(AF37,CHAR(160),""))="Devis 2",IFERROR(VALUE(TRIM(SUBSTITUTE(X37,CHAR(160),""))),0),TRIM(SUBSTITUTE(AF37,CHAR(160),""))="Devis 3",IFERROR(VALUE(TRIM(SUBSTITUTE(AC37,CHAR(160),""))),0),TRUE,0)*IFERROR(VALUE(TRIM(SUBSTITUTE(M37,CHAR(160),""))),0))</f>
        <v/>
      </c>
      <c r="AH37" s="1202" t="str" cm="1">
        <f t="array" ref="AH37">IF((_xlfn.IFS(TRIM(SUBSTITUTE(AE37,CHAR(160),""))="Devis 1",IFERROR(VALUE(TRIM(SUBSTITUTE(T37,CHAR(160),""))),0),TRIM(SUBSTITUTE(AE37,CHAR(160),""))="Devis 2",IFERROR(VALUE(TRIM(SUBSTITUTE(Y37,CHAR(160),""))),0),TRIM(SUBSTITUTE(AE37,CHAR(160),""))="Devis 3",IFERROR(VALUE(TRIM(SUBSTITUTE(AD37,CHAR(160),""))),0),TRUE,0)*IFERROR(VALUE(TRIM(SUBSTITUTE(M37,CHAR(160),""))),0))=0,"",_xlfn.IFS(TRIM(SUBSTITUTE(AE37,CHAR(160),""))="Devis 1",IFERROR(VALUE(TRIM(SUBSTITUTE(T37,CHAR(160),""))),0),TRIM(SUBSTITUTE(AE37,CHAR(160),""))="Devis 2",IFERROR(VALUE(TRIM(SUBSTITUTE(Y37,CHAR(160),""))),0),TRIM(SUBSTITUTE(AE37,CHAR(160),""))="Devis 3",IFERROR(VALUE(TRIM(SUBSTITUTE(AD37,CHAR(160),""))),0),TRUE,0)*IFERROR(VALUE(TRIM(SUBSTITUTE(M37,CHAR(160),""))),0))</f>
        <v/>
      </c>
      <c r="AI37" s="488"/>
      <c r="AJ37" s="215" t="str">
        <f t="shared" si="26"/>
        <v/>
      </c>
      <c r="AK37" s="57" t="str">
        <f t="shared" si="27"/>
        <v/>
      </c>
      <c r="AL37" s="57" t="str">
        <f t="shared" si="28"/>
        <v/>
      </c>
      <c r="AM37" s="57" t="str">
        <f t="shared" si="29"/>
        <v/>
      </c>
      <c r="AN37" s="57" t="str">
        <f t="shared" si="21"/>
        <v/>
      </c>
      <c r="AO37" s="57" t="str">
        <f t="shared" si="30"/>
        <v/>
      </c>
      <c r="AP37" s="57" t="str">
        <f t="shared" si="31"/>
        <v/>
      </c>
      <c r="AQ37" s="57" t="str">
        <f t="shared" si="32"/>
        <v/>
      </c>
      <c r="AR37" s="57" t="str">
        <f t="shared" si="33"/>
        <v/>
      </c>
      <c r="AS37" s="57" t="str">
        <f t="shared" si="34"/>
        <v/>
      </c>
      <c r="AT37" s="1172" t="str">
        <f t="shared" si="35"/>
        <v/>
      </c>
      <c r="AU37" s="57" t="str">
        <f t="shared" si="36"/>
        <v/>
      </c>
      <c r="AV37" s="691" t="str">
        <f t="shared" si="37"/>
        <v/>
      </c>
      <c r="AW37" s="1533" t="str">
        <f t="shared" si="38"/>
        <v/>
      </c>
      <c r="AX37" s="1521" t="str">
        <f t="shared" si="39"/>
        <v/>
      </c>
      <c r="AY37" s="1663" t="str">
        <f t="shared" si="40"/>
        <v/>
      </c>
      <c r="AZ37" s="1663" t="str">
        <f t="shared" si="41"/>
        <v/>
      </c>
      <c r="BA37" s="1522" t="str">
        <f t="shared" si="2"/>
        <v/>
      </c>
      <c r="BB37" s="1527" t="str">
        <f t="shared" si="3"/>
        <v/>
      </c>
      <c r="BC37" s="1528" t="str">
        <f t="shared" si="4"/>
        <v/>
      </c>
      <c r="BD37" s="1654" t="str">
        <f t="shared" si="5"/>
        <v/>
      </c>
      <c r="BE37" s="1657" t="str">
        <f t="shared" si="6"/>
        <v/>
      </c>
      <c r="BF37" s="1539" t="str">
        <f t="shared" si="7"/>
        <v/>
      </c>
      <c r="BG37" s="1544" t="str">
        <f t="shared" si="8"/>
        <v/>
      </c>
      <c r="BH37" s="1545" t="str">
        <f t="shared" si="9"/>
        <v/>
      </c>
      <c r="BI37" s="1660" t="str">
        <f t="shared" si="10"/>
        <v/>
      </c>
      <c r="BJ37" s="1660" t="str">
        <f t="shared" si="11"/>
        <v/>
      </c>
      <c r="BK37" s="1546" t="str">
        <f t="shared" si="12"/>
        <v/>
      </c>
      <c r="BL37" s="1467" t="str">
        <f t="shared" si="22"/>
        <v/>
      </c>
      <c r="BM37" s="260"/>
      <c r="BN37" s="1667" t="str">
        <f t="shared" si="23"/>
        <v/>
      </c>
      <c r="BO37" s="1667" t="str">
        <f t="shared" si="24"/>
        <v/>
      </c>
      <c r="BP37" s="300" t="str">
        <f t="shared" si="14"/>
        <v/>
      </c>
      <c r="BQ37" s="1470" t="str" cm="1">
        <f t="array" ref="BQ37">IF($AT37="","",
_xlfn.IFS(
$BL37="Devis 1",
IF(ISBLANK(AY37),"",IFERROR(VALUE(TRIM(SUBSTITUTE(AY37,CHAR(160),""))),0)*IFERROR(VALUE(TRIM(SUBSTITUTE($AT37,CHAR(160),""))),0)),
$BL37="Devis 2",
IF(ISBLANK(BD37),"",IFERROR(VALUE(TRIM(SUBSTITUTE(BD37,CHAR(160),""))),0)*IFERROR(VALUE(TRIM(SUBSTITUTE($AT37,CHAR(160),""))),0)),
$BL37="Devis 3",
IF(ISBLANK(BI37),"",IFERROR(VALUE(TRIM(SUBSTITUTE(BI37,CHAR(160),""))),0)*IFERROR(VALUE(TRIM(SUBSTITUTE($AT37,CHAR(160),""))),0)),
TRUE,0
)
)</f>
        <v/>
      </c>
      <c r="BR37" s="1470" t="str" cm="1">
        <f t="array" ref="BR37">IF($AT37="","",
_xlfn.IFS(
$BL37="Devis 1",
IF(ISBLANK(AZ37),"",IFERROR(VALUE(TRIM(SUBSTITUTE(AZ37,CHAR(160),""))),0)*IFERROR(VALUE(TRIM(SUBSTITUTE($AT37,CHAR(160),""))),0)),
$BL37="Devis 2",
IF(ISBLANK(BE37),"",IFERROR(VALUE(TRIM(SUBSTITUTE(BE37,CHAR(160),""))),0)*IFERROR(VALUE(TRIM(SUBSTITUTE($AT37,CHAR(160),""))),0)),
$BL37="Devis 3",
IF(ISBLANK(BJ37),"",IFERROR(VALUE(TRIM(SUBSTITUTE(BJ37,CHAR(160),""))),0)*IFERROR(VALUE(TRIM(SUBSTITUTE($AT37,CHAR(160),""))),0)),
TRUE,0
)
)</f>
        <v/>
      </c>
      <c r="BS37" s="1470" t="str">
        <f t="shared" si="25"/>
        <v/>
      </c>
      <c r="BT37" s="194"/>
      <c r="BU37" s="216" t="str" cm="1">
        <f t="array" ref="BU37">IF(OR(BS37="",BP37="",BQ37="",BN37="",BR37="",BO37=""),"",_xlfn.IFS(
ROUND(IFERROR(VALUE(TRIM(SUBSTITUTE(BS37,CHAR(160),""))),0),2)&gt;
ROUND(IFERROR(VALUE(TRIM(SUBSTITUTE(BP37,CHAR(160),""))),0),2),
"KO : Le montant retenu TTC est supérieur au montant raisonnable TTC. Merci de revoir la ligne de dépense ou plafonner son montant.",
ROUND(IFERROR(VALUE(TRIM(SUBSTITUTE(BQ37,CHAR(160),""))),0),2)&gt;
ROUND(IFERROR(VALUE(TRIM(SUBSTITUTE(BN37,CHAR(160),""))),0),2),
"Attention : Le montant retenu HT est supérieur au montant HT raisonnable. Merci de revoir la ligne de dépense, plafonner son montant, ou justifier la reventillation HT / TVA.",
ROUND(IFERROR(VALUE(TRIM(SUBSTITUTE(BR37,CHAR(160),""))),0),2)&gt;
ROUND(IFERROR(VALUE(TRIM(SUBSTITUTE(BO37,CHAR(160),""))),0),2),
"Attention : Le montant TVA retenu est supérieur au montant TVA raisonnable. Merci de revoir la ligne de dépense, plafonner son montant, ou justifier la reventillation HT / TVA.",
ROUND(IFERROR(VALUE(TRIM(SUBSTITUTE(BS37,CHAR(160),""))),0),2)&gt;
ROUND(IFERROR(VALUE(TRIM(SUBSTITUTE(MIN(T37,Y37,AD37),CHAR(160),""))),0),2),
"Attention : Le devis retenu n'est pas le moins cher. Une justification de la part du porteur est nécessaire.",
ROUND(IFERROR(VALUE(TRIM(SUBSTITUTE(BS37,CHAR(160),""))),0),2)=0,
"Attention : montant présenté entièrement écarté",
ROUND(IFERROR(VALUE(TRIM(SUBSTITUTE(BP37,CHAR(160),""))),0),2)=
ROUND(IFERROR(VALUE(TRIM(SUBSTITUTE(BS37,CHAR(160),""))),0),2),
"OK",
ROUND(IFERROR(VALUE(TRIM(SUBSTITUTE(BP37,CHAR(160),""))),0),2)&gt;
ROUND(IFERROR(VALUE(TRIM(SUBSTITUTE(BS37,CHAR(160),""))),0),2),
" OK : Montant instruit inférieur au montant raisonnable.",
TRUE,""
))</f>
        <v/>
      </c>
      <c r="BV37" s="57" t="str" cm="1">
        <f t="array" ref="BV37">IF(OR(BS37="",AH37="",BQ37="",AF37="",BR37="",AG37=""),"",_xlfn.IFS(
ROUND(IFERROR(VALUE(TRIM(SUBSTITUTE(BS37,CHAR(160),""))),0),2)&gt;
ROUND(IFERROR(VALUE(TRIM(SUBSTITUTE(AH37,CHAR(160),""))),0),2),
"KO : Le montant retenu TTC est supérieur au montant présenté TTC. Merci de revoir la ligne de dépense ou plafonner son montant.",
ROUND(IFERROR(VALUE(TRIM(SUBSTITUTE(BQ37,CHAR(160),""))),0),2)&gt;
ROUND(IFERROR(VALUE(TRIM(SUBSTITUTE(AF37,CHAR(160),""))),0),2),
"Attention : Le montant retenu HT est supérieur au montant HT présenté. Merci de revoir la ligne de dépense, plafonner son montant, ou justifier la reventillation HT / TVA.",
ROUND(IFERROR(VALUE(TRIM(SUBSTITUTE(BR37,CHAR(160),""))),0),2)&gt;
ROUND(IFERROR(VALUE(TRIM(SUBSTITUTE(AG37,CHAR(160),""))),0),2),
"Attention : Le montant TVA retenu est supérieur au montant TVA présenté. Merci de revoir la ligne de dépense, plafonner son montant, ou justifier la reventillation HT / TVA.",
ROUND(IFERROR(VALUE(TRIM(SUBSTITUTE(AH37,CHAR(160),""))),0),2)=0,
"",
ROUND(IFERROR(VALUE(TRIM(SUBSTITUTE(BS37,CHAR(160),""))),0),2)=
ROUND(IFERROR(VALUE(TRIM(SUBSTITUTE(AH37,CHAR(160),""))),0),2),
"OK",
ROUND(IFERROR(VALUE(TRIM(SUBSTITUTE(BS37,CHAR(160),""))),0),2)=0,
"Attention : Montant présenté entièrement rejeté.",
ROUND(IFERROR(VALUE(TRIM(SUBSTITUTE(BS37,CHAR(160),""))),0),2)&lt;
ROUND(IFERROR(VALUE(TRIM(SUBSTITUTE(AH37,CHAR(160),""))),0),2),
"Attention : Montant présenté partiellement rejeté.",
TRUE,""
))</f>
        <v/>
      </c>
      <c r="BW37" s="1202" t="str">
        <f t="shared" si="15"/>
        <v/>
      </c>
      <c r="BX37" s="1202" t="str">
        <f t="shared" si="16"/>
        <v/>
      </c>
      <c r="BY37" s="1216" t="str">
        <f t="shared" si="17"/>
        <v/>
      </c>
      <c r="CB37"/>
      <c r="CF37" s="185"/>
    </row>
    <row r="38" spans="2:84" ht="20.100000000000001" customHeight="1">
      <c r="B38" s="1206">
        <v>28</v>
      </c>
      <c r="C38" s="11"/>
      <c r="D38" s="11"/>
      <c r="E38" s="22"/>
      <c r="F38" s="22"/>
      <c r="G38" s="22"/>
      <c r="H38" s="22"/>
      <c r="I38" s="11"/>
      <c r="J38" s="1201"/>
      <c r="K38" s="1512"/>
      <c r="L38" s="11"/>
      <c r="M38" s="2"/>
      <c r="N38" s="23"/>
      <c r="O38" s="25"/>
      <c r="P38" s="1552"/>
      <c r="Q38" s="1518"/>
      <c r="R38" s="1517"/>
      <c r="S38" s="1517"/>
      <c r="T38" s="1522" t="str">
        <f t="shared" si="18"/>
        <v/>
      </c>
      <c r="U38" s="1559"/>
      <c r="V38" s="1523"/>
      <c r="W38" s="1524"/>
      <c r="X38" s="1524"/>
      <c r="Y38" s="1539" t="str">
        <f t="shared" si="19"/>
        <v/>
      </c>
      <c r="Z38" s="1567"/>
      <c r="AA38" s="1568"/>
      <c r="AB38" s="1569"/>
      <c r="AC38" s="1569"/>
      <c r="AD38" s="1546" t="str">
        <f t="shared" si="20"/>
        <v/>
      </c>
      <c r="AE38" s="6"/>
      <c r="AF38" s="1202" t="str" cm="1">
        <f t="array" ref="AF38">IF((_xlfn.IFS(TRIM(SUBSTITUTE(AE38,CHAR(160),""))="Devis 1",IFERROR(VALUE(TRIM(SUBSTITUTE(R38,CHAR(160),""))),0),TRIM(SUBSTITUTE(AE38,CHAR(160),""))="Devis 2",IFERROR(VALUE(TRIM(SUBSTITUTE(W38,CHAR(160),""))),0),TRIM(SUBSTITUTE(AE38,CHAR(160),""))="Devis 3",IFERROR(VALUE(TRIM(SUBSTITUTE(AB38,CHAR(160),""))),0),TRUE,0)*IFERROR(VALUE(TRIM(SUBSTITUTE(M38,CHAR(160),""))),0))=0,"",_xlfn.IFS(TRIM(SUBSTITUTE(AE38,CHAR(160),""))="Devis 1",IFERROR(VALUE(TRIM(SUBSTITUTE(R38,CHAR(160),""))),0),TRIM(SUBSTITUTE(AE38,CHAR(160),""))="Devis 2",IFERROR(VALUE(TRIM(SUBSTITUTE(W38,CHAR(160),""))),0),TRIM(SUBSTITUTE(AE38,CHAR(160),""))="Devis 3",IFERROR(VALUE(TRIM(SUBSTITUTE(AB38,CHAR(160),""))),0),TRUE,0)*IFERROR(VALUE(TRIM(SUBSTITUTE(M38,CHAR(160),""))),0))</f>
        <v/>
      </c>
      <c r="AG38" s="1202" t="str" cm="1">
        <f t="array" ref="AG38">IF((_xlfn.IFS(TRIM(SUBSTITUTE(AE38,CHAR(160),""))="Devis 1",IFERROR(VALUE(TRIM(SUBSTITUTE(S38,CHAR(160),""))),0),TRIM(SUBSTITUTE(AE38,CHAR(160),""))="Devis 2",IFERROR(VALUE(TRIM(SUBSTITUTE(X38,CHAR(160),""))),0),TRIM(SUBSTITUTE(AE38,CHAR(160),""))="Devis 3",IFERROR(VALUE(TRIM(SUBSTITUTE(AC38,CHAR(160),""))),0),TRUE,0)*IFERROR(VALUE(TRIM(SUBSTITUTE(M38,CHAR(160),""))),0))=0,"",_xlfn.IFS(TRIM(SUBSTITUTE(AE38,CHAR(160),""))="Devis 1",IFERROR(VALUE(TRIM(SUBSTITUTE(S38,CHAR(160),""))),0),TRIM(SUBSTITUTE(AF38,CHAR(160),""))="Devis 2",IFERROR(VALUE(TRIM(SUBSTITUTE(X38,CHAR(160),""))),0),TRIM(SUBSTITUTE(AF38,CHAR(160),""))="Devis 3",IFERROR(VALUE(TRIM(SUBSTITUTE(AC38,CHAR(160),""))),0),TRUE,0)*IFERROR(VALUE(TRIM(SUBSTITUTE(M38,CHAR(160),""))),0))</f>
        <v/>
      </c>
      <c r="AH38" s="1202" t="str" cm="1">
        <f t="array" ref="AH38">IF((_xlfn.IFS(TRIM(SUBSTITUTE(AE38,CHAR(160),""))="Devis 1",IFERROR(VALUE(TRIM(SUBSTITUTE(T38,CHAR(160),""))),0),TRIM(SUBSTITUTE(AE38,CHAR(160),""))="Devis 2",IFERROR(VALUE(TRIM(SUBSTITUTE(Y38,CHAR(160),""))),0),TRIM(SUBSTITUTE(AE38,CHAR(160),""))="Devis 3",IFERROR(VALUE(TRIM(SUBSTITUTE(AD38,CHAR(160),""))),0),TRUE,0)*IFERROR(VALUE(TRIM(SUBSTITUTE(M38,CHAR(160),""))),0))=0,"",_xlfn.IFS(TRIM(SUBSTITUTE(AE38,CHAR(160),""))="Devis 1",IFERROR(VALUE(TRIM(SUBSTITUTE(T38,CHAR(160),""))),0),TRIM(SUBSTITUTE(AE38,CHAR(160),""))="Devis 2",IFERROR(VALUE(TRIM(SUBSTITUTE(Y38,CHAR(160),""))),0),TRIM(SUBSTITUTE(AE38,CHAR(160),""))="Devis 3",IFERROR(VALUE(TRIM(SUBSTITUTE(AD38,CHAR(160),""))),0),TRUE,0)*IFERROR(VALUE(TRIM(SUBSTITUTE(M38,CHAR(160),""))),0))</f>
        <v/>
      </c>
      <c r="AI38" s="488"/>
      <c r="AJ38" s="215" t="str">
        <f t="shared" si="26"/>
        <v/>
      </c>
      <c r="AK38" s="57" t="str">
        <f t="shared" si="27"/>
        <v/>
      </c>
      <c r="AL38" s="57" t="str">
        <f t="shared" si="28"/>
        <v/>
      </c>
      <c r="AM38" s="57" t="str">
        <f t="shared" si="29"/>
        <v/>
      </c>
      <c r="AN38" s="57" t="str">
        <f t="shared" si="21"/>
        <v/>
      </c>
      <c r="AO38" s="57" t="str">
        <f t="shared" si="30"/>
        <v/>
      </c>
      <c r="AP38" s="57" t="str">
        <f t="shared" si="31"/>
        <v/>
      </c>
      <c r="AQ38" s="57" t="str">
        <f t="shared" si="32"/>
        <v/>
      </c>
      <c r="AR38" s="57" t="str">
        <f t="shared" si="33"/>
        <v/>
      </c>
      <c r="AS38" s="57" t="str">
        <f t="shared" si="34"/>
        <v/>
      </c>
      <c r="AT38" s="1172" t="str">
        <f t="shared" si="35"/>
        <v/>
      </c>
      <c r="AU38" s="57" t="str">
        <f t="shared" si="36"/>
        <v/>
      </c>
      <c r="AV38" s="691" t="str">
        <f t="shared" si="37"/>
        <v/>
      </c>
      <c r="AW38" s="1533" t="str">
        <f t="shared" si="38"/>
        <v/>
      </c>
      <c r="AX38" s="1521" t="str">
        <f t="shared" si="39"/>
        <v/>
      </c>
      <c r="AY38" s="1663" t="str">
        <f t="shared" si="40"/>
        <v/>
      </c>
      <c r="AZ38" s="1663" t="str">
        <f t="shared" si="41"/>
        <v/>
      </c>
      <c r="BA38" s="1522" t="str">
        <f t="shared" si="2"/>
        <v/>
      </c>
      <c r="BB38" s="1527" t="str">
        <f t="shared" si="3"/>
        <v/>
      </c>
      <c r="BC38" s="1528" t="str">
        <f t="shared" si="4"/>
        <v/>
      </c>
      <c r="BD38" s="1654" t="str">
        <f t="shared" si="5"/>
        <v/>
      </c>
      <c r="BE38" s="1657" t="str">
        <f t="shared" si="6"/>
        <v/>
      </c>
      <c r="BF38" s="1539" t="str">
        <f t="shared" si="7"/>
        <v/>
      </c>
      <c r="BG38" s="1544" t="str">
        <f t="shared" si="8"/>
        <v/>
      </c>
      <c r="BH38" s="1545" t="str">
        <f t="shared" si="9"/>
        <v/>
      </c>
      <c r="BI38" s="1660" t="str">
        <f t="shared" si="10"/>
        <v/>
      </c>
      <c r="BJ38" s="1660" t="str">
        <f t="shared" si="11"/>
        <v/>
      </c>
      <c r="BK38" s="1546" t="str">
        <f t="shared" si="12"/>
        <v/>
      </c>
      <c r="BL38" s="1467" t="str">
        <f t="shared" si="22"/>
        <v/>
      </c>
      <c r="BM38" s="260"/>
      <c r="BN38" s="1667" t="str">
        <f t="shared" si="23"/>
        <v/>
      </c>
      <c r="BO38" s="1667" t="str">
        <f t="shared" si="24"/>
        <v/>
      </c>
      <c r="BP38" s="300" t="str">
        <f t="shared" si="14"/>
        <v/>
      </c>
      <c r="BQ38" s="1470" t="str" cm="1">
        <f t="array" ref="BQ38">IF($AT38="","",
_xlfn.IFS(
$BL38="Devis 1",
IF(ISBLANK(AY38),"",IFERROR(VALUE(TRIM(SUBSTITUTE(AY38,CHAR(160),""))),0)*IFERROR(VALUE(TRIM(SUBSTITUTE($AT38,CHAR(160),""))),0)),
$BL38="Devis 2",
IF(ISBLANK(BD38),"",IFERROR(VALUE(TRIM(SUBSTITUTE(BD38,CHAR(160),""))),0)*IFERROR(VALUE(TRIM(SUBSTITUTE($AT38,CHAR(160),""))),0)),
$BL38="Devis 3",
IF(ISBLANK(BI38),"",IFERROR(VALUE(TRIM(SUBSTITUTE(BI38,CHAR(160),""))),0)*IFERROR(VALUE(TRIM(SUBSTITUTE($AT38,CHAR(160),""))),0)),
TRUE,0
)
)</f>
        <v/>
      </c>
      <c r="BR38" s="1470" t="str" cm="1">
        <f t="array" ref="BR38">IF($AT38="","",
_xlfn.IFS(
$BL38="Devis 1",
IF(ISBLANK(AZ38),"",IFERROR(VALUE(TRIM(SUBSTITUTE(AZ38,CHAR(160),""))),0)*IFERROR(VALUE(TRIM(SUBSTITUTE($AT38,CHAR(160),""))),0)),
$BL38="Devis 2",
IF(ISBLANK(BE38),"",IFERROR(VALUE(TRIM(SUBSTITUTE(BE38,CHAR(160),""))),0)*IFERROR(VALUE(TRIM(SUBSTITUTE($AT38,CHAR(160),""))),0)),
$BL38="Devis 3",
IF(ISBLANK(BJ38),"",IFERROR(VALUE(TRIM(SUBSTITUTE(BJ38,CHAR(160),""))),0)*IFERROR(VALUE(TRIM(SUBSTITUTE($AT38,CHAR(160),""))),0)),
TRUE,0
)
)</f>
        <v/>
      </c>
      <c r="BS38" s="1470" t="str">
        <f t="shared" si="25"/>
        <v/>
      </c>
      <c r="BT38" s="194"/>
      <c r="BU38" s="216" t="str" cm="1">
        <f t="array" ref="BU38">IF(OR(BS38="",BP38="",BQ38="",BN38="",BR38="",BO38=""),"",_xlfn.IFS(
ROUND(IFERROR(VALUE(TRIM(SUBSTITUTE(BS38,CHAR(160),""))),0),2)&gt;
ROUND(IFERROR(VALUE(TRIM(SUBSTITUTE(BP38,CHAR(160),""))),0),2),
"KO : Le montant retenu TTC est supérieur au montant raisonnable TTC. Merci de revoir la ligne de dépense ou plafonner son montant.",
ROUND(IFERROR(VALUE(TRIM(SUBSTITUTE(BQ38,CHAR(160),""))),0),2)&gt;
ROUND(IFERROR(VALUE(TRIM(SUBSTITUTE(BN38,CHAR(160),""))),0),2),
"Attention : Le montant retenu HT est supérieur au montant HT raisonnable. Merci de revoir la ligne de dépense, plafonner son montant, ou justifier la reventillation HT / TVA.",
ROUND(IFERROR(VALUE(TRIM(SUBSTITUTE(BR38,CHAR(160),""))),0),2)&gt;
ROUND(IFERROR(VALUE(TRIM(SUBSTITUTE(BO38,CHAR(160),""))),0),2),
"Attention : Le montant TVA retenu est supérieur au montant TVA raisonnable. Merci de revoir la ligne de dépense, plafonner son montant, ou justifier la reventillation HT / TVA.",
ROUND(IFERROR(VALUE(TRIM(SUBSTITUTE(BS38,CHAR(160),""))),0),2)&gt;
ROUND(IFERROR(VALUE(TRIM(SUBSTITUTE(MIN(T38,Y38,AD38),CHAR(160),""))),0),2),
"Attention : Le devis retenu n'est pas le moins cher. Une justification de la part du porteur est nécessaire.",
ROUND(IFERROR(VALUE(TRIM(SUBSTITUTE(BS38,CHAR(160),""))),0),2)=0,
"Attention : montant présenté entièrement écarté",
ROUND(IFERROR(VALUE(TRIM(SUBSTITUTE(BP38,CHAR(160),""))),0),2)=
ROUND(IFERROR(VALUE(TRIM(SUBSTITUTE(BS38,CHAR(160),""))),0),2),
"OK",
ROUND(IFERROR(VALUE(TRIM(SUBSTITUTE(BP38,CHAR(160),""))),0),2)&gt;
ROUND(IFERROR(VALUE(TRIM(SUBSTITUTE(BS38,CHAR(160),""))),0),2),
" OK : Montant instruit inférieur au montant raisonnable.",
TRUE,""
))</f>
        <v/>
      </c>
      <c r="BV38" s="57" t="str" cm="1">
        <f t="array" ref="BV38">IF(OR(BS38="",AH38="",BQ38="",AF38="",BR38="",AG38=""),"",_xlfn.IFS(
ROUND(IFERROR(VALUE(TRIM(SUBSTITUTE(BS38,CHAR(160),""))),0),2)&gt;
ROUND(IFERROR(VALUE(TRIM(SUBSTITUTE(AH38,CHAR(160),""))),0),2),
"KO : Le montant retenu TTC est supérieur au montant présenté TTC. Merci de revoir la ligne de dépense ou plafonner son montant.",
ROUND(IFERROR(VALUE(TRIM(SUBSTITUTE(BQ38,CHAR(160),""))),0),2)&gt;
ROUND(IFERROR(VALUE(TRIM(SUBSTITUTE(AF38,CHAR(160),""))),0),2),
"Attention : Le montant retenu HT est supérieur au montant HT présenté. Merci de revoir la ligne de dépense, plafonner son montant, ou justifier la reventillation HT / TVA.",
ROUND(IFERROR(VALUE(TRIM(SUBSTITUTE(BR38,CHAR(160),""))),0),2)&gt;
ROUND(IFERROR(VALUE(TRIM(SUBSTITUTE(AG38,CHAR(160),""))),0),2),
"Attention : Le montant TVA retenu est supérieur au montant TVA présenté. Merci de revoir la ligne de dépense, plafonner son montant, ou justifier la reventillation HT / TVA.",
ROUND(IFERROR(VALUE(TRIM(SUBSTITUTE(AH38,CHAR(160),""))),0),2)=0,
"",
ROUND(IFERROR(VALUE(TRIM(SUBSTITUTE(BS38,CHAR(160),""))),0),2)=
ROUND(IFERROR(VALUE(TRIM(SUBSTITUTE(AH38,CHAR(160),""))),0),2),
"OK",
ROUND(IFERROR(VALUE(TRIM(SUBSTITUTE(BS38,CHAR(160),""))),0),2)=0,
"Attention : Montant présenté entièrement rejeté.",
ROUND(IFERROR(VALUE(TRIM(SUBSTITUTE(BS38,CHAR(160),""))),0),2)&lt;
ROUND(IFERROR(VALUE(TRIM(SUBSTITUTE(AH38,CHAR(160),""))),0),2),
"Attention : Montant présenté partiellement rejeté.",
TRUE,""
))</f>
        <v/>
      </c>
      <c r="BW38" s="1202" t="str">
        <f t="shared" si="15"/>
        <v/>
      </c>
      <c r="BX38" s="1202" t="str">
        <f t="shared" si="16"/>
        <v/>
      </c>
      <c r="BY38" s="1216" t="str">
        <f t="shared" si="17"/>
        <v/>
      </c>
      <c r="CB38"/>
      <c r="CF38" s="185"/>
    </row>
    <row r="39" spans="2:84" ht="20.100000000000001" customHeight="1">
      <c r="B39" s="1206">
        <v>29</v>
      </c>
      <c r="C39" s="11"/>
      <c r="D39" s="11"/>
      <c r="E39" s="22"/>
      <c r="F39" s="22"/>
      <c r="G39" s="22"/>
      <c r="H39" s="22"/>
      <c r="I39" s="11"/>
      <c r="J39" s="1201"/>
      <c r="K39" s="1512"/>
      <c r="L39" s="11"/>
      <c r="M39" s="2"/>
      <c r="N39" s="23"/>
      <c r="O39" s="25"/>
      <c r="P39" s="1552"/>
      <c r="Q39" s="1518"/>
      <c r="R39" s="1517"/>
      <c r="S39" s="1517"/>
      <c r="T39" s="1522" t="str">
        <f t="shared" si="18"/>
        <v/>
      </c>
      <c r="U39" s="1559"/>
      <c r="V39" s="1523"/>
      <c r="W39" s="1524"/>
      <c r="X39" s="1524"/>
      <c r="Y39" s="1539" t="str">
        <f t="shared" si="19"/>
        <v/>
      </c>
      <c r="Z39" s="1567"/>
      <c r="AA39" s="1568"/>
      <c r="AB39" s="1569"/>
      <c r="AC39" s="1569"/>
      <c r="AD39" s="1546" t="str">
        <f t="shared" si="20"/>
        <v/>
      </c>
      <c r="AE39" s="6"/>
      <c r="AF39" s="1202" t="str" cm="1">
        <f t="array" ref="AF39">IF((_xlfn.IFS(TRIM(SUBSTITUTE(AE39,CHAR(160),""))="Devis 1",IFERROR(VALUE(TRIM(SUBSTITUTE(R39,CHAR(160),""))),0),TRIM(SUBSTITUTE(AE39,CHAR(160),""))="Devis 2",IFERROR(VALUE(TRIM(SUBSTITUTE(W39,CHAR(160),""))),0),TRIM(SUBSTITUTE(AE39,CHAR(160),""))="Devis 3",IFERROR(VALUE(TRIM(SUBSTITUTE(AB39,CHAR(160),""))),0),TRUE,0)*IFERROR(VALUE(TRIM(SUBSTITUTE(M39,CHAR(160),""))),0))=0,"",_xlfn.IFS(TRIM(SUBSTITUTE(AE39,CHAR(160),""))="Devis 1",IFERROR(VALUE(TRIM(SUBSTITUTE(R39,CHAR(160),""))),0),TRIM(SUBSTITUTE(AE39,CHAR(160),""))="Devis 2",IFERROR(VALUE(TRIM(SUBSTITUTE(W39,CHAR(160),""))),0),TRIM(SUBSTITUTE(AE39,CHAR(160),""))="Devis 3",IFERROR(VALUE(TRIM(SUBSTITUTE(AB39,CHAR(160),""))),0),TRUE,0)*IFERROR(VALUE(TRIM(SUBSTITUTE(M39,CHAR(160),""))),0))</f>
        <v/>
      </c>
      <c r="AG39" s="1202" t="str" cm="1">
        <f t="array" ref="AG39">IF((_xlfn.IFS(TRIM(SUBSTITUTE(AE39,CHAR(160),""))="Devis 1",IFERROR(VALUE(TRIM(SUBSTITUTE(S39,CHAR(160),""))),0),TRIM(SUBSTITUTE(AE39,CHAR(160),""))="Devis 2",IFERROR(VALUE(TRIM(SUBSTITUTE(X39,CHAR(160),""))),0),TRIM(SUBSTITUTE(AE39,CHAR(160),""))="Devis 3",IFERROR(VALUE(TRIM(SUBSTITUTE(AC39,CHAR(160),""))),0),TRUE,0)*IFERROR(VALUE(TRIM(SUBSTITUTE(M39,CHAR(160),""))),0))=0,"",_xlfn.IFS(TRIM(SUBSTITUTE(AE39,CHAR(160),""))="Devis 1",IFERROR(VALUE(TRIM(SUBSTITUTE(S39,CHAR(160),""))),0),TRIM(SUBSTITUTE(AF39,CHAR(160),""))="Devis 2",IFERROR(VALUE(TRIM(SUBSTITUTE(X39,CHAR(160),""))),0),TRIM(SUBSTITUTE(AF39,CHAR(160),""))="Devis 3",IFERROR(VALUE(TRIM(SUBSTITUTE(AC39,CHAR(160),""))),0),TRUE,0)*IFERROR(VALUE(TRIM(SUBSTITUTE(M39,CHAR(160),""))),0))</f>
        <v/>
      </c>
      <c r="AH39" s="1202" t="str" cm="1">
        <f t="array" ref="AH39">IF((_xlfn.IFS(TRIM(SUBSTITUTE(AE39,CHAR(160),""))="Devis 1",IFERROR(VALUE(TRIM(SUBSTITUTE(T39,CHAR(160),""))),0),TRIM(SUBSTITUTE(AE39,CHAR(160),""))="Devis 2",IFERROR(VALUE(TRIM(SUBSTITUTE(Y39,CHAR(160),""))),0),TRIM(SUBSTITUTE(AE39,CHAR(160),""))="Devis 3",IFERROR(VALUE(TRIM(SUBSTITUTE(AD39,CHAR(160),""))),0),TRUE,0)*IFERROR(VALUE(TRIM(SUBSTITUTE(M39,CHAR(160),""))),0))=0,"",_xlfn.IFS(TRIM(SUBSTITUTE(AE39,CHAR(160),""))="Devis 1",IFERROR(VALUE(TRIM(SUBSTITUTE(T39,CHAR(160),""))),0),TRIM(SUBSTITUTE(AE39,CHAR(160),""))="Devis 2",IFERROR(VALUE(TRIM(SUBSTITUTE(Y39,CHAR(160),""))),0),TRIM(SUBSTITUTE(AE39,CHAR(160),""))="Devis 3",IFERROR(VALUE(TRIM(SUBSTITUTE(AD39,CHAR(160),""))),0),TRUE,0)*IFERROR(VALUE(TRIM(SUBSTITUTE(M39,CHAR(160),""))),0))</f>
        <v/>
      </c>
      <c r="AI39" s="488"/>
      <c r="AJ39" s="215" t="str">
        <f t="shared" si="26"/>
        <v/>
      </c>
      <c r="AK39" s="57" t="str">
        <f t="shared" si="27"/>
        <v/>
      </c>
      <c r="AL39" s="57" t="str">
        <f t="shared" si="28"/>
        <v/>
      </c>
      <c r="AM39" s="57" t="str">
        <f t="shared" si="29"/>
        <v/>
      </c>
      <c r="AN39" s="57" t="str">
        <f t="shared" si="21"/>
        <v/>
      </c>
      <c r="AO39" s="57" t="str">
        <f t="shared" si="30"/>
        <v/>
      </c>
      <c r="AP39" s="57" t="str">
        <f t="shared" si="31"/>
        <v/>
      </c>
      <c r="AQ39" s="57" t="str">
        <f t="shared" si="32"/>
        <v/>
      </c>
      <c r="AR39" s="57" t="str">
        <f t="shared" si="33"/>
        <v/>
      </c>
      <c r="AS39" s="57" t="str">
        <f t="shared" si="34"/>
        <v/>
      </c>
      <c r="AT39" s="1172" t="str">
        <f t="shared" si="35"/>
        <v/>
      </c>
      <c r="AU39" s="57" t="str">
        <f t="shared" si="36"/>
        <v/>
      </c>
      <c r="AV39" s="691" t="str">
        <f t="shared" si="37"/>
        <v/>
      </c>
      <c r="AW39" s="1533" t="str">
        <f t="shared" si="38"/>
        <v/>
      </c>
      <c r="AX39" s="1521" t="str">
        <f t="shared" si="39"/>
        <v/>
      </c>
      <c r="AY39" s="1663" t="str">
        <f t="shared" si="40"/>
        <v/>
      </c>
      <c r="AZ39" s="1663" t="str">
        <f t="shared" si="41"/>
        <v/>
      </c>
      <c r="BA39" s="1522" t="str">
        <f t="shared" si="2"/>
        <v/>
      </c>
      <c r="BB39" s="1527" t="str">
        <f t="shared" si="3"/>
        <v/>
      </c>
      <c r="BC39" s="1528" t="str">
        <f t="shared" si="4"/>
        <v/>
      </c>
      <c r="BD39" s="1654" t="str">
        <f t="shared" si="5"/>
        <v/>
      </c>
      <c r="BE39" s="1657" t="str">
        <f t="shared" si="6"/>
        <v/>
      </c>
      <c r="BF39" s="1539" t="str">
        <f t="shared" si="7"/>
        <v/>
      </c>
      <c r="BG39" s="1544" t="str">
        <f t="shared" si="8"/>
        <v/>
      </c>
      <c r="BH39" s="1545" t="str">
        <f t="shared" si="9"/>
        <v/>
      </c>
      <c r="BI39" s="1660" t="str">
        <f t="shared" si="10"/>
        <v/>
      </c>
      <c r="BJ39" s="1660" t="str">
        <f t="shared" si="11"/>
        <v/>
      </c>
      <c r="BK39" s="1546" t="str">
        <f t="shared" si="12"/>
        <v/>
      </c>
      <c r="BL39" s="1467" t="str">
        <f t="shared" si="22"/>
        <v/>
      </c>
      <c r="BM39" s="260"/>
      <c r="BN39" s="1667" t="str">
        <f t="shared" si="23"/>
        <v/>
      </c>
      <c r="BO39" s="1667" t="str">
        <f t="shared" si="24"/>
        <v/>
      </c>
      <c r="BP39" s="300" t="str">
        <f t="shared" si="14"/>
        <v/>
      </c>
      <c r="BQ39" s="1470" t="str" cm="1">
        <f t="array" ref="BQ39">IF($AT39="","",
_xlfn.IFS(
$BL39="Devis 1",
IF(ISBLANK(AY39),"",IFERROR(VALUE(TRIM(SUBSTITUTE(AY39,CHAR(160),""))),0)*IFERROR(VALUE(TRIM(SUBSTITUTE($AT39,CHAR(160),""))),0)),
$BL39="Devis 2",
IF(ISBLANK(BD39),"",IFERROR(VALUE(TRIM(SUBSTITUTE(BD39,CHAR(160),""))),0)*IFERROR(VALUE(TRIM(SUBSTITUTE($AT39,CHAR(160),""))),0)),
$BL39="Devis 3",
IF(ISBLANK(BI39),"",IFERROR(VALUE(TRIM(SUBSTITUTE(BI39,CHAR(160),""))),0)*IFERROR(VALUE(TRIM(SUBSTITUTE($AT39,CHAR(160),""))),0)),
TRUE,0
)
)</f>
        <v/>
      </c>
      <c r="BR39" s="1470" t="str" cm="1">
        <f t="array" ref="BR39">IF($AT39="","",
_xlfn.IFS(
$BL39="Devis 1",
IF(ISBLANK(AZ39),"",IFERROR(VALUE(TRIM(SUBSTITUTE(AZ39,CHAR(160),""))),0)*IFERROR(VALUE(TRIM(SUBSTITUTE($AT39,CHAR(160),""))),0)),
$BL39="Devis 2",
IF(ISBLANK(BE39),"",IFERROR(VALUE(TRIM(SUBSTITUTE(BE39,CHAR(160),""))),0)*IFERROR(VALUE(TRIM(SUBSTITUTE($AT39,CHAR(160),""))),0)),
$BL39="Devis 3",
IF(ISBLANK(BJ39),"",IFERROR(VALUE(TRIM(SUBSTITUTE(BJ39,CHAR(160),""))),0)*IFERROR(VALUE(TRIM(SUBSTITUTE($AT39,CHAR(160),""))),0)),
TRUE,0
)
)</f>
        <v/>
      </c>
      <c r="BS39" s="1470" t="str">
        <f t="shared" si="25"/>
        <v/>
      </c>
      <c r="BT39" s="194"/>
      <c r="BU39" s="216" t="str" cm="1">
        <f t="array" ref="BU39">IF(OR(BS39="",BP39="",BQ39="",BN39="",BR39="",BO39=""),"",_xlfn.IFS(
ROUND(IFERROR(VALUE(TRIM(SUBSTITUTE(BS39,CHAR(160),""))),0),2)&gt;
ROUND(IFERROR(VALUE(TRIM(SUBSTITUTE(BP39,CHAR(160),""))),0),2),
"KO : Le montant retenu TTC est supérieur au montant raisonnable TTC. Merci de revoir la ligne de dépense ou plafonner son montant.",
ROUND(IFERROR(VALUE(TRIM(SUBSTITUTE(BQ39,CHAR(160),""))),0),2)&gt;
ROUND(IFERROR(VALUE(TRIM(SUBSTITUTE(BN39,CHAR(160),""))),0),2),
"Attention : Le montant retenu HT est supérieur au montant HT raisonnable. Merci de revoir la ligne de dépense, plafonner son montant, ou justifier la reventillation HT / TVA.",
ROUND(IFERROR(VALUE(TRIM(SUBSTITUTE(BR39,CHAR(160),""))),0),2)&gt;
ROUND(IFERROR(VALUE(TRIM(SUBSTITUTE(BO39,CHAR(160),""))),0),2),
"Attention : Le montant TVA retenu est supérieur au montant TVA raisonnable. Merci de revoir la ligne de dépense, plafonner son montant, ou justifier la reventillation HT / TVA.",
ROUND(IFERROR(VALUE(TRIM(SUBSTITUTE(BS39,CHAR(160),""))),0),2)&gt;
ROUND(IFERROR(VALUE(TRIM(SUBSTITUTE(MIN(T39,Y39,AD39),CHAR(160),""))),0),2),
"Attention : Le devis retenu n'est pas le moins cher. Une justification de la part du porteur est nécessaire.",
ROUND(IFERROR(VALUE(TRIM(SUBSTITUTE(BS39,CHAR(160),""))),0),2)=0,
"Attention : montant présenté entièrement écarté",
ROUND(IFERROR(VALUE(TRIM(SUBSTITUTE(BP39,CHAR(160),""))),0),2)=
ROUND(IFERROR(VALUE(TRIM(SUBSTITUTE(BS39,CHAR(160),""))),0),2),
"OK",
ROUND(IFERROR(VALUE(TRIM(SUBSTITUTE(BP39,CHAR(160),""))),0),2)&gt;
ROUND(IFERROR(VALUE(TRIM(SUBSTITUTE(BS39,CHAR(160),""))),0),2),
" OK : Montant instruit inférieur au montant raisonnable.",
TRUE,""
))</f>
        <v/>
      </c>
      <c r="BV39" s="57" t="str" cm="1">
        <f t="array" ref="BV39">IF(OR(BS39="",AH39="",BQ39="",AF39="",BR39="",AG39=""),"",_xlfn.IFS(
ROUND(IFERROR(VALUE(TRIM(SUBSTITUTE(BS39,CHAR(160),""))),0),2)&gt;
ROUND(IFERROR(VALUE(TRIM(SUBSTITUTE(AH39,CHAR(160),""))),0),2),
"KO : Le montant retenu TTC est supérieur au montant présenté TTC. Merci de revoir la ligne de dépense ou plafonner son montant.",
ROUND(IFERROR(VALUE(TRIM(SUBSTITUTE(BQ39,CHAR(160),""))),0),2)&gt;
ROUND(IFERROR(VALUE(TRIM(SUBSTITUTE(AF39,CHAR(160),""))),0),2),
"Attention : Le montant retenu HT est supérieur au montant HT présenté. Merci de revoir la ligne de dépense, plafonner son montant, ou justifier la reventillation HT / TVA.",
ROUND(IFERROR(VALUE(TRIM(SUBSTITUTE(BR39,CHAR(160),""))),0),2)&gt;
ROUND(IFERROR(VALUE(TRIM(SUBSTITUTE(AG39,CHAR(160),""))),0),2),
"Attention : Le montant TVA retenu est supérieur au montant TVA présenté. Merci de revoir la ligne de dépense, plafonner son montant, ou justifier la reventillation HT / TVA.",
ROUND(IFERROR(VALUE(TRIM(SUBSTITUTE(AH39,CHAR(160),""))),0),2)=0,
"",
ROUND(IFERROR(VALUE(TRIM(SUBSTITUTE(BS39,CHAR(160),""))),0),2)=
ROUND(IFERROR(VALUE(TRIM(SUBSTITUTE(AH39,CHAR(160),""))),0),2),
"OK",
ROUND(IFERROR(VALUE(TRIM(SUBSTITUTE(BS39,CHAR(160),""))),0),2)=0,
"Attention : Montant présenté entièrement rejeté.",
ROUND(IFERROR(VALUE(TRIM(SUBSTITUTE(BS39,CHAR(160),""))),0),2)&lt;
ROUND(IFERROR(VALUE(TRIM(SUBSTITUTE(AH39,CHAR(160),""))),0),2),
"Attention : Montant présenté partiellement rejeté.",
TRUE,""
))</f>
        <v/>
      </c>
      <c r="BW39" s="1202" t="str">
        <f t="shared" si="15"/>
        <v/>
      </c>
      <c r="BX39" s="1202" t="str">
        <f t="shared" si="16"/>
        <v/>
      </c>
      <c r="BY39" s="1216" t="str">
        <f t="shared" si="17"/>
        <v/>
      </c>
      <c r="CB39"/>
      <c r="CF39" s="185"/>
    </row>
    <row r="40" spans="2:84" ht="20.100000000000001" customHeight="1">
      <c r="B40" s="1206">
        <v>30</v>
      </c>
      <c r="C40" s="11"/>
      <c r="D40" s="11"/>
      <c r="E40" s="22"/>
      <c r="F40" s="22"/>
      <c r="G40" s="22"/>
      <c r="H40" s="22"/>
      <c r="I40" s="11"/>
      <c r="J40" s="1201"/>
      <c r="K40" s="1512"/>
      <c r="L40" s="11"/>
      <c r="M40" s="2"/>
      <c r="N40" s="23"/>
      <c r="O40" s="25"/>
      <c r="P40" s="1552"/>
      <c r="Q40" s="1518"/>
      <c r="R40" s="1517"/>
      <c r="S40" s="1517"/>
      <c r="T40" s="1522" t="str">
        <f t="shared" si="18"/>
        <v/>
      </c>
      <c r="U40" s="1559"/>
      <c r="V40" s="1523"/>
      <c r="W40" s="1524"/>
      <c r="X40" s="1524"/>
      <c r="Y40" s="1539" t="str">
        <f t="shared" si="19"/>
        <v/>
      </c>
      <c r="Z40" s="1567"/>
      <c r="AA40" s="1568"/>
      <c r="AB40" s="1569"/>
      <c r="AC40" s="1569"/>
      <c r="AD40" s="1546" t="str">
        <f t="shared" si="20"/>
        <v/>
      </c>
      <c r="AE40" s="6"/>
      <c r="AF40" s="1202" t="str" cm="1">
        <f t="array" ref="AF40">IF((_xlfn.IFS(TRIM(SUBSTITUTE(AE40,CHAR(160),""))="Devis 1",IFERROR(VALUE(TRIM(SUBSTITUTE(R40,CHAR(160),""))),0),TRIM(SUBSTITUTE(AE40,CHAR(160),""))="Devis 2",IFERROR(VALUE(TRIM(SUBSTITUTE(W40,CHAR(160),""))),0),TRIM(SUBSTITUTE(AE40,CHAR(160),""))="Devis 3",IFERROR(VALUE(TRIM(SUBSTITUTE(AB40,CHAR(160),""))),0),TRUE,0)*IFERROR(VALUE(TRIM(SUBSTITUTE(M40,CHAR(160),""))),0))=0,"",_xlfn.IFS(TRIM(SUBSTITUTE(AE40,CHAR(160),""))="Devis 1",IFERROR(VALUE(TRIM(SUBSTITUTE(R40,CHAR(160),""))),0),TRIM(SUBSTITUTE(AE40,CHAR(160),""))="Devis 2",IFERROR(VALUE(TRIM(SUBSTITUTE(W40,CHAR(160),""))),0),TRIM(SUBSTITUTE(AE40,CHAR(160),""))="Devis 3",IFERROR(VALUE(TRIM(SUBSTITUTE(AB40,CHAR(160),""))),0),TRUE,0)*IFERROR(VALUE(TRIM(SUBSTITUTE(M40,CHAR(160),""))),0))</f>
        <v/>
      </c>
      <c r="AG40" s="1202" t="str" cm="1">
        <f t="array" ref="AG40">IF((_xlfn.IFS(TRIM(SUBSTITUTE(AE40,CHAR(160),""))="Devis 1",IFERROR(VALUE(TRIM(SUBSTITUTE(S40,CHAR(160),""))),0),TRIM(SUBSTITUTE(AE40,CHAR(160),""))="Devis 2",IFERROR(VALUE(TRIM(SUBSTITUTE(X40,CHAR(160),""))),0),TRIM(SUBSTITUTE(AE40,CHAR(160),""))="Devis 3",IFERROR(VALUE(TRIM(SUBSTITUTE(AC40,CHAR(160),""))),0),TRUE,0)*IFERROR(VALUE(TRIM(SUBSTITUTE(M40,CHAR(160),""))),0))=0,"",_xlfn.IFS(TRIM(SUBSTITUTE(AE40,CHAR(160),""))="Devis 1",IFERROR(VALUE(TRIM(SUBSTITUTE(S40,CHAR(160),""))),0),TRIM(SUBSTITUTE(AF40,CHAR(160),""))="Devis 2",IFERROR(VALUE(TRIM(SUBSTITUTE(X40,CHAR(160),""))),0),TRIM(SUBSTITUTE(AF40,CHAR(160),""))="Devis 3",IFERROR(VALUE(TRIM(SUBSTITUTE(AC40,CHAR(160),""))),0),TRUE,0)*IFERROR(VALUE(TRIM(SUBSTITUTE(M40,CHAR(160),""))),0))</f>
        <v/>
      </c>
      <c r="AH40" s="1202" t="str" cm="1">
        <f t="array" ref="AH40">IF((_xlfn.IFS(TRIM(SUBSTITUTE(AE40,CHAR(160),""))="Devis 1",IFERROR(VALUE(TRIM(SUBSTITUTE(T40,CHAR(160),""))),0),TRIM(SUBSTITUTE(AE40,CHAR(160),""))="Devis 2",IFERROR(VALUE(TRIM(SUBSTITUTE(Y40,CHAR(160),""))),0),TRIM(SUBSTITUTE(AE40,CHAR(160),""))="Devis 3",IFERROR(VALUE(TRIM(SUBSTITUTE(AD40,CHAR(160),""))),0),TRUE,0)*IFERROR(VALUE(TRIM(SUBSTITUTE(M40,CHAR(160),""))),0))=0,"",_xlfn.IFS(TRIM(SUBSTITUTE(AE40,CHAR(160),""))="Devis 1",IFERROR(VALUE(TRIM(SUBSTITUTE(T40,CHAR(160),""))),0),TRIM(SUBSTITUTE(AE40,CHAR(160),""))="Devis 2",IFERROR(VALUE(TRIM(SUBSTITUTE(Y40,CHAR(160),""))),0),TRIM(SUBSTITUTE(AE40,CHAR(160),""))="Devis 3",IFERROR(VALUE(TRIM(SUBSTITUTE(AD40,CHAR(160),""))),0),TRUE,0)*IFERROR(VALUE(TRIM(SUBSTITUTE(M40,CHAR(160),""))),0))</f>
        <v/>
      </c>
      <c r="AI40" s="488"/>
      <c r="AJ40" s="215" t="str">
        <f t="shared" si="26"/>
        <v/>
      </c>
      <c r="AK40" s="57" t="str">
        <f t="shared" si="27"/>
        <v/>
      </c>
      <c r="AL40" s="57" t="str">
        <f t="shared" si="28"/>
        <v/>
      </c>
      <c r="AM40" s="57" t="str">
        <f t="shared" si="29"/>
        <v/>
      </c>
      <c r="AN40" s="57" t="str">
        <f t="shared" si="21"/>
        <v/>
      </c>
      <c r="AO40" s="57" t="str">
        <f t="shared" si="30"/>
        <v/>
      </c>
      <c r="AP40" s="57" t="str">
        <f t="shared" si="31"/>
        <v/>
      </c>
      <c r="AQ40" s="57" t="str">
        <f t="shared" si="32"/>
        <v/>
      </c>
      <c r="AR40" s="57" t="str">
        <f t="shared" si="33"/>
        <v/>
      </c>
      <c r="AS40" s="57" t="str">
        <f t="shared" si="34"/>
        <v/>
      </c>
      <c r="AT40" s="1172" t="str">
        <f t="shared" si="35"/>
        <v/>
      </c>
      <c r="AU40" s="57" t="str">
        <f t="shared" si="36"/>
        <v/>
      </c>
      <c r="AV40" s="691" t="str">
        <f t="shared" si="37"/>
        <v/>
      </c>
      <c r="AW40" s="1533" t="str">
        <f t="shared" si="38"/>
        <v/>
      </c>
      <c r="AX40" s="1521" t="str">
        <f t="shared" si="39"/>
        <v/>
      </c>
      <c r="AY40" s="1663" t="str">
        <f t="shared" si="40"/>
        <v/>
      </c>
      <c r="AZ40" s="1663" t="str">
        <f t="shared" si="41"/>
        <v/>
      </c>
      <c r="BA40" s="1522" t="str">
        <f t="shared" si="2"/>
        <v/>
      </c>
      <c r="BB40" s="1527" t="str">
        <f t="shared" si="3"/>
        <v/>
      </c>
      <c r="BC40" s="1528" t="str">
        <f t="shared" si="4"/>
        <v/>
      </c>
      <c r="BD40" s="1654" t="str">
        <f t="shared" si="5"/>
        <v/>
      </c>
      <c r="BE40" s="1657" t="str">
        <f t="shared" si="6"/>
        <v/>
      </c>
      <c r="BF40" s="1539" t="str">
        <f t="shared" si="7"/>
        <v/>
      </c>
      <c r="BG40" s="1544" t="str">
        <f t="shared" si="8"/>
        <v/>
      </c>
      <c r="BH40" s="1545" t="str">
        <f t="shared" si="9"/>
        <v/>
      </c>
      <c r="BI40" s="1660" t="str">
        <f t="shared" si="10"/>
        <v/>
      </c>
      <c r="BJ40" s="1660" t="str">
        <f t="shared" si="11"/>
        <v/>
      </c>
      <c r="BK40" s="1546" t="str">
        <f t="shared" si="12"/>
        <v/>
      </c>
      <c r="BL40" s="1467" t="str">
        <f t="shared" si="22"/>
        <v/>
      </c>
      <c r="BM40" s="260"/>
      <c r="BN40" s="1667" t="str">
        <f t="shared" si="23"/>
        <v/>
      </c>
      <c r="BO40" s="1667" t="str">
        <f t="shared" si="24"/>
        <v/>
      </c>
      <c r="BP40" s="300" t="str">
        <f t="shared" si="14"/>
        <v/>
      </c>
      <c r="BQ40" s="1470" t="str" cm="1">
        <f t="array" ref="BQ40">IF($AT40="","",
_xlfn.IFS(
$BL40="Devis 1",
IF(ISBLANK(AY40),"",IFERROR(VALUE(TRIM(SUBSTITUTE(AY40,CHAR(160),""))),0)*IFERROR(VALUE(TRIM(SUBSTITUTE($AT40,CHAR(160),""))),0)),
$BL40="Devis 2",
IF(ISBLANK(BD40),"",IFERROR(VALUE(TRIM(SUBSTITUTE(BD40,CHAR(160),""))),0)*IFERROR(VALUE(TRIM(SUBSTITUTE($AT40,CHAR(160),""))),0)),
$BL40="Devis 3",
IF(ISBLANK(BI40),"",IFERROR(VALUE(TRIM(SUBSTITUTE(BI40,CHAR(160),""))),0)*IFERROR(VALUE(TRIM(SUBSTITUTE($AT40,CHAR(160),""))),0)),
TRUE,0
)
)</f>
        <v/>
      </c>
      <c r="BR40" s="1470" t="str" cm="1">
        <f t="array" ref="BR40">IF($AT40="","",
_xlfn.IFS(
$BL40="Devis 1",
IF(ISBLANK(AZ40),"",IFERROR(VALUE(TRIM(SUBSTITUTE(AZ40,CHAR(160),""))),0)*IFERROR(VALUE(TRIM(SUBSTITUTE($AT40,CHAR(160),""))),0)),
$BL40="Devis 2",
IF(ISBLANK(BE40),"",IFERROR(VALUE(TRIM(SUBSTITUTE(BE40,CHAR(160),""))),0)*IFERROR(VALUE(TRIM(SUBSTITUTE($AT40,CHAR(160),""))),0)),
$BL40="Devis 3",
IF(ISBLANK(BJ40),"",IFERROR(VALUE(TRIM(SUBSTITUTE(BJ40,CHAR(160),""))),0)*IFERROR(VALUE(TRIM(SUBSTITUTE($AT40,CHAR(160),""))),0)),
TRUE,0
)
)</f>
        <v/>
      </c>
      <c r="BS40" s="1470" t="str">
        <f t="shared" si="25"/>
        <v/>
      </c>
      <c r="BT40" s="194"/>
      <c r="BU40" s="216" t="str" cm="1">
        <f t="array" ref="BU40">IF(OR(BS40="",BP40="",BQ40="",BN40="",BR40="",BO40=""),"",_xlfn.IFS(
ROUND(IFERROR(VALUE(TRIM(SUBSTITUTE(BS40,CHAR(160),""))),0),2)&gt;
ROUND(IFERROR(VALUE(TRIM(SUBSTITUTE(BP40,CHAR(160),""))),0),2),
"KO : Le montant retenu TTC est supérieur au montant raisonnable TTC. Merci de revoir la ligne de dépense ou plafonner son montant.",
ROUND(IFERROR(VALUE(TRIM(SUBSTITUTE(BQ40,CHAR(160),""))),0),2)&gt;
ROUND(IFERROR(VALUE(TRIM(SUBSTITUTE(BN40,CHAR(160),""))),0),2),
"Attention : Le montant retenu HT est supérieur au montant HT raisonnable. Merci de revoir la ligne de dépense, plafonner son montant, ou justifier la reventillation HT / TVA.",
ROUND(IFERROR(VALUE(TRIM(SUBSTITUTE(BR40,CHAR(160),""))),0),2)&gt;
ROUND(IFERROR(VALUE(TRIM(SUBSTITUTE(BO40,CHAR(160),""))),0),2),
"Attention : Le montant TVA retenu est supérieur au montant TVA raisonnable. Merci de revoir la ligne de dépense, plafonner son montant, ou justifier la reventillation HT / TVA.",
ROUND(IFERROR(VALUE(TRIM(SUBSTITUTE(BS40,CHAR(160),""))),0),2)&gt;
ROUND(IFERROR(VALUE(TRIM(SUBSTITUTE(MIN(T40,Y40,AD40),CHAR(160),""))),0),2),
"Attention : Le devis retenu n'est pas le moins cher. Une justification de la part du porteur est nécessaire.",
ROUND(IFERROR(VALUE(TRIM(SUBSTITUTE(BS40,CHAR(160),""))),0),2)=0,
"Attention : montant présenté entièrement écarté",
ROUND(IFERROR(VALUE(TRIM(SUBSTITUTE(BP40,CHAR(160),""))),0),2)=
ROUND(IFERROR(VALUE(TRIM(SUBSTITUTE(BS40,CHAR(160),""))),0),2),
"OK",
ROUND(IFERROR(VALUE(TRIM(SUBSTITUTE(BP40,CHAR(160),""))),0),2)&gt;
ROUND(IFERROR(VALUE(TRIM(SUBSTITUTE(BS40,CHAR(160),""))),0),2),
" OK : Montant instruit inférieur au montant raisonnable.",
TRUE,""
))</f>
        <v/>
      </c>
      <c r="BV40" s="57" t="str" cm="1">
        <f t="array" ref="BV40">IF(OR(BS40="",AH40="",BQ40="",AF40="",BR40="",AG40=""),"",_xlfn.IFS(
ROUND(IFERROR(VALUE(TRIM(SUBSTITUTE(BS40,CHAR(160),""))),0),2)&gt;
ROUND(IFERROR(VALUE(TRIM(SUBSTITUTE(AH40,CHAR(160),""))),0),2),
"KO : Le montant retenu TTC est supérieur au montant présenté TTC. Merci de revoir la ligne de dépense ou plafonner son montant.",
ROUND(IFERROR(VALUE(TRIM(SUBSTITUTE(BQ40,CHAR(160),""))),0),2)&gt;
ROUND(IFERROR(VALUE(TRIM(SUBSTITUTE(AF40,CHAR(160),""))),0),2),
"Attention : Le montant retenu HT est supérieur au montant HT présenté. Merci de revoir la ligne de dépense, plafonner son montant, ou justifier la reventillation HT / TVA.",
ROUND(IFERROR(VALUE(TRIM(SUBSTITUTE(BR40,CHAR(160),""))),0),2)&gt;
ROUND(IFERROR(VALUE(TRIM(SUBSTITUTE(AG40,CHAR(160),""))),0),2),
"Attention : Le montant TVA retenu est supérieur au montant TVA présenté. Merci de revoir la ligne de dépense, plafonner son montant, ou justifier la reventillation HT / TVA.",
ROUND(IFERROR(VALUE(TRIM(SUBSTITUTE(AH40,CHAR(160),""))),0),2)=0,
"",
ROUND(IFERROR(VALUE(TRIM(SUBSTITUTE(BS40,CHAR(160),""))),0),2)=
ROUND(IFERROR(VALUE(TRIM(SUBSTITUTE(AH40,CHAR(160),""))),0),2),
"OK",
ROUND(IFERROR(VALUE(TRIM(SUBSTITUTE(BS40,CHAR(160),""))),0),2)=0,
"Attention : Montant présenté entièrement rejeté.",
ROUND(IFERROR(VALUE(TRIM(SUBSTITUTE(BS40,CHAR(160),""))),0),2)&lt;
ROUND(IFERROR(VALUE(TRIM(SUBSTITUTE(AH40,CHAR(160),""))),0),2),
"Attention : Montant présenté partiellement rejeté.",
TRUE,""
))</f>
        <v/>
      </c>
      <c r="BW40" s="1202" t="str">
        <f t="shared" si="15"/>
        <v/>
      </c>
      <c r="BX40" s="1202" t="str">
        <f t="shared" si="16"/>
        <v/>
      </c>
      <c r="BY40" s="1216" t="str">
        <f t="shared" si="17"/>
        <v/>
      </c>
      <c r="CB40"/>
      <c r="CF40" s="185"/>
    </row>
    <row r="41" spans="2:84" ht="20.100000000000001" customHeight="1">
      <c r="B41" s="1206">
        <v>31</v>
      </c>
      <c r="C41" s="11"/>
      <c r="D41" s="11"/>
      <c r="E41" s="22"/>
      <c r="F41" s="22"/>
      <c r="G41" s="22"/>
      <c r="H41" s="22"/>
      <c r="I41" s="11"/>
      <c r="J41" s="1201"/>
      <c r="K41" s="1512"/>
      <c r="L41" s="11"/>
      <c r="M41" s="2"/>
      <c r="N41" s="23"/>
      <c r="O41" s="25"/>
      <c r="P41" s="1552"/>
      <c r="Q41" s="1518"/>
      <c r="R41" s="1517"/>
      <c r="S41" s="1517"/>
      <c r="T41" s="1522" t="str">
        <f t="shared" si="18"/>
        <v/>
      </c>
      <c r="U41" s="1559"/>
      <c r="V41" s="1523"/>
      <c r="W41" s="1524"/>
      <c r="X41" s="1524"/>
      <c r="Y41" s="1539" t="str">
        <f t="shared" si="19"/>
        <v/>
      </c>
      <c r="Z41" s="1567"/>
      <c r="AA41" s="1568"/>
      <c r="AB41" s="1569"/>
      <c r="AC41" s="1569"/>
      <c r="AD41" s="1546" t="str">
        <f t="shared" si="20"/>
        <v/>
      </c>
      <c r="AE41" s="6"/>
      <c r="AF41" s="1202" t="str" cm="1">
        <f t="array" ref="AF41">IF((_xlfn.IFS(TRIM(SUBSTITUTE(AE41,CHAR(160),""))="Devis 1",IFERROR(VALUE(TRIM(SUBSTITUTE(R41,CHAR(160),""))),0),TRIM(SUBSTITUTE(AE41,CHAR(160),""))="Devis 2",IFERROR(VALUE(TRIM(SUBSTITUTE(W41,CHAR(160),""))),0),TRIM(SUBSTITUTE(AE41,CHAR(160),""))="Devis 3",IFERROR(VALUE(TRIM(SUBSTITUTE(AB41,CHAR(160),""))),0),TRUE,0)*IFERROR(VALUE(TRIM(SUBSTITUTE(M41,CHAR(160),""))),0))=0,"",_xlfn.IFS(TRIM(SUBSTITUTE(AE41,CHAR(160),""))="Devis 1",IFERROR(VALUE(TRIM(SUBSTITUTE(R41,CHAR(160),""))),0),TRIM(SUBSTITUTE(AE41,CHAR(160),""))="Devis 2",IFERROR(VALUE(TRIM(SUBSTITUTE(W41,CHAR(160),""))),0),TRIM(SUBSTITUTE(AE41,CHAR(160),""))="Devis 3",IFERROR(VALUE(TRIM(SUBSTITUTE(AB41,CHAR(160),""))),0),TRUE,0)*IFERROR(VALUE(TRIM(SUBSTITUTE(M41,CHAR(160),""))),0))</f>
        <v/>
      </c>
      <c r="AG41" s="1202" t="str" cm="1">
        <f t="array" ref="AG41">IF((_xlfn.IFS(TRIM(SUBSTITUTE(AE41,CHAR(160),""))="Devis 1",IFERROR(VALUE(TRIM(SUBSTITUTE(S41,CHAR(160),""))),0),TRIM(SUBSTITUTE(AE41,CHAR(160),""))="Devis 2",IFERROR(VALUE(TRIM(SUBSTITUTE(X41,CHAR(160),""))),0),TRIM(SUBSTITUTE(AE41,CHAR(160),""))="Devis 3",IFERROR(VALUE(TRIM(SUBSTITUTE(AC41,CHAR(160),""))),0),TRUE,0)*IFERROR(VALUE(TRIM(SUBSTITUTE(M41,CHAR(160),""))),0))=0,"",_xlfn.IFS(TRIM(SUBSTITUTE(AE41,CHAR(160),""))="Devis 1",IFERROR(VALUE(TRIM(SUBSTITUTE(S41,CHAR(160),""))),0),TRIM(SUBSTITUTE(AF41,CHAR(160),""))="Devis 2",IFERROR(VALUE(TRIM(SUBSTITUTE(X41,CHAR(160),""))),0),TRIM(SUBSTITUTE(AF41,CHAR(160),""))="Devis 3",IFERROR(VALUE(TRIM(SUBSTITUTE(AC41,CHAR(160),""))),0),TRUE,0)*IFERROR(VALUE(TRIM(SUBSTITUTE(M41,CHAR(160),""))),0))</f>
        <v/>
      </c>
      <c r="AH41" s="1202" t="str" cm="1">
        <f t="array" ref="AH41">IF((_xlfn.IFS(TRIM(SUBSTITUTE(AE41,CHAR(160),""))="Devis 1",IFERROR(VALUE(TRIM(SUBSTITUTE(T41,CHAR(160),""))),0),TRIM(SUBSTITUTE(AE41,CHAR(160),""))="Devis 2",IFERROR(VALUE(TRIM(SUBSTITUTE(Y41,CHAR(160),""))),0),TRIM(SUBSTITUTE(AE41,CHAR(160),""))="Devis 3",IFERROR(VALUE(TRIM(SUBSTITUTE(AD41,CHAR(160),""))),0),TRUE,0)*IFERROR(VALUE(TRIM(SUBSTITUTE(M41,CHAR(160),""))),0))=0,"",_xlfn.IFS(TRIM(SUBSTITUTE(AE41,CHAR(160),""))="Devis 1",IFERROR(VALUE(TRIM(SUBSTITUTE(T41,CHAR(160),""))),0),TRIM(SUBSTITUTE(AE41,CHAR(160),""))="Devis 2",IFERROR(VALUE(TRIM(SUBSTITUTE(Y41,CHAR(160),""))),0),TRIM(SUBSTITUTE(AE41,CHAR(160),""))="Devis 3",IFERROR(VALUE(TRIM(SUBSTITUTE(AD41,CHAR(160),""))),0),TRUE,0)*IFERROR(VALUE(TRIM(SUBSTITUTE(M41,CHAR(160),""))),0))</f>
        <v/>
      </c>
      <c r="AI41" s="488"/>
      <c r="AJ41" s="215" t="str">
        <f t="shared" si="26"/>
        <v/>
      </c>
      <c r="AK41" s="57" t="str">
        <f t="shared" si="27"/>
        <v/>
      </c>
      <c r="AL41" s="57" t="str">
        <f t="shared" si="28"/>
        <v/>
      </c>
      <c r="AM41" s="57" t="str">
        <f t="shared" si="29"/>
        <v/>
      </c>
      <c r="AN41" s="57" t="str">
        <f t="shared" si="21"/>
        <v/>
      </c>
      <c r="AO41" s="57" t="str">
        <f t="shared" si="30"/>
        <v/>
      </c>
      <c r="AP41" s="57" t="str">
        <f t="shared" si="31"/>
        <v/>
      </c>
      <c r="AQ41" s="57" t="str">
        <f t="shared" si="32"/>
        <v/>
      </c>
      <c r="AR41" s="57" t="str">
        <f t="shared" si="33"/>
        <v/>
      </c>
      <c r="AS41" s="57" t="str">
        <f t="shared" si="34"/>
        <v/>
      </c>
      <c r="AT41" s="1172" t="str">
        <f t="shared" si="35"/>
        <v/>
      </c>
      <c r="AU41" s="57" t="str">
        <f t="shared" si="36"/>
        <v/>
      </c>
      <c r="AV41" s="691" t="str">
        <f t="shared" si="37"/>
        <v/>
      </c>
      <c r="AW41" s="1533" t="str">
        <f t="shared" si="38"/>
        <v/>
      </c>
      <c r="AX41" s="1521" t="str">
        <f t="shared" si="39"/>
        <v/>
      </c>
      <c r="AY41" s="1663" t="str">
        <f t="shared" si="40"/>
        <v/>
      </c>
      <c r="AZ41" s="1663" t="str">
        <f t="shared" si="41"/>
        <v/>
      </c>
      <c r="BA41" s="1522" t="str">
        <f t="shared" si="2"/>
        <v/>
      </c>
      <c r="BB41" s="1527" t="str">
        <f t="shared" si="3"/>
        <v/>
      </c>
      <c r="BC41" s="1528" t="str">
        <f t="shared" si="4"/>
        <v/>
      </c>
      <c r="BD41" s="1654" t="str">
        <f t="shared" si="5"/>
        <v/>
      </c>
      <c r="BE41" s="1657" t="str">
        <f t="shared" si="6"/>
        <v/>
      </c>
      <c r="BF41" s="1539" t="str">
        <f t="shared" si="7"/>
        <v/>
      </c>
      <c r="BG41" s="1544" t="str">
        <f t="shared" si="8"/>
        <v/>
      </c>
      <c r="BH41" s="1545" t="str">
        <f t="shared" si="9"/>
        <v/>
      </c>
      <c r="BI41" s="1660" t="str">
        <f t="shared" si="10"/>
        <v/>
      </c>
      <c r="BJ41" s="1660" t="str">
        <f t="shared" si="11"/>
        <v/>
      </c>
      <c r="BK41" s="1546" t="str">
        <f t="shared" si="12"/>
        <v/>
      </c>
      <c r="BL41" s="1467" t="str">
        <f t="shared" si="22"/>
        <v/>
      </c>
      <c r="BM41" s="260"/>
      <c r="BN41" s="1667" t="str">
        <f t="shared" si="23"/>
        <v/>
      </c>
      <c r="BO41" s="1667" t="str">
        <f t="shared" si="24"/>
        <v/>
      </c>
      <c r="BP41" s="300" t="str">
        <f t="shared" si="14"/>
        <v/>
      </c>
      <c r="BQ41" s="1470" t="str" cm="1">
        <f t="array" ref="BQ41">IF($AT41="","",
_xlfn.IFS(
$BL41="Devis 1",
IF(ISBLANK(AY41),"",IFERROR(VALUE(TRIM(SUBSTITUTE(AY41,CHAR(160),""))),0)*IFERROR(VALUE(TRIM(SUBSTITUTE($AT41,CHAR(160),""))),0)),
$BL41="Devis 2",
IF(ISBLANK(BD41),"",IFERROR(VALUE(TRIM(SUBSTITUTE(BD41,CHAR(160),""))),0)*IFERROR(VALUE(TRIM(SUBSTITUTE($AT41,CHAR(160),""))),0)),
$BL41="Devis 3",
IF(ISBLANK(BI41),"",IFERROR(VALUE(TRIM(SUBSTITUTE(BI41,CHAR(160),""))),0)*IFERROR(VALUE(TRIM(SUBSTITUTE($AT41,CHAR(160),""))),0)),
TRUE,0
)
)</f>
        <v/>
      </c>
      <c r="BR41" s="1470" t="str" cm="1">
        <f t="array" ref="BR41">IF($AT41="","",
_xlfn.IFS(
$BL41="Devis 1",
IF(ISBLANK(AZ41),"",IFERROR(VALUE(TRIM(SUBSTITUTE(AZ41,CHAR(160),""))),0)*IFERROR(VALUE(TRIM(SUBSTITUTE($AT41,CHAR(160),""))),0)),
$BL41="Devis 2",
IF(ISBLANK(BE41),"",IFERROR(VALUE(TRIM(SUBSTITUTE(BE41,CHAR(160),""))),0)*IFERROR(VALUE(TRIM(SUBSTITUTE($AT41,CHAR(160),""))),0)),
$BL41="Devis 3",
IF(ISBLANK(BJ41),"",IFERROR(VALUE(TRIM(SUBSTITUTE(BJ41,CHAR(160),""))),0)*IFERROR(VALUE(TRIM(SUBSTITUTE($AT41,CHAR(160),""))),0)),
TRUE,0
)
)</f>
        <v/>
      </c>
      <c r="BS41" s="1470" t="str">
        <f t="shared" si="25"/>
        <v/>
      </c>
      <c r="BT41" s="194"/>
      <c r="BU41" s="216" t="str" cm="1">
        <f t="array" ref="BU41">IF(OR(BS41="",BP41="",BQ41="",BN41="",BR41="",BO41=""),"",_xlfn.IFS(
ROUND(IFERROR(VALUE(TRIM(SUBSTITUTE(BS41,CHAR(160),""))),0),2)&gt;
ROUND(IFERROR(VALUE(TRIM(SUBSTITUTE(BP41,CHAR(160),""))),0),2),
"KO : Le montant retenu TTC est supérieur au montant raisonnable TTC. Merci de revoir la ligne de dépense ou plafonner son montant.",
ROUND(IFERROR(VALUE(TRIM(SUBSTITUTE(BQ41,CHAR(160),""))),0),2)&gt;
ROUND(IFERROR(VALUE(TRIM(SUBSTITUTE(BN41,CHAR(160),""))),0),2),
"Attention : Le montant retenu HT est supérieur au montant HT raisonnable. Merci de revoir la ligne de dépense, plafonner son montant, ou justifier la reventillation HT / TVA.",
ROUND(IFERROR(VALUE(TRIM(SUBSTITUTE(BR41,CHAR(160),""))),0),2)&gt;
ROUND(IFERROR(VALUE(TRIM(SUBSTITUTE(BO41,CHAR(160),""))),0),2),
"Attention : Le montant TVA retenu est supérieur au montant TVA raisonnable. Merci de revoir la ligne de dépense, plafonner son montant, ou justifier la reventillation HT / TVA.",
ROUND(IFERROR(VALUE(TRIM(SUBSTITUTE(BS41,CHAR(160),""))),0),2)&gt;
ROUND(IFERROR(VALUE(TRIM(SUBSTITUTE(MIN(T41,Y41,AD41),CHAR(160),""))),0),2),
"Attention : Le devis retenu n'est pas le moins cher. Une justification de la part du porteur est nécessaire.",
ROUND(IFERROR(VALUE(TRIM(SUBSTITUTE(BS41,CHAR(160),""))),0),2)=0,
"Attention : montant présenté entièrement écarté",
ROUND(IFERROR(VALUE(TRIM(SUBSTITUTE(BP41,CHAR(160),""))),0),2)=
ROUND(IFERROR(VALUE(TRIM(SUBSTITUTE(BS41,CHAR(160),""))),0),2),
"OK",
ROUND(IFERROR(VALUE(TRIM(SUBSTITUTE(BP41,CHAR(160),""))),0),2)&gt;
ROUND(IFERROR(VALUE(TRIM(SUBSTITUTE(BS41,CHAR(160),""))),0),2),
" OK : Montant instruit inférieur au montant raisonnable.",
TRUE,""
))</f>
        <v/>
      </c>
      <c r="BV41" s="57" t="str" cm="1">
        <f t="array" ref="BV41">IF(OR(BS41="",AH41="",BQ41="",AF41="",BR41="",AG41=""),"",_xlfn.IFS(
ROUND(IFERROR(VALUE(TRIM(SUBSTITUTE(BS41,CHAR(160),""))),0),2)&gt;
ROUND(IFERROR(VALUE(TRIM(SUBSTITUTE(AH41,CHAR(160),""))),0),2),
"KO : Le montant retenu TTC est supérieur au montant présenté TTC. Merci de revoir la ligne de dépense ou plafonner son montant.",
ROUND(IFERROR(VALUE(TRIM(SUBSTITUTE(BQ41,CHAR(160),""))),0),2)&gt;
ROUND(IFERROR(VALUE(TRIM(SUBSTITUTE(AF41,CHAR(160),""))),0),2),
"Attention : Le montant retenu HT est supérieur au montant HT présenté. Merci de revoir la ligne de dépense, plafonner son montant, ou justifier la reventillation HT / TVA.",
ROUND(IFERROR(VALUE(TRIM(SUBSTITUTE(BR41,CHAR(160),""))),0),2)&gt;
ROUND(IFERROR(VALUE(TRIM(SUBSTITUTE(AG41,CHAR(160),""))),0),2),
"Attention : Le montant TVA retenu est supérieur au montant TVA présenté. Merci de revoir la ligne de dépense, plafonner son montant, ou justifier la reventillation HT / TVA.",
ROUND(IFERROR(VALUE(TRIM(SUBSTITUTE(AH41,CHAR(160),""))),0),2)=0,
"",
ROUND(IFERROR(VALUE(TRIM(SUBSTITUTE(BS41,CHAR(160),""))),0),2)=
ROUND(IFERROR(VALUE(TRIM(SUBSTITUTE(AH41,CHAR(160),""))),0),2),
"OK",
ROUND(IFERROR(VALUE(TRIM(SUBSTITUTE(BS41,CHAR(160),""))),0),2)=0,
"Attention : Montant présenté entièrement rejeté.",
ROUND(IFERROR(VALUE(TRIM(SUBSTITUTE(BS41,CHAR(160),""))),0),2)&lt;
ROUND(IFERROR(VALUE(TRIM(SUBSTITUTE(AH41,CHAR(160),""))),0),2),
"Attention : Montant présenté partiellement rejeté.",
TRUE,""
))</f>
        <v/>
      </c>
      <c r="BW41" s="1202" t="str">
        <f t="shared" si="15"/>
        <v/>
      </c>
      <c r="BX41" s="1202" t="str">
        <f t="shared" si="16"/>
        <v/>
      </c>
      <c r="BY41" s="1216" t="str">
        <f t="shared" si="17"/>
        <v/>
      </c>
      <c r="CB41"/>
      <c r="CF41" s="185"/>
    </row>
    <row r="42" spans="2:84" ht="20.100000000000001" customHeight="1">
      <c r="B42" s="1206">
        <v>32</v>
      </c>
      <c r="C42" s="11"/>
      <c r="D42" s="11"/>
      <c r="E42" s="22"/>
      <c r="F42" s="22"/>
      <c r="G42" s="22"/>
      <c r="H42" s="22"/>
      <c r="I42" s="11"/>
      <c r="J42" s="1201"/>
      <c r="K42" s="1512"/>
      <c r="L42" s="11"/>
      <c r="M42" s="2"/>
      <c r="N42" s="23"/>
      <c r="O42" s="25"/>
      <c r="P42" s="1552"/>
      <c r="Q42" s="1518"/>
      <c r="R42" s="1517"/>
      <c r="S42" s="1517"/>
      <c r="T42" s="1522" t="str">
        <f t="shared" si="18"/>
        <v/>
      </c>
      <c r="U42" s="1559"/>
      <c r="V42" s="1523"/>
      <c r="W42" s="1524"/>
      <c r="X42" s="1524"/>
      <c r="Y42" s="1539" t="str">
        <f t="shared" si="19"/>
        <v/>
      </c>
      <c r="Z42" s="1567"/>
      <c r="AA42" s="1568"/>
      <c r="AB42" s="1569"/>
      <c r="AC42" s="1569"/>
      <c r="AD42" s="1546" t="str">
        <f t="shared" si="20"/>
        <v/>
      </c>
      <c r="AE42" s="6"/>
      <c r="AF42" s="1202" t="str" cm="1">
        <f t="array" ref="AF42">IF((_xlfn.IFS(TRIM(SUBSTITUTE(AE42,CHAR(160),""))="Devis 1",IFERROR(VALUE(TRIM(SUBSTITUTE(R42,CHAR(160),""))),0),TRIM(SUBSTITUTE(AE42,CHAR(160),""))="Devis 2",IFERROR(VALUE(TRIM(SUBSTITUTE(W42,CHAR(160),""))),0),TRIM(SUBSTITUTE(AE42,CHAR(160),""))="Devis 3",IFERROR(VALUE(TRIM(SUBSTITUTE(AB42,CHAR(160),""))),0),TRUE,0)*IFERROR(VALUE(TRIM(SUBSTITUTE(M42,CHAR(160),""))),0))=0,"",_xlfn.IFS(TRIM(SUBSTITUTE(AE42,CHAR(160),""))="Devis 1",IFERROR(VALUE(TRIM(SUBSTITUTE(R42,CHAR(160),""))),0),TRIM(SUBSTITUTE(AE42,CHAR(160),""))="Devis 2",IFERROR(VALUE(TRIM(SUBSTITUTE(W42,CHAR(160),""))),0),TRIM(SUBSTITUTE(AE42,CHAR(160),""))="Devis 3",IFERROR(VALUE(TRIM(SUBSTITUTE(AB42,CHAR(160),""))),0),TRUE,0)*IFERROR(VALUE(TRIM(SUBSTITUTE(M42,CHAR(160),""))),0))</f>
        <v/>
      </c>
      <c r="AG42" s="1202" t="str" cm="1">
        <f t="array" ref="AG42">IF((_xlfn.IFS(TRIM(SUBSTITUTE(AE42,CHAR(160),""))="Devis 1",IFERROR(VALUE(TRIM(SUBSTITUTE(S42,CHAR(160),""))),0),TRIM(SUBSTITUTE(AE42,CHAR(160),""))="Devis 2",IFERROR(VALUE(TRIM(SUBSTITUTE(X42,CHAR(160),""))),0),TRIM(SUBSTITUTE(AE42,CHAR(160),""))="Devis 3",IFERROR(VALUE(TRIM(SUBSTITUTE(AC42,CHAR(160),""))),0),TRUE,0)*IFERROR(VALUE(TRIM(SUBSTITUTE(M42,CHAR(160),""))),0))=0,"",_xlfn.IFS(TRIM(SUBSTITUTE(AE42,CHAR(160),""))="Devis 1",IFERROR(VALUE(TRIM(SUBSTITUTE(S42,CHAR(160),""))),0),TRIM(SUBSTITUTE(AF42,CHAR(160),""))="Devis 2",IFERROR(VALUE(TRIM(SUBSTITUTE(X42,CHAR(160),""))),0),TRIM(SUBSTITUTE(AF42,CHAR(160),""))="Devis 3",IFERROR(VALUE(TRIM(SUBSTITUTE(AC42,CHAR(160),""))),0),TRUE,0)*IFERROR(VALUE(TRIM(SUBSTITUTE(M42,CHAR(160),""))),0))</f>
        <v/>
      </c>
      <c r="AH42" s="1202" t="str" cm="1">
        <f t="array" ref="AH42">IF((_xlfn.IFS(TRIM(SUBSTITUTE(AE42,CHAR(160),""))="Devis 1",IFERROR(VALUE(TRIM(SUBSTITUTE(T42,CHAR(160),""))),0),TRIM(SUBSTITUTE(AE42,CHAR(160),""))="Devis 2",IFERROR(VALUE(TRIM(SUBSTITUTE(Y42,CHAR(160),""))),0),TRIM(SUBSTITUTE(AE42,CHAR(160),""))="Devis 3",IFERROR(VALUE(TRIM(SUBSTITUTE(AD42,CHAR(160),""))),0),TRUE,0)*IFERROR(VALUE(TRIM(SUBSTITUTE(M42,CHAR(160),""))),0))=0,"",_xlfn.IFS(TRIM(SUBSTITUTE(AE42,CHAR(160),""))="Devis 1",IFERROR(VALUE(TRIM(SUBSTITUTE(T42,CHAR(160),""))),0),TRIM(SUBSTITUTE(AE42,CHAR(160),""))="Devis 2",IFERROR(VALUE(TRIM(SUBSTITUTE(Y42,CHAR(160),""))),0),TRIM(SUBSTITUTE(AE42,CHAR(160),""))="Devis 3",IFERROR(VALUE(TRIM(SUBSTITUTE(AD42,CHAR(160),""))),0),TRUE,0)*IFERROR(VALUE(TRIM(SUBSTITUTE(M42,CHAR(160),""))),0))</f>
        <v/>
      </c>
      <c r="AI42" s="488"/>
      <c r="AJ42" s="215" t="str">
        <f t="shared" si="26"/>
        <v/>
      </c>
      <c r="AK42" s="57" t="str">
        <f t="shared" si="27"/>
        <v/>
      </c>
      <c r="AL42" s="57" t="str">
        <f t="shared" si="28"/>
        <v/>
      </c>
      <c r="AM42" s="57" t="str">
        <f t="shared" si="29"/>
        <v/>
      </c>
      <c r="AN42" s="57" t="str">
        <f t="shared" si="21"/>
        <v/>
      </c>
      <c r="AO42" s="57" t="str">
        <f t="shared" si="30"/>
        <v/>
      </c>
      <c r="AP42" s="57" t="str">
        <f t="shared" si="31"/>
        <v/>
      </c>
      <c r="AQ42" s="57" t="str">
        <f t="shared" si="32"/>
        <v/>
      </c>
      <c r="AR42" s="57" t="str">
        <f t="shared" si="33"/>
        <v/>
      </c>
      <c r="AS42" s="57" t="str">
        <f t="shared" si="34"/>
        <v/>
      </c>
      <c r="AT42" s="1172" t="str">
        <f t="shared" si="35"/>
        <v/>
      </c>
      <c r="AU42" s="57" t="str">
        <f t="shared" si="36"/>
        <v/>
      </c>
      <c r="AV42" s="691" t="str">
        <f t="shared" si="37"/>
        <v/>
      </c>
      <c r="AW42" s="1533" t="str">
        <f t="shared" si="38"/>
        <v/>
      </c>
      <c r="AX42" s="1521" t="str">
        <f t="shared" si="39"/>
        <v/>
      </c>
      <c r="AY42" s="1663" t="str">
        <f t="shared" si="40"/>
        <v/>
      </c>
      <c r="AZ42" s="1663" t="str">
        <f t="shared" si="41"/>
        <v/>
      </c>
      <c r="BA42" s="1522" t="str">
        <f t="shared" si="2"/>
        <v/>
      </c>
      <c r="BB42" s="1527" t="str">
        <f t="shared" si="3"/>
        <v/>
      </c>
      <c r="BC42" s="1528" t="str">
        <f t="shared" si="4"/>
        <v/>
      </c>
      <c r="BD42" s="1654" t="str">
        <f t="shared" si="5"/>
        <v/>
      </c>
      <c r="BE42" s="1657" t="str">
        <f t="shared" si="6"/>
        <v/>
      </c>
      <c r="BF42" s="1539" t="str">
        <f t="shared" si="7"/>
        <v/>
      </c>
      <c r="BG42" s="1544" t="str">
        <f t="shared" si="8"/>
        <v/>
      </c>
      <c r="BH42" s="1545" t="str">
        <f t="shared" si="9"/>
        <v/>
      </c>
      <c r="BI42" s="1660" t="str">
        <f t="shared" si="10"/>
        <v/>
      </c>
      <c r="BJ42" s="1660" t="str">
        <f t="shared" si="11"/>
        <v/>
      </c>
      <c r="BK42" s="1546" t="str">
        <f t="shared" si="12"/>
        <v/>
      </c>
      <c r="BL42" s="1467" t="str">
        <f t="shared" si="22"/>
        <v/>
      </c>
      <c r="BM42" s="260"/>
      <c r="BN42" s="1667" t="str">
        <f t="shared" si="23"/>
        <v/>
      </c>
      <c r="BO42" s="1667" t="str">
        <f t="shared" si="24"/>
        <v/>
      </c>
      <c r="BP42" s="300" t="str">
        <f t="shared" si="14"/>
        <v/>
      </c>
      <c r="BQ42" s="1470" t="str" cm="1">
        <f t="array" ref="BQ42">IF($AT42="","",
_xlfn.IFS(
$BL42="Devis 1",
IF(ISBLANK(AY42),"",IFERROR(VALUE(TRIM(SUBSTITUTE(AY42,CHAR(160),""))),0)*IFERROR(VALUE(TRIM(SUBSTITUTE($AT42,CHAR(160),""))),0)),
$BL42="Devis 2",
IF(ISBLANK(BD42),"",IFERROR(VALUE(TRIM(SUBSTITUTE(BD42,CHAR(160),""))),0)*IFERROR(VALUE(TRIM(SUBSTITUTE($AT42,CHAR(160),""))),0)),
$BL42="Devis 3",
IF(ISBLANK(BI42),"",IFERROR(VALUE(TRIM(SUBSTITUTE(BI42,CHAR(160),""))),0)*IFERROR(VALUE(TRIM(SUBSTITUTE($AT42,CHAR(160),""))),0)),
TRUE,0
)
)</f>
        <v/>
      </c>
      <c r="BR42" s="1470" t="str" cm="1">
        <f t="array" ref="BR42">IF($AT42="","",
_xlfn.IFS(
$BL42="Devis 1",
IF(ISBLANK(AZ42),"",IFERROR(VALUE(TRIM(SUBSTITUTE(AZ42,CHAR(160),""))),0)*IFERROR(VALUE(TRIM(SUBSTITUTE($AT42,CHAR(160),""))),0)),
$BL42="Devis 2",
IF(ISBLANK(BE42),"",IFERROR(VALUE(TRIM(SUBSTITUTE(BE42,CHAR(160),""))),0)*IFERROR(VALUE(TRIM(SUBSTITUTE($AT42,CHAR(160),""))),0)),
$BL42="Devis 3",
IF(ISBLANK(BJ42),"",IFERROR(VALUE(TRIM(SUBSTITUTE(BJ42,CHAR(160),""))),0)*IFERROR(VALUE(TRIM(SUBSTITUTE($AT42,CHAR(160),""))),0)),
TRUE,0
)
)</f>
        <v/>
      </c>
      <c r="BS42" s="1470" t="str">
        <f t="shared" si="25"/>
        <v/>
      </c>
      <c r="BT42" s="194"/>
      <c r="BU42" s="216" t="str" cm="1">
        <f t="array" ref="BU42">IF(OR(BS42="",BP42="",BQ42="",BN42="",BR42="",BO42=""),"",_xlfn.IFS(
ROUND(IFERROR(VALUE(TRIM(SUBSTITUTE(BS42,CHAR(160),""))),0),2)&gt;
ROUND(IFERROR(VALUE(TRIM(SUBSTITUTE(BP42,CHAR(160),""))),0),2),
"KO : Le montant retenu TTC est supérieur au montant raisonnable TTC. Merci de revoir la ligne de dépense ou plafonner son montant.",
ROUND(IFERROR(VALUE(TRIM(SUBSTITUTE(BQ42,CHAR(160),""))),0),2)&gt;
ROUND(IFERROR(VALUE(TRIM(SUBSTITUTE(BN42,CHAR(160),""))),0),2),
"Attention : Le montant retenu HT est supérieur au montant HT raisonnable. Merci de revoir la ligne de dépense, plafonner son montant, ou justifier la reventillation HT / TVA.",
ROUND(IFERROR(VALUE(TRIM(SUBSTITUTE(BR42,CHAR(160),""))),0),2)&gt;
ROUND(IFERROR(VALUE(TRIM(SUBSTITUTE(BO42,CHAR(160),""))),0),2),
"Attention : Le montant TVA retenu est supérieur au montant TVA raisonnable. Merci de revoir la ligne de dépense, plafonner son montant, ou justifier la reventillation HT / TVA.",
ROUND(IFERROR(VALUE(TRIM(SUBSTITUTE(BS42,CHAR(160),""))),0),2)&gt;
ROUND(IFERROR(VALUE(TRIM(SUBSTITUTE(MIN(T42,Y42,AD42),CHAR(160),""))),0),2),
"Attention : Le devis retenu n'est pas le moins cher. Une justification de la part du porteur est nécessaire.",
ROUND(IFERROR(VALUE(TRIM(SUBSTITUTE(BS42,CHAR(160),""))),0),2)=0,
"Attention : montant présenté entièrement écarté",
ROUND(IFERROR(VALUE(TRIM(SUBSTITUTE(BP42,CHAR(160),""))),0),2)=
ROUND(IFERROR(VALUE(TRIM(SUBSTITUTE(BS42,CHAR(160),""))),0),2),
"OK",
ROUND(IFERROR(VALUE(TRIM(SUBSTITUTE(BP42,CHAR(160),""))),0),2)&gt;
ROUND(IFERROR(VALUE(TRIM(SUBSTITUTE(BS42,CHAR(160),""))),0),2),
" OK : Montant instruit inférieur au montant raisonnable.",
TRUE,""
))</f>
        <v/>
      </c>
      <c r="BV42" s="57" t="str" cm="1">
        <f t="array" ref="BV42">IF(OR(BS42="",AH42="",BQ42="",AF42="",BR42="",AG42=""),"",_xlfn.IFS(
ROUND(IFERROR(VALUE(TRIM(SUBSTITUTE(BS42,CHAR(160),""))),0),2)&gt;
ROUND(IFERROR(VALUE(TRIM(SUBSTITUTE(AH42,CHAR(160),""))),0),2),
"KO : Le montant retenu TTC est supérieur au montant présenté TTC. Merci de revoir la ligne de dépense ou plafonner son montant.",
ROUND(IFERROR(VALUE(TRIM(SUBSTITUTE(BQ42,CHAR(160),""))),0),2)&gt;
ROUND(IFERROR(VALUE(TRIM(SUBSTITUTE(AF42,CHAR(160),""))),0),2),
"Attention : Le montant retenu HT est supérieur au montant HT présenté. Merci de revoir la ligne de dépense, plafonner son montant, ou justifier la reventillation HT / TVA.",
ROUND(IFERROR(VALUE(TRIM(SUBSTITUTE(BR42,CHAR(160),""))),0),2)&gt;
ROUND(IFERROR(VALUE(TRIM(SUBSTITUTE(AG42,CHAR(160),""))),0),2),
"Attention : Le montant TVA retenu est supérieur au montant TVA présenté. Merci de revoir la ligne de dépense, plafonner son montant, ou justifier la reventillation HT / TVA.",
ROUND(IFERROR(VALUE(TRIM(SUBSTITUTE(AH42,CHAR(160),""))),0),2)=0,
"",
ROUND(IFERROR(VALUE(TRIM(SUBSTITUTE(BS42,CHAR(160),""))),0),2)=
ROUND(IFERROR(VALUE(TRIM(SUBSTITUTE(AH42,CHAR(160),""))),0),2),
"OK",
ROUND(IFERROR(VALUE(TRIM(SUBSTITUTE(BS42,CHAR(160),""))),0),2)=0,
"Attention : Montant présenté entièrement rejeté.",
ROUND(IFERROR(VALUE(TRIM(SUBSTITUTE(BS42,CHAR(160),""))),0),2)&lt;
ROUND(IFERROR(VALUE(TRIM(SUBSTITUTE(AH42,CHAR(160),""))),0),2),
"Attention : Montant présenté partiellement rejeté.",
TRUE,""
))</f>
        <v/>
      </c>
      <c r="BW42" s="1202" t="str">
        <f t="shared" si="15"/>
        <v/>
      </c>
      <c r="BX42" s="1202" t="str">
        <f t="shared" si="16"/>
        <v/>
      </c>
      <c r="BY42" s="1216" t="str">
        <f t="shared" si="17"/>
        <v/>
      </c>
      <c r="CB42"/>
      <c r="CF42" s="185"/>
    </row>
    <row r="43" spans="2:84" ht="20.100000000000001" customHeight="1">
      <c r="B43" s="1206">
        <v>33</v>
      </c>
      <c r="C43" s="11"/>
      <c r="D43" s="11"/>
      <c r="E43" s="22"/>
      <c r="F43" s="22"/>
      <c r="G43" s="22"/>
      <c r="H43" s="22"/>
      <c r="I43" s="11"/>
      <c r="J43" s="1201"/>
      <c r="K43" s="1512"/>
      <c r="L43" s="11"/>
      <c r="M43" s="2"/>
      <c r="N43" s="23"/>
      <c r="O43" s="25"/>
      <c r="P43" s="1552"/>
      <c r="Q43" s="1518"/>
      <c r="R43" s="1517"/>
      <c r="S43" s="1517"/>
      <c r="T43" s="1522" t="str">
        <f t="shared" si="18"/>
        <v/>
      </c>
      <c r="U43" s="1559"/>
      <c r="V43" s="1523"/>
      <c r="W43" s="1524"/>
      <c r="X43" s="1524"/>
      <c r="Y43" s="1539" t="str">
        <f t="shared" si="19"/>
        <v/>
      </c>
      <c r="Z43" s="1567"/>
      <c r="AA43" s="1568"/>
      <c r="AB43" s="1569"/>
      <c r="AC43" s="1569"/>
      <c r="AD43" s="1546" t="str">
        <f t="shared" si="20"/>
        <v/>
      </c>
      <c r="AE43" s="6"/>
      <c r="AF43" s="1202" t="str" cm="1">
        <f t="array" ref="AF43">IF((_xlfn.IFS(TRIM(SUBSTITUTE(AE43,CHAR(160),""))="Devis 1",IFERROR(VALUE(TRIM(SUBSTITUTE(R43,CHAR(160),""))),0),TRIM(SUBSTITUTE(AE43,CHAR(160),""))="Devis 2",IFERROR(VALUE(TRIM(SUBSTITUTE(W43,CHAR(160),""))),0),TRIM(SUBSTITUTE(AE43,CHAR(160),""))="Devis 3",IFERROR(VALUE(TRIM(SUBSTITUTE(AB43,CHAR(160),""))),0),TRUE,0)*IFERROR(VALUE(TRIM(SUBSTITUTE(M43,CHAR(160),""))),0))=0,"",_xlfn.IFS(TRIM(SUBSTITUTE(AE43,CHAR(160),""))="Devis 1",IFERROR(VALUE(TRIM(SUBSTITUTE(R43,CHAR(160),""))),0),TRIM(SUBSTITUTE(AE43,CHAR(160),""))="Devis 2",IFERROR(VALUE(TRIM(SUBSTITUTE(W43,CHAR(160),""))),0),TRIM(SUBSTITUTE(AE43,CHAR(160),""))="Devis 3",IFERROR(VALUE(TRIM(SUBSTITUTE(AB43,CHAR(160),""))),0),TRUE,0)*IFERROR(VALUE(TRIM(SUBSTITUTE(M43,CHAR(160),""))),0))</f>
        <v/>
      </c>
      <c r="AG43" s="1202" t="str" cm="1">
        <f t="array" ref="AG43">IF((_xlfn.IFS(TRIM(SUBSTITUTE(AE43,CHAR(160),""))="Devis 1",IFERROR(VALUE(TRIM(SUBSTITUTE(S43,CHAR(160),""))),0),TRIM(SUBSTITUTE(AE43,CHAR(160),""))="Devis 2",IFERROR(VALUE(TRIM(SUBSTITUTE(X43,CHAR(160),""))),0),TRIM(SUBSTITUTE(AE43,CHAR(160),""))="Devis 3",IFERROR(VALUE(TRIM(SUBSTITUTE(AC43,CHAR(160),""))),0),TRUE,0)*IFERROR(VALUE(TRIM(SUBSTITUTE(M43,CHAR(160),""))),0))=0,"",_xlfn.IFS(TRIM(SUBSTITUTE(AE43,CHAR(160),""))="Devis 1",IFERROR(VALUE(TRIM(SUBSTITUTE(S43,CHAR(160),""))),0),TRIM(SUBSTITUTE(AF43,CHAR(160),""))="Devis 2",IFERROR(VALUE(TRIM(SUBSTITUTE(X43,CHAR(160),""))),0),TRIM(SUBSTITUTE(AF43,CHAR(160),""))="Devis 3",IFERROR(VALUE(TRIM(SUBSTITUTE(AC43,CHAR(160),""))),0),TRUE,0)*IFERROR(VALUE(TRIM(SUBSTITUTE(M43,CHAR(160),""))),0))</f>
        <v/>
      </c>
      <c r="AH43" s="1202" t="str" cm="1">
        <f t="array" ref="AH43">IF((_xlfn.IFS(TRIM(SUBSTITUTE(AE43,CHAR(160),""))="Devis 1",IFERROR(VALUE(TRIM(SUBSTITUTE(T43,CHAR(160),""))),0),TRIM(SUBSTITUTE(AE43,CHAR(160),""))="Devis 2",IFERROR(VALUE(TRIM(SUBSTITUTE(Y43,CHAR(160),""))),0),TRIM(SUBSTITUTE(AE43,CHAR(160),""))="Devis 3",IFERROR(VALUE(TRIM(SUBSTITUTE(AD43,CHAR(160),""))),0),TRUE,0)*IFERROR(VALUE(TRIM(SUBSTITUTE(M43,CHAR(160),""))),0))=0,"",_xlfn.IFS(TRIM(SUBSTITUTE(AE43,CHAR(160),""))="Devis 1",IFERROR(VALUE(TRIM(SUBSTITUTE(T43,CHAR(160),""))),0),TRIM(SUBSTITUTE(AE43,CHAR(160),""))="Devis 2",IFERROR(VALUE(TRIM(SUBSTITUTE(Y43,CHAR(160),""))),0),TRIM(SUBSTITUTE(AE43,CHAR(160),""))="Devis 3",IFERROR(VALUE(TRIM(SUBSTITUTE(AD43,CHAR(160),""))),0),TRUE,0)*IFERROR(VALUE(TRIM(SUBSTITUTE(M43,CHAR(160),""))),0))</f>
        <v/>
      </c>
      <c r="AI43" s="488"/>
      <c r="AJ43" s="215" t="str">
        <f t="shared" si="26"/>
        <v/>
      </c>
      <c r="AK43" s="57" t="str">
        <f t="shared" si="27"/>
        <v/>
      </c>
      <c r="AL43" s="57" t="str">
        <f t="shared" si="28"/>
        <v/>
      </c>
      <c r="AM43" s="57" t="str">
        <f t="shared" si="29"/>
        <v/>
      </c>
      <c r="AN43" s="57" t="str">
        <f t="shared" si="21"/>
        <v/>
      </c>
      <c r="AO43" s="57" t="str">
        <f t="shared" si="30"/>
        <v/>
      </c>
      <c r="AP43" s="57" t="str">
        <f t="shared" si="31"/>
        <v/>
      </c>
      <c r="AQ43" s="57" t="str">
        <f t="shared" si="32"/>
        <v/>
      </c>
      <c r="AR43" s="57" t="str">
        <f t="shared" si="33"/>
        <v/>
      </c>
      <c r="AS43" s="57" t="str">
        <f t="shared" si="34"/>
        <v/>
      </c>
      <c r="AT43" s="1172" t="str">
        <f t="shared" si="35"/>
        <v/>
      </c>
      <c r="AU43" s="57" t="str">
        <f t="shared" si="36"/>
        <v/>
      </c>
      <c r="AV43" s="691" t="str">
        <f t="shared" si="37"/>
        <v/>
      </c>
      <c r="AW43" s="1533" t="str">
        <f t="shared" si="38"/>
        <v/>
      </c>
      <c r="AX43" s="1521" t="str">
        <f t="shared" si="39"/>
        <v/>
      </c>
      <c r="AY43" s="1663" t="str">
        <f t="shared" si="40"/>
        <v/>
      </c>
      <c r="AZ43" s="1663" t="str">
        <f t="shared" si="41"/>
        <v/>
      </c>
      <c r="BA43" s="1522" t="str">
        <f t="shared" si="2"/>
        <v/>
      </c>
      <c r="BB43" s="1527" t="str">
        <f t="shared" si="3"/>
        <v/>
      </c>
      <c r="BC43" s="1528" t="str">
        <f t="shared" si="4"/>
        <v/>
      </c>
      <c r="BD43" s="1654" t="str">
        <f t="shared" si="5"/>
        <v/>
      </c>
      <c r="BE43" s="1657" t="str">
        <f t="shared" si="6"/>
        <v/>
      </c>
      <c r="BF43" s="1539" t="str">
        <f t="shared" si="7"/>
        <v/>
      </c>
      <c r="BG43" s="1544" t="str">
        <f t="shared" si="8"/>
        <v/>
      </c>
      <c r="BH43" s="1545" t="str">
        <f t="shared" si="9"/>
        <v/>
      </c>
      <c r="BI43" s="1660" t="str">
        <f t="shared" si="10"/>
        <v/>
      </c>
      <c r="BJ43" s="1660" t="str">
        <f t="shared" si="11"/>
        <v/>
      </c>
      <c r="BK43" s="1546" t="str">
        <f t="shared" si="12"/>
        <v/>
      </c>
      <c r="BL43" s="1467" t="str">
        <f t="shared" si="22"/>
        <v/>
      </c>
      <c r="BM43" s="260"/>
      <c r="BN43" s="1667" t="str">
        <f t="shared" si="23"/>
        <v/>
      </c>
      <c r="BO43" s="1667" t="str">
        <f t="shared" si="24"/>
        <v/>
      </c>
      <c r="BP43" s="300" t="str">
        <f t="shared" si="14"/>
        <v/>
      </c>
      <c r="BQ43" s="1470" t="str" cm="1">
        <f t="array" ref="BQ43">IF($AT43="","",
_xlfn.IFS(
$BL43="Devis 1",
IF(ISBLANK(AY43),"",IFERROR(VALUE(TRIM(SUBSTITUTE(AY43,CHAR(160),""))),0)*IFERROR(VALUE(TRIM(SUBSTITUTE($AT43,CHAR(160),""))),0)),
$BL43="Devis 2",
IF(ISBLANK(BD43),"",IFERROR(VALUE(TRIM(SUBSTITUTE(BD43,CHAR(160),""))),0)*IFERROR(VALUE(TRIM(SUBSTITUTE($AT43,CHAR(160),""))),0)),
$BL43="Devis 3",
IF(ISBLANK(BI43),"",IFERROR(VALUE(TRIM(SUBSTITUTE(BI43,CHAR(160),""))),0)*IFERROR(VALUE(TRIM(SUBSTITUTE($AT43,CHAR(160),""))),0)),
TRUE,0
)
)</f>
        <v/>
      </c>
      <c r="BR43" s="1470" t="str" cm="1">
        <f t="array" ref="BR43">IF($AT43="","",
_xlfn.IFS(
$BL43="Devis 1",
IF(ISBLANK(AZ43),"",IFERROR(VALUE(TRIM(SUBSTITUTE(AZ43,CHAR(160),""))),0)*IFERROR(VALUE(TRIM(SUBSTITUTE($AT43,CHAR(160),""))),0)),
$BL43="Devis 2",
IF(ISBLANK(BE43),"",IFERROR(VALUE(TRIM(SUBSTITUTE(BE43,CHAR(160),""))),0)*IFERROR(VALUE(TRIM(SUBSTITUTE($AT43,CHAR(160),""))),0)),
$BL43="Devis 3",
IF(ISBLANK(BJ43),"",IFERROR(VALUE(TRIM(SUBSTITUTE(BJ43,CHAR(160),""))),0)*IFERROR(VALUE(TRIM(SUBSTITUTE($AT43,CHAR(160),""))),0)),
TRUE,0
)
)</f>
        <v/>
      </c>
      <c r="BS43" s="1470" t="str">
        <f t="shared" si="25"/>
        <v/>
      </c>
      <c r="BT43" s="194"/>
      <c r="BU43" s="216" t="str" cm="1">
        <f t="array" ref="BU43">IF(OR(BS43="",BP43="",BQ43="",BN43="",BR43="",BO43=""),"",_xlfn.IFS(
ROUND(IFERROR(VALUE(TRIM(SUBSTITUTE(BS43,CHAR(160),""))),0),2)&gt;
ROUND(IFERROR(VALUE(TRIM(SUBSTITUTE(BP43,CHAR(160),""))),0),2),
"KO : Le montant retenu TTC est supérieur au montant raisonnable TTC. Merci de revoir la ligne de dépense ou plafonner son montant.",
ROUND(IFERROR(VALUE(TRIM(SUBSTITUTE(BQ43,CHAR(160),""))),0),2)&gt;
ROUND(IFERROR(VALUE(TRIM(SUBSTITUTE(BN43,CHAR(160),""))),0),2),
"Attention : Le montant retenu HT est supérieur au montant HT raisonnable. Merci de revoir la ligne de dépense, plafonner son montant, ou justifier la reventillation HT / TVA.",
ROUND(IFERROR(VALUE(TRIM(SUBSTITUTE(BR43,CHAR(160),""))),0),2)&gt;
ROUND(IFERROR(VALUE(TRIM(SUBSTITUTE(BO43,CHAR(160),""))),0),2),
"Attention : Le montant TVA retenu est supérieur au montant TVA raisonnable. Merci de revoir la ligne de dépense, plafonner son montant, ou justifier la reventillation HT / TVA.",
ROUND(IFERROR(VALUE(TRIM(SUBSTITUTE(BS43,CHAR(160),""))),0),2)&gt;
ROUND(IFERROR(VALUE(TRIM(SUBSTITUTE(MIN(T43,Y43,AD43),CHAR(160),""))),0),2),
"Attention : Le devis retenu n'est pas le moins cher. Une justification de la part du porteur est nécessaire.",
ROUND(IFERROR(VALUE(TRIM(SUBSTITUTE(BS43,CHAR(160),""))),0),2)=0,
"Attention : montant présenté entièrement écarté",
ROUND(IFERROR(VALUE(TRIM(SUBSTITUTE(BP43,CHAR(160),""))),0),2)=
ROUND(IFERROR(VALUE(TRIM(SUBSTITUTE(BS43,CHAR(160),""))),0),2),
"OK",
ROUND(IFERROR(VALUE(TRIM(SUBSTITUTE(BP43,CHAR(160),""))),0),2)&gt;
ROUND(IFERROR(VALUE(TRIM(SUBSTITUTE(BS43,CHAR(160),""))),0),2),
" OK : Montant instruit inférieur au montant raisonnable.",
TRUE,""
))</f>
        <v/>
      </c>
      <c r="BV43" s="57" t="str" cm="1">
        <f t="array" ref="BV43">IF(OR(BS43="",AH43="",BQ43="",AF43="",BR43="",AG43=""),"",_xlfn.IFS(
ROUND(IFERROR(VALUE(TRIM(SUBSTITUTE(BS43,CHAR(160),""))),0),2)&gt;
ROUND(IFERROR(VALUE(TRIM(SUBSTITUTE(AH43,CHAR(160),""))),0),2),
"KO : Le montant retenu TTC est supérieur au montant présenté TTC. Merci de revoir la ligne de dépense ou plafonner son montant.",
ROUND(IFERROR(VALUE(TRIM(SUBSTITUTE(BQ43,CHAR(160),""))),0),2)&gt;
ROUND(IFERROR(VALUE(TRIM(SUBSTITUTE(AF43,CHAR(160),""))),0),2),
"Attention : Le montant retenu HT est supérieur au montant HT présenté. Merci de revoir la ligne de dépense, plafonner son montant, ou justifier la reventillation HT / TVA.",
ROUND(IFERROR(VALUE(TRIM(SUBSTITUTE(BR43,CHAR(160),""))),0),2)&gt;
ROUND(IFERROR(VALUE(TRIM(SUBSTITUTE(AG43,CHAR(160),""))),0),2),
"Attention : Le montant TVA retenu est supérieur au montant TVA présenté. Merci de revoir la ligne de dépense, plafonner son montant, ou justifier la reventillation HT / TVA.",
ROUND(IFERROR(VALUE(TRIM(SUBSTITUTE(AH43,CHAR(160),""))),0),2)=0,
"",
ROUND(IFERROR(VALUE(TRIM(SUBSTITUTE(BS43,CHAR(160),""))),0),2)=
ROUND(IFERROR(VALUE(TRIM(SUBSTITUTE(AH43,CHAR(160),""))),0),2),
"OK",
ROUND(IFERROR(VALUE(TRIM(SUBSTITUTE(BS43,CHAR(160),""))),0),2)=0,
"Attention : Montant présenté entièrement rejeté.",
ROUND(IFERROR(VALUE(TRIM(SUBSTITUTE(BS43,CHAR(160),""))),0),2)&lt;
ROUND(IFERROR(VALUE(TRIM(SUBSTITUTE(AH43,CHAR(160),""))),0),2),
"Attention : Montant présenté partiellement rejeté.",
TRUE,""
))</f>
        <v/>
      </c>
      <c r="BW43" s="1202" t="str">
        <f t="shared" si="15"/>
        <v/>
      </c>
      <c r="BX43" s="1202" t="str">
        <f t="shared" si="16"/>
        <v/>
      </c>
      <c r="BY43" s="1216" t="str">
        <f t="shared" si="17"/>
        <v/>
      </c>
      <c r="CB43"/>
      <c r="CF43" s="185"/>
    </row>
    <row r="44" spans="2:84" ht="20.100000000000001" customHeight="1">
      <c r="B44" s="1206">
        <v>34</v>
      </c>
      <c r="C44" s="11"/>
      <c r="D44" s="11"/>
      <c r="E44" s="22"/>
      <c r="F44" s="22"/>
      <c r="G44" s="22"/>
      <c r="H44" s="22"/>
      <c r="I44" s="11"/>
      <c r="J44" s="1201"/>
      <c r="K44" s="1512"/>
      <c r="L44" s="11"/>
      <c r="M44" s="2"/>
      <c r="N44" s="23"/>
      <c r="O44" s="25"/>
      <c r="P44" s="1552"/>
      <c r="Q44" s="1518"/>
      <c r="R44" s="1517"/>
      <c r="S44" s="1517"/>
      <c r="T44" s="1522" t="str">
        <f t="shared" si="18"/>
        <v/>
      </c>
      <c r="U44" s="1559"/>
      <c r="V44" s="1523"/>
      <c r="W44" s="1524"/>
      <c r="X44" s="1524"/>
      <c r="Y44" s="1539" t="str">
        <f t="shared" si="19"/>
        <v/>
      </c>
      <c r="Z44" s="1567"/>
      <c r="AA44" s="1568"/>
      <c r="AB44" s="1569"/>
      <c r="AC44" s="1569"/>
      <c r="AD44" s="1546" t="str">
        <f t="shared" si="20"/>
        <v/>
      </c>
      <c r="AE44" s="6"/>
      <c r="AF44" s="1202" t="str" cm="1">
        <f t="array" ref="AF44">IF((_xlfn.IFS(TRIM(SUBSTITUTE(AE44,CHAR(160),""))="Devis 1",IFERROR(VALUE(TRIM(SUBSTITUTE(R44,CHAR(160),""))),0),TRIM(SUBSTITUTE(AE44,CHAR(160),""))="Devis 2",IFERROR(VALUE(TRIM(SUBSTITUTE(W44,CHAR(160),""))),0),TRIM(SUBSTITUTE(AE44,CHAR(160),""))="Devis 3",IFERROR(VALUE(TRIM(SUBSTITUTE(AB44,CHAR(160),""))),0),TRUE,0)*IFERROR(VALUE(TRIM(SUBSTITUTE(M44,CHAR(160),""))),0))=0,"",_xlfn.IFS(TRIM(SUBSTITUTE(AE44,CHAR(160),""))="Devis 1",IFERROR(VALUE(TRIM(SUBSTITUTE(R44,CHAR(160),""))),0),TRIM(SUBSTITUTE(AE44,CHAR(160),""))="Devis 2",IFERROR(VALUE(TRIM(SUBSTITUTE(W44,CHAR(160),""))),0),TRIM(SUBSTITUTE(AE44,CHAR(160),""))="Devis 3",IFERROR(VALUE(TRIM(SUBSTITUTE(AB44,CHAR(160),""))),0),TRUE,0)*IFERROR(VALUE(TRIM(SUBSTITUTE(M44,CHAR(160),""))),0))</f>
        <v/>
      </c>
      <c r="AG44" s="1202" t="str" cm="1">
        <f t="array" ref="AG44">IF((_xlfn.IFS(TRIM(SUBSTITUTE(AE44,CHAR(160),""))="Devis 1",IFERROR(VALUE(TRIM(SUBSTITUTE(S44,CHAR(160),""))),0),TRIM(SUBSTITUTE(AE44,CHAR(160),""))="Devis 2",IFERROR(VALUE(TRIM(SUBSTITUTE(X44,CHAR(160),""))),0),TRIM(SUBSTITUTE(AE44,CHAR(160),""))="Devis 3",IFERROR(VALUE(TRIM(SUBSTITUTE(AC44,CHAR(160),""))),0),TRUE,0)*IFERROR(VALUE(TRIM(SUBSTITUTE(M44,CHAR(160),""))),0))=0,"",_xlfn.IFS(TRIM(SUBSTITUTE(AE44,CHAR(160),""))="Devis 1",IFERROR(VALUE(TRIM(SUBSTITUTE(S44,CHAR(160),""))),0),TRIM(SUBSTITUTE(AF44,CHAR(160),""))="Devis 2",IFERROR(VALUE(TRIM(SUBSTITUTE(X44,CHAR(160),""))),0),TRIM(SUBSTITUTE(AF44,CHAR(160),""))="Devis 3",IFERROR(VALUE(TRIM(SUBSTITUTE(AC44,CHAR(160),""))),0),TRUE,0)*IFERROR(VALUE(TRIM(SUBSTITUTE(M44,CHAR(160),""))),0))</f>
        <v/>
      </c>
      <c r="AH44" s="1202" t="str" cm="1">
        <f t="array" ref="AH44">IF((_xlfn.IFS(TRIM(SUBSTITUTE(AE44,CHAR(160),""))="Devis 1",IFERROR(VALUE(TRIM(SUBSTITUTE(T44,CHAR(160),""))),0),TRIM(SUBSTITUTE(AE44,CHAR(160),""))="Devis 2",IFERROR(VALUE(TRIM(SUBSTITUTE(Y44,CHAR(160),""))),0),TRIM(SUBSTITUTE(AE44,CHAR(160),""))="Devis 3",IFERROR(VALUE(TRIM(SUBSTITUTE(AD44,CHAR(160),""))),0),TRUE,0)*IFERROR(VALUE(TRIM(SUBSTITUTE(M44,CHAR(160),""))),0))=0,"",_xlfn.IFS(TRIM(SUBSTITUTE(AE44,CHAR(160),""))="Devis 1",IFERROR(VALUE(TRIM(SUBSTITUTE(T44,CHAR(160),""))),0),TRIM(SUBSTITUTE(AE44,CHAR(160),""))="Devis 2",IFERROR(VALUE(TRIM(SUBSTITUTE(Y44,CHAR(160),""))),0),TRIM(SUBSTITUTE(AE44,CHAR(160),""))="Devis 3",IFERROR(VALUE(TRIM(SUBSTITUTE(AD44,CHAR(160),""))),0),TRUE,0)*IFERROR(VALUE(TRIM(SUBSTITUTE(M44,CHAR(160),""))),0))</f>
        <v/>
      </c>
      <c r="AI44" s="488"/>
      <c r="AJ44" s="215" t="str">
        <f t="shared" si="26"/>
        <v/>
      </c>
      <c r="AK44" s="57" t="str">
        <f t="shared" si="27"/>
        <v/>
      </c>
      <c r="AL44" s="57" t="str">
        <f t="shared" si="28"/>
        <v/>
      </c>
      <c r="AM44" s="57" t="str">
        <f t="shared" si="29"/>
        <v/>
      </c>
      <c r="AN44" s="57" t="str">
        <f t="shared" si="21"/>
        <v/>
      </c>
      <c r="AO44" s="57" t="str">
        <f t="shared" si="30"/>
        <v/>
      </c>
      <c r="AP44" s="57" t="str">
        <f t="shared" si="31"/>
        <v/>
      </c>
      <c r="AQ44" s="57" t="str">
        <f t="shared" si="32"/>
        <v/>
      </c>
      <c r="AR44" s="57" t="str">
        <f t="shared" si="33"/>
        <v/>
      </c>
      <c r="AS44" s="57" t="str">
        <f t="shared" si="34"/>
        <v/>
      </c>
      <c r="AT44" s="1172" t="str">
        <f t="shared" si="35"/>
        <v/>
      </c>
      <c r="AU44" s="57" t="str">
        <f t="shared" si="36"/>
        <v/>
      </c>
      <c r="AV44" s="691" t="str">
        <f t="shared" si="37"/>
        <v/>
      </c>
      <c r="AW44" s="1533" t="str">
        <f t="shared" si="38"/>
        <v/>
      </c>
      <c r="AX44" s="1521" t="str">
        <f t="shared" si="39"/>
        <v/>
      </c>
      <c r="AY44" s="1663" t="str">
        <f t="shared" si="40"/>
        <v/>
      </c>
      <c r="AZ44" s="1663" t="str">
        <f t="shared" si="41"/>
        <v/>
      </c>
      <c r="BA44" s="1522" t="str">
        <f t="shared" si="2"/>
        <v/>
      </c>
      <c r="BB44" s="1527" t="str">
        <f t="shared" si="3"/>
        <v/>
      </c>
      <c r="BC44" s="1528" t="str">
        <f t="shared" si="4"/>
        <v/>
      </c>
      <c r="BD44" s="1654" t="str">
        <f t="shared" si="5"/>
        <v/>
      </c>
      <c r="BE44" s="1657" t="str">
        <f t="shared" si="6"/>
        <v/>
      </c>
      <c r="BF44" s="1539" t="str">
        <f t="shared" si="7"/>
        <v/>
      </c>
      <c r="BG44" s="1544" t="str">
        <f t="shared" si="8"/>
        <v/>
      </c>
      <c r="BH44" s="1545" t="str">
        <f t="shared" si="9"/>
        <v/>
      </c>
      <c r="BI44" s="1660" t="str">
        <f t="shared" si="10"/>
        <v/>
      </c>
      <c r="BJ44" s="1660" t="str">
        <f t="shared" si="11"/>
        <v/>
      </c>
      <c r="BK44" s="1546" t="str">
        <f t="shared" si="12"/>
        <v/>
      </c>
      <c r="BL44" s="1467" t="str">
        <f t="shared" si="22"/>
        <v/>
      </c>
      <c r="BM44" s="260"/>
      <c r="BN44" s="1667" t="str">
        <f t="shared" si="23"/>
        <v/>
      </c>
      <c r="BO44" s="1667" t="str">
        <f t="shared" si="24"/>
        <v/>
      </c>
      <c r="BP44" s="300" t="str">
        <f t="shared" si="14"/>
        <v/>
      </c>
      <c r="BQ44" s="1470" t="str" cm="1">
        <f t="array" ref="BQ44">IF($AT44="","",
_xlfn.IFS(
$BL44="Devis 1",
IF(ISBLANK(AY44),"",IFERROR(VALUE(TRIM(SUBSTITUTE(AY44,CHAR(160),""))),0)*IFERROR(VALUE(TRIM(SUBSTITUTE($AT44,CHAR(160),""))),0)),
$BL44="Devis 2",
IF(ISBLANK(BD44),"",IFERROR(VALUE(TRIM(SUBSTITUTE(BD44,CHAR(160),""))),0)*IFERROR(VALUE(TRIM(SUBSTITUTE($AT44,CHAR(160),""))),0)),
$BL44="Devis 3",
IF(ISBLANK(BI44),"",IFERROR(VALUE(TRIM(SUBSTITUTE(BI44,CHAR(160),""))),0)*IFERROR(VALUE(TRIM(SUBSTITUTE($AT44,CHAR(160),""))),0)),
TRUE,0
)
)</f>
        <v/>
      </c>
      <c r="BR44" s="1470" t="str" cm="1">
        <f t="array" ref="BR44">IF($AT44="","",
_xlfn.IFS(
$BL44="Devis 1",
IF(ISBLANK(AZ44),"",IFERROR(VALUE(TRIM(SUBSTITUTE(AZ44,CHAR(160),""))),0)*IFERROR(VALUE(TRIM(SUBSTITUTE($AT44,CHAR(160),""))),0)),
$BL44="Devis 2",
IF(ISBLANK(BE44),"",IFERROR(VALUE(TRIM(SUBSTITUTE(BE44,CHAR(160),""))),0)*IFERROR(VALUE(TRIM(SUBSTITUTE($AT44,CHAR(160),""))),0)),
$BL44="Devis 3",
IF(ISBLANK(BJ44),"",IFERROR(VALUE(TRIM(SUBSTITUTE(BJ44,CHAR(160),""))),0)*IFERROR(VALUE(TRIM(SUBSTITUTE($AT44,CHAR(160),""))),0)),
TRUE,0
)
)</f>
        <v/>
      </c>
      <c r="BS44" s="1470" t="str">
        <f t="shared" si="25"/>
        <v/>
      </c>
      <c r="BT44" s="194"/>
      <c r="BU44" s="216" t="str" cm="1">
        <f t="array" ref="BU44">IF(OR(BS44="",BP44="",BQ44="",BN44="",BR44="",BO44=""),"",_xlfn.IFS(
ROUND(IFERROR(VALUE(TRIM(SUBSTITUTE(BS44,CHAR(160),""))),0),2)&gt;
ROUND(IFERROR(VALUE(TRIM(SUBSTITUTE(BP44,CHAR(160),""))),0),2),
"KO : Le montant retenu TTC est supérieur au montant raisonnable TTC. Merci de revoir la ligne de dépense ou plafonner son montant.",
ROUND(IFERROR(VALUE(TRIM(SUBSTITUTE(BQ44,CHAR(160),""))),0),2)&gt;
ROUND(IFERROR(VALUE(TRIM(SUBSTITUTE(BN44,CHAR(160),""))),0),2),
"Attention : Le montant retenu HT est supérieur au montant HT raisonnable. Merci de revoir la ligne de dépense, plafonner son montant, ou justifier la reventillation HT / TVA.",
ROUND(IFERROR(VALUE(TRIM(SUBSTITUTE(BR44,CHAR(160),""))),0),2)&gt;
ROUND(IFERROR(VALUE(TRIM(SUBSTITUTE(BO44,CHAR(160),""))),0),2),
"Attention : Le montant TVA retenu est supérieur au montant TVA raisonnable. Merci de revoir la ligne de dépense, plafonner son montant, ou justifier la reventillation HT / TVA.",
ROUND(IFERROR(VALUE(TRIM(SUBSTITUTE(BS44,CHAR(160),""))),0),2)&gt;
ROUND(IFERROR(VALUE(TRIM(SUBSTITUTE(MIN(T44,Y44,AD44),CHAR(160),""))),0),2),
"Attention : Le devis retenu n'est pas le moins cher. Une justification de la part du porteur est nécessaire.",
ROUND(IFERROR(VALUE(TRIM(SUBSTITUTE(BS44,CHAR(160),""))),0),2)=0,
"Attention : montant présenté entièrement écarté",
ROUND(IFERROR(VALUE(TRIM(SUBSTITUTE(BP44,CHAR(160),""))),0),2)=
ROUND(IFERROR(VALUE(TRIM(SUBSTITUTE(BS44,CHAR(160),""))),0),2),
"OK",
ROUND(IFERROR(VALUE(TRIM(SUBSTITUTE(BP44,CHAR(160),""))),0),2)&gt;
ROUND(IFERROR(VALUE(TRIM(SUBSTITUTE(BS44,CHAR(160),""))),0),2),
" OK : Montant instruit inférieur au montant raisonnable.",
TRUE,""
))</f>
        <v/>
      </c>
      <c r="BV44" s="57" t="str" cm="1">
        <f t="array" ref="BV44">IF(OR(BS44="",AH44="",BQ44="",AF44="",BR44="",AG44=""),"",_xlfn.IFS(
ROUND(IFERROR(VALUE(TRIM(SUBSTITUTE(BS44,CHAR(160),""))),0),2)&gt;
ROUND(IFERROR(VALUE(TRIM(SUBSTITUTE(AH44,CHAR(160),""))),0),2),
"KO : Le montant retenu TTC est supérieur au montant présenté TTC. Merci de revoir la ligne de dépense ou plafonner son montant.",
ROUND(IFERROR(VALUE(TRIM(SUBSTITUTE(BQ44,CHAR(160),""))),0),2)&gt;
ROUND(IFERROR(VALUE(TRIM(SUBSTITUTE(AF44,CHAR(160),""))),0),2),
"Attention : Le montant retenu HT est supérieur au montant HT présenté. Merci de revoir la ligne de dépense, plafonner son montant, ou justifier la reventillation HT / TVA.",
ROUND(IFERROR(VALUE(TRIM(SUBSTITUTE(BR44,CHAR(160),""))),0),2)&gt;
ROUND(IFERROR(VALUE(TRIM(SUBSTITUTE(AG44,CHAR(160),""))),0),2),
"Attention : Le montant TVA retenu est supérieur au montant TVA présenté. Merci de revoir la ligne de dépense, plafonner son montant, ou justifier la reventillation HT / TVA.",
ROUND(IFERROR(VALUE(TRIM(SUBSTITUTE(AH44,CHAR(160),""))),0),2)=0,
"",
ROUND(IFERROR(VALUE(TRIM(SUBSTITUTE(BS44,CHAR(160),""))),0),2)=
ROUND(IFERROR(VALUE(TRIM(SUBSTITUTE(AH44,CHAR(160),""))),0),2),
"OK",
ROUND(IFERROR(VALUE(TRIM(SUBSTITUTE(BS44,CHAR(160),""))),0),2)=0,
"Attention : Montant présenté entièrement rejeté.",
ROUND(IFERROR(VALUE(TRIM(SUBSTITUTE(BS44,CHAR(160),""))),0),2)&lt;
ROUND(IFERROR(VALUE(TRIM(SUBSTITUTE(AH44,CHAR(160),""))),0),2),
"Attention : Montant présenté partiellement rejeté.",
TRUE,""
))</f>
        <v/>
      </c>
      <c r="BW44" s="1202" t="str">
        <f t="shared" si="15"/>
        <v/>
      </c>
      <c r="BX44" s="1202" t="str">
        <f t="shared" si="16"/>
        <v/>
      </c>
      <c r="BY44" s="1216" t="str">
        <f t="shared" si="17"/>
        <v/>
      </c>
      <c r="CB44"/>
      <c r="CF44" s="185"/>
    </row>
    <row r="45" spans="2:84" ht="20.100000000000001" customHeight="1">
      <c r="B45" s="1206">
        <v>35</v>
      </c>
      <c r="C45" s="11"/>
      <c r="D45" s="11"/>
      <c r="E45" s="22"/>
      <c r="F45" s="22"/>
      <c r="G45" s="22"/>
      <c r="H45" s="22"/>
      <c r="I45" s="11"/>
      <c r="J45" s="1201"/>
      <c r="K45" s="1512"/>
      <c r="L45" s="11"/>
      <c r="M45" s="2"/>
      <c r="N45" s="23"/>
      <c r="O45" s="25"/>
      <c r="P45" s="1552"/>
      <c r="Q45" s="1518"/>
      <c r="R45" s="1517"/>
      <c r="S45" s="1517"/>
      <c r="T45" s="1522" t="str">
        <f t="shared" si="18"/>
        <v/>
      </c>
      <c r="U45" s="1559"/>
      <c r="V45" s="1523"/>
      <c r="W45" s="1524"/>
      <c r="X45" s="1524"/>
      <c r="Y45" s="1539" t="str">
        <f t="shared" si="19"/>
        <v/>
      </c>
      <c r="Z45" s="1567"/>
      <c r="AA45" s="1568"/>
      <c r="AB45" s="1569"/>
      <c r="AC45" s="1569"/>
      <c r="AD45" s="1546" t="str">
        <f t="shared" si="20"/>
        <v/>
      </c>
      <c r="AE45" s="6"/>
      <c r="AF45" s="1202" t="str" cm="1">
        <f t="array" ref="AF45">IF((_xlfn.IFS(TRIM(SUBSTITUTE(AE45,CHAR(160),""))="Devis 1",IFERROR(VALUE(TRIM(SUBSTITUTE(R45,CHAR(160),""))),0),TRIM(SUBSTITUTE(AE45,CHAR(160),""))="Devis 2",IFERROR(VALUE(TRIM(SUBSTITUTE(W45,CHAR(160),""))),0),TRIM(SUBSTITUTE(AE45,CHAR(160),""))="Devis 3",IFERROR(VALUE(TRIM(SUBSTITUTE(AB45,CHAR(160),""))),0),TRUE,0)*IFERROR(VALUE(TRIM(SUBSTITUTE(M45,CHAR(160),""))),0))=0,"",_xlfn.IFS(TRIM(SUBSTITUTE(AE45,CHAR(160),""))="Devis 1",IFERROR(VALUE(TRIM(SUBSTITUTE(R45,CHAR(160),""))),0),TRIM(SUBSTITUTE(AE45,CHAR(160),""))="Devis 2",IFERROR(VALUE(TRIM(SUBSTITUTE(W45,CHAR(160),""))),0),TRIM(SUBSTITUTE(AE45,CHAR(160),""))="Devis 3",IFERROR(VALUE(TRIM(SUBSTITUTE(AB45,CHAR(160),""))),0),TRUE,0)*IFERROR(VALUE(TRIM(SUBSTITUTE(M45,CHAR(160),""))),0))</f>
        <v/>
      </c>
      <c r="AG45" s="1202" t="str" cm="1">
        <f t="array" ref="AG45">IF((_xlfn.IFS(TRIM(SUBSTITUTE(AE45,CHAR(160),""))="Devis 1",IFERROR(VALUE(TRIM(SUBSTITUTE(S45,CHAR(160),""))),0),TRIM(SUBSTITUTE(AE45,CHAR(160),""))="Devis 2",IFERROR(VALUE(TRIM(SUBSTITUTE(X45,CHAR(160),""))),0),TRIM(SUBSTITUTE(AE45,CHAR(160),""))="Devis 3",IFERROR(VALUE(TRIM(SUBSTITUTE(AC45,CHAR(160),""))),0),TRUE,0)*IFERROR(VALUE(TRIM(SUBSTITUTE(M45,CHAR(160),""))),0))=0,"",_xlfn.IFS(TRIM(SUBSTITUTE(AE45,CHAR(160),""))="Devis 1",IFERROR(VALUE(TRIM(SUBSTITUTE(S45,CHAR(160),""))),0),TRIM(SUBSTITUTE(AF45,CHAR(160),""))="Devis 2",IFERROR(VALUE(TRIM(SUBSTITUTE(X45,CHAR(160),""))),0),TRIM(SUBSTITUTE(AF45,CHAR(160),""))="Devis 3",IFERROR(VALUE(TRIM(SUBSTITUTE(AC45,CHAR(160),""))),0),TRUE,0)*IFERROR(VALUE(TRIM(SUBSTITUTE(M45,CHAR(160),""))),0))</f>
        <v/>
      </c>
      <c r="AH45" s="1202" t="str" cm="1">
        <f t="array" ref="AH45">IF((_xlfn.IFS(TRIM(SUBSTITUTE(AE45,CHAR(160),""))="Devis 1",IFERROR(VALUE(TRIM(SUBSTITUTE(T45,CHAR(160),""))),0),TRIM(SUBSTITUTE(AE45,CHAR(160),""))="Devis 2",IFERROR(VALUE(TRIM(SUBSTITUTE(Y45,CHAR(160),""))),0),TRIM(SUBSTITUTE(AE45,CHAR(160),""))="Devis 3",IFERROR(VALUE(TRIM(SUBSTITUTE(AD45,CHAR(160),""))),0),TRUE,0)*IFERROR(VALUE(TRIM(SUBSTITUTE(M45,CHAR(160),""))),0))=0,"",_xlfn.IFS(TRIM(SUBSTITUTE(AE45,CHAR(160),""))="Devis 1",IFERROR(VALUE(TRIM(SUBSTITUTE(T45,CHAR(160),""))),0),TRIM(SUBSTITUTE(AE45,CHAR(160),""))="Devis 2",IFERROR(VALUE(TRIM(SUBSTITUTE(Y45,CHAR(160),""))),0),TRIM(SUBSTITUTE(AE45,CHAR(160),""))="Devis 3",IFERROR(VALUE(TRIM(SUBSTITUTE(AD45,CHAR(160),""))),0),TRUE,0)*IFERROR(VALUE(TRIM(SUBSTITUTE(M45,CHAR(160),""))),0))</f>
        <v/>
      </c>
      <c r="AI45" s="488"/>
      <c r="AJ45" s="215" t="str">
        <f t="shared" si="26"/>
        <v/>
      </c>
      <c r="AK45" s="57" t="str">
        <f t="shared" si="27"/>
        <v/>
      </c>
      <c r="AL45" s="57" t="str">
        <f t="shared" si="28"/>
        <v/>
      </c>
      <c r="AM45" s="57" t="str">
        <f t="shared" si="29"/>
        <v/>
      </c>
      <c r="AN45" s="57" t="str">
        <f t="shared" si="21"/>
        <v/>
      </c>
      <c r="AO45" s="57" t="str">
        <f t="shared" si="30"/>
        <v/>
      </c>
      <c r="AP45" s="57" t="str">
        <f t="shared" si="31"/>
        <v/>
      </c>
      <c r="AQ45" s="57" t="str">
        <f t="shared" si="32"/>
        <v/>
      </c>
      <c r="AR45" s="57" t="str">
        <f t="shared" si="33"/>
        <v/>
      </c>
      <c r="AS45" s="57" t="str">
        <f t="shared" si="34"/>
        <v/>
      </c>
      <c r="AT45" s="1172" t="str">
        <f t="shared" si="35"/>
        <v/>
      </c>
      <c r="AU45" s="57" t="str">
        <f t="shared" si="36"/>
        <v/>
      </c>
      <c r="AV45" s="691" t="str">
        <f t="shared" si="37"/>
        <v/>
      </c>
      <c r="AW45" s="1533" t="str">
        <f t="shared" si="38"/>
        <v/>
      </c>
      <c r="AX45" s="1521" t="str">
        <f t="shared" si="39"/>
        <v/>
      </c>
      <c r="AY45" s="1663" t="str">
        <f t="shared" si="40"/>
        <v/>
      </c>
      <c r="AZ45" s="1663" t="str">
        <f t="shared" si="41"/>
        <v/>
      </c>
      <c r="BA45" s="1522" t="str">
        <f t="shared" si="2"/>
        <v/>
      </c>
      <c r="BB45" s="1527" t="str">
        <f t="shared" si="3"/>
        <v/>
      </c>
      <c r="BC45" s="1528" t="str">
        <f t="shared" si="4"/>
        <v/>
      </c>
      <c r="BD45" s="1654" t="str">
        <f t="shared" si="5"/>
        <v/>
      </c>
      <c r="BE45" s="1657" t="str">
        <f t="shared" si="6"/>
        <v/>
      </c>
      <c r="BF45" s="1539" t="str">
        <f t="shared" si="7"/>
        <v/>
      </c>
      <c r="BG45" s="1544" t="str">
        <f t="shared" si="8"/>
        <v/>
      </c>
      <c r="BH45" s="1545" t="str">
        <f t="shared" si="9"/>
        <v/>
      </c>
      <c r="BI45" s="1660" t="str">
        <f t="shared" si="10"/>
        <v/>
      </c>
      <c r="BJ45" s="1660" t="str">
        <f t="shared" si="11"/>
        <v/>
      </c>
      <c r="BK45" s="1546" t="str">
        <f t="shared" si="12"/>
        <v/>
      </c>
      <c r="BL45" s="1467" t="str">
        <f t="shared" si="22"/>
        <v/>
      </c>
      <c r="BM45" s="260"/>
      <c r="BN45" s="1667" t="str">
        <f t="shared" si="23"/>
        <v/>
      </c>
      <c r="BO45" s="1667" t="str">
        <f t="shared" si="24"/>
        <v/>
      </c>
      <c r="BP45" s="300" t="str">
        <f t="shared" si="14"/>
        <v/>
      </c>
      <c r="BQ45" s="1470" t="str" cm="1">
        <f t="array" ref="BQ45">IF($AT45="","",
_xlfn.IFS(
$BL45="Devis 1",
IF(ISBLANK(AY45),"",IFERROR(VALUE(TRIM(SUBSTITUTE(AY45,CHAR(160),""))),0)*IFERROR(VALUE(TRIM(SUBSTITUTE($AT45,CHAR(160),""))),0)),
$BL45="Devis 2",
IF(ISBLANK(BD45),"",IFERROR(VALUE(TRIM(SUBSTITUTE(BD45,CHAR(160),""))),0)*IFERROR(VALUE(TRIM(SUBSTITUTE($AT45,CHAR(160),""))),0)),
$BL45="Devis 3",
IF(ISBLANK(BI45),"",IFERROR(VALUE(TRIM(SUBSTITUTE(BI45,CHAR(160),""))),0)*IFERROR(VALUE(TRIM(SUBSTITUTE($AT45,CHAR(160),""))),0)),
TRUE,0
)
)</f>
        <v/>
      </c>
      <c r="BR45" s="1470" t="str" cm="1">
        <f t="array" ref="BR45">IF($AT45="","",
_xlfn.IFS(
$BL45="Devis 1",
IF(ISBLANK(AZ45),"",IFERROR(VALUE(TRIM(SUBSTITUTE(AZ45,CHAR(160),""))),0)*IFERROR(VALUE(TRIM(SUBSTITUTE($AT45,CHAR(160),""))),0)),
$BL45="Devis 2",
IF(ISBLANK(BE45),"",IFERROR(VALUE(TRIM(SUBSTITUTE(BE45,CHAR(160),""))),0)*IFERROR(VALUE(TRIM(SUBSTITUTE($AT45,CHAR(160),""))),0)),
$BL45="Devis 3",
IF(ISBLANK(BJ45),"",IFERROR(VALUE(TRIM(SUBSTITUTE(BJ45,CHAR(160),""))),0)*IFERROR(VALUE(TRIM(SUBSTITUTE($AT45,CHAR(160),""))),0)),
TRUE,0
)
)</f>
        <v/>
      </c>
      <c r="BS45" s="1470" t="str">
        <f t="shared" si="25"/>
        <v/>
      </c>
      <c r="BT45" s="194"/>
      <c r="BU45" s="216" t="str" cm="1">
        <f t="array" ref="BU45">IF(OR(BS45="",BP45="",BQ45="",BN45="",BR45="",BO45=""),"",_xlfn.IFS(
ROUND(IFERROR(VALUE(TRIM(SUBSTITUTE(BS45,CHAR(160),""))),0),2)&gt;
ROUND(IFERROR(VALUE(TRIM(SUBSTITUTE(BP45,CHAR(160),""))),0),2),
"KO : Le montant retenu TTC est supérieur au montant raisonnable TTC. Merci de revoir la ligne de dépense ou plafonner son montant.",
ROUND(IFERROR(VALUE(TRIM(SUBSTITUTE(BQ45,CHAR(160),""))),0),2)&gt;
ROUND(IFERROR(VALUE(TRIM(SUBSTITUTE(BN45,CHAR(160),""))),0),2),
"Attention : Le montant retenu HT est supérieur au montant HT raisonnable. Merci de revoir la ligne de dépense, plafonner son montant, ou justifier la reventillation HT / TVA.",
ROUND(IFERROR(VALUE(TRIM(SUBSTITUTE(BR45,CHAR(160),""))),0),2)&gt;
ROUND(IFERROR(VALUE(TRIM(SUBSTITUTE(BO45,CHAR(160),""))),0),2),
"Attention : Le montant TVA retenu est supérieur au montant TVA raisonnable. Merci de revoir la ligne de dépense, plafonner son montant, ou justifier la reventillation HT / TVA.",
ROUND(IFERROR(VALUE(TRIM(SUBSTITUTE(BS45,CHAR(160),""))),0),2)&gt;
ROUND(IFERROR(VALUE(TRIM(SUBSTITUTE(MIN(T45,Y45,AD45),CHAR(160),""))),0),2),
"Attention : Le devis retenu n'est pas le moins cher. Une justification de la part du porteur est nécessaire.",
ROUND(IFERROR(VALUE(TRIM(SUBSTITUTE(BS45,CHAR(160),""))),0),2)=0,
"Attention : montant présenté entièrement écarté",
ROUND(IFERROR(VALUE(TRIM(SUBSTITUTE(BP45,CHAR(160),""))),0),2)=
ROUND(IFERROR(VALUE(TRIM(SUBSTITUTE(BS45,CHAR(160),""))),0),2),
"OK",
ROUND(IFERROR(VALUE(TRIM(SUBSTITUTE(BP45,CHAR(160),""))),0),2)&gt;
ROUND(IFERROR(VALUE(TRIM(SUBSTITUTE(BS45,CHAR(160),""))),0),2),
" OK : Montant instruit inférieur au montant raisonnable.",
TRUE,""
))</f>
        <v/>
      </c>
      <c r="BV45" s="57" t="str" cm="1">
        <f t="array" ref="BV45">IF(OR(BS45="",AH45="",BQ45="",AF45="",BR45="",AG45=""),"",_xlfn.IFS(
ROUND(IFERROR(VALUE(TRIM(SUBSTITUTE(BS45,CHAR(160),""))),0),2)&gt;
ROUND(IFERROR(VALUE(TRIM(SUBSTITUTE(AH45,CHAR(160),""))),0),2),
"KO : Le montant retenu TTC est supérieur au montant présenté TTC. Merci de revoir la ligne de dépense ou plafonner son montant.",
ROUND(IFERROR(VALUE(TRIM(SUBSTITUTE(BQ45,CHAR(160),""))),0),2)&gt;
ROUND(IFERROR(VALUE(TRIM(SUBSTITUTE(AF45,CHAR(160),""))),0),2),
"Attention : Le montant retenu HT est supérieur au montant HT présenté. Merci de revoir la ligne de dépense, plafonner son montant, ou justifier la reventillation HT / TVA.",
ROUND(IFERROR(VALUE(TRIM(SUBSTITUTE(BR45,CHAR(160),""))),0),2)&gt;
ROUND(IFERROR(VALUE(TRIM(SUBSTITUTE(AG45,CHAR(160),""))),0),2),
"Attention : Le montant TVA retenu est supérieur au montant TVA présenté. Merci de revoir la ligne de dépense, plafonner son montant, ou justifier la reventillation HT / TVA.",
ROUND(IFERROR(VALUE(TRIM(SUBSTITUTE(AH45,CHAR(160),""))),0),2)=0,
"",
ROUND(IFERROR(VALUE(TRIM(SUBSTITUTE(BS45,CHAR(160),""))),0),2)=
ROUND(IFERROR(VALUE(TRIM(SUBSTITUTE(AH45,CHAR(160),""))),0),2),
"OK",
ROUND(IFERROR(VALUE(TRIM(SUBSTITUTE(BS45,CHAR(160),""))),0),2)=0,
"Attention : Montant présenté entièrement rejeté.",
ROUND(IFERROR(VALUE(TRIM(SUBSTITUTE(BS45,CHAR(160),""))),0),2)&lt;
ROUND(IFERROR(VALUE(TRIM(SUBSTITUTE(AH45,CHAR(160),""))),0),2),
"Attention : Montant présenté partiellement rejeté.",
TRUE,""
))</f>
        <v/>
      </c>
      <c r="BW45" s="1202" t="str">
        <f t="shared" si="15"/>
        <v/>
      </c>
      <c r="BX45" s="1202" t="str">
        <f t="shared" si="16"/>
        <v/>
      </c>
      <c r="BY45" s="1216" t="str">
        <f t="shared" si="17"/>
        <v/>
      </c>
      <c r="CB45"/>
      <c r="CF45" s="185"/>
    </row>
    <row r="46" spans="2:84" ht="20.100000000000001" customHeight="1">
      <c r="B46" s="1206">
        <v>36</v>
      </c>
      <c r="C46" s="11"/>
      <c r="D46" s="11"/>
      <c r="E46" s="22"/>
      <c r="F46" s="22"/>
      <c r="G46" s="22"/>
      <c r="H46" s="22"/>
      <c r="I46" s="11"/>
      <c r="J46" s="1201"/>
      <c r="K46" s="1512"/>
      <c r="L46" s="11"/>
      <c r="M46" s="2"/>
      <c r="N46" s="23"/>
      <c r="O46" s="25"/>
      <c r="P46" s="1552"/>
      <c r="Q46" s="1518"/>
      <c r="R46" s="1517"/>
      <c r="S46" s="1517"/>
      <c r="T46" s="1522" t="str">
        <f t="shared" si="18"/>
        <v/>
      </c>
      <c r="U46" s="1559"/>
      <c r="V46" s="1523"/>
      <c r="W46" s="1524"/>
      <c r="X46" s="1524"/>
      <c r="Y46" s="1539" t="str">
        <f t="shared" si="19"/>
        <v/>
      </c>
      <c r="Z46" s="1567"/>
      <c r="AA46" s="1568"/>
      <c r="AB46" s="1569"/>
      <c r="AC46" s="1569"/>
      <c r="AD46" s="1546" t="str">
        <f t="shared" si="20"/>
        <v/>
      </c>
      <c r="AE46" s="6"/>
      <c r="AF46" s="1202" t="str" cm="1">
        <f t="array" ref="AF46">IF((_xlfn.IFS(TRIM(SUBSTITUTE(AE46,CHAR(160),""))="Devis 1",IFERROR(VALUE(TRIM(SUBSTITUTE(R46,CHAR(160),""))),0),TRIM(SUBSTITUTE(AE46,CHAR(160),""))="Devis 2",IFERROR(VALUE(TRIM(SUBSTITUTE(W46,CHAR(160),""))),0),TRIM(SUBSTITUTE(AE46,CHAR(160),""))="Devis 3",IFERROR(VALUE(TRIM(SUBSTITUTE(AB46,CHAR(160),""))),0),TRUE,0)*IFERROR(VALUE(TRIM(SUBSTITUTE(M46,CHAR(160),""))),0))=0,"",_xlfn.IFS(TRIM(SUBSTITUTE(AE46,CHAR(160),""))="Devis 1",IFERROR(VALUE(TRIM(SUBSTITUTE(R46,CHAR(160),""))),0),TRIM(SUBSTITUTE(AE46,CHAR(160),""))="Devis 2",IFERROR(VALUE(TRIM(SUBSTITUTE(W46,CHAR(160),""))),0),TRIM(SUBSTITUTE(AE46,CHAR(160),""))="Devis 3",IFERROR(VALUE(TRIM(SUBSTITUTE(AB46,CHAR(160),""))),0),TRUE,0)*IFERROR(VALUE(TRIM(SUBSTITUTE(M46,CHAR(160),""))),0))</f>
        <v/>
      </c>
      <c r="AG46" s="1202" t="str" cm="1">
        <f t="array" ref="AG46">IF((_xlfn.IFS(TRIM(SUBSTITUTE(AE46,CHAR(160),""))="Devis 1",IFERROR(VALUE(TRIM(SUBSTITUTE(S46,CHAR(160),""))),0),TRIM(SUBSTITUTE(AE46,CHAR(160),""))="Devis 2",IFERROR(VALUE(TRIM(SUBSTITUTE(X46,CHAR(160),""))),0),TRIM(SUBSTITUTE(AE46,CHAR(160),""))="Devis 3",IFERROR(VALUE(TRIM(SUBSTITUTE(AC46,CHAR(160),""))),0),TRUE,0)*IFERROR(VALUE(TRIM(SUBSTITUTE(M46,CHAR(160),""))),0))=0,"",_xlfn.IFS(TRIM(SUBSTITUTE(AE46,CHAR(160),""))="Devis 1",IFERROR(VALUE(TRIM(SUBSTITUTE(S46,CHAR(160),""))),0),TRIM(SUBSTITUTE(AF46,CHAR(160),""))="Devis 2",IFERROR(VALUE(TRIM(SUBSTITUTE(X46,CHAR(160),""))),0),TRIM(SUBSTITUTE(AF46,CHAR(160),""))="Devis 3",IFERROR(VALUE(TRIM(SUBSTITUTE(AC46,CHAR(160),""))),0),TRUE,0)*IFERROR(VALUE(TRIM(SUBSTITUTE(M46,CHAR(160),""))),0))</f>
        <v/>
      </c>
      <c r="AH46" s="1202" t="str" cm="1">
        <f t="array" ref="AH46">IF((_xlfn.IFS(TRIM(SUBSTITUTE(AE46,CHAR(160),""))="Devis 1",IFERROR(VALUE(TRIM(SUBSTITUTE(T46,CHAR(160),""))),0),TRIM(SUBSTITUTE(AE46,CHAR(160),""))="Devis 2",IFERROR(VALUE(TRIM(SUBSTITUTE(Y46,CHAR(160),""))),0),TRIM(SUBSTITUTE(AE46,CHAR(160),""))="Devis 3",IFERROR(VALUE(TRIM(SUBSTITUTE(AD46,CHAR(160),""))),0),TRUE,0)*IFERROR(VALUE(TRIM(SUBSTITUTE(M46,CHAR(160),""))),0))=0,"",_xlfn.IFS(TRIM(SUBSTITUTE(AE46,CHAR(160),""))="Devis 1",IFERROR(VALUE(TRIM(SUBSTITUTE(T46,CHAR(160),""))),0),TRIM(SUBSTITUTE(AE46,CHAR(160),""))="Devis 2",IFERROR(VALUE(TRIM(SUBSTITUTE(Y46,CHAR(160),""))),0),TRIM(SUBSTITUTE(AE46,CHAR(160),""))="Devis 3",IFERROR(VALUE(TRIM(SUBSTITUTE(AD46,CHAR(160),""))),0),TRUE,0)*IFERROR(VALUE(TRIM(SUBSTITUTE(M46,CHAR(160),""))),0))</f>
        <v/>
      </c>
      <c r="AI46" s="488"/>
      <c r="AJ46" s="215" t="str">
        <f t="shared" si="26"/>
        <v/>
      </c>
      <c r="AK46" s="57" t="str">
        <f t="shared" si="27"/>
        <v/>
      </c>
      <c r="AL46" s="57" t="str">
        <f t="shared" si="28"/>
        <v/>
      </c>
      <c r="AM46" s="57" t="str">
        <f t="shared" si="29"/>
        <v/>
      </c>
      <c r="AN46" s="57" t="str">
        <f t="shared" si="21"/>
        <v/>
      </c>
      <c r="AO46" s="57" t="str">
        <f t="shared" si="30"/>
        <v/>
      </c>
      <c r="AP46" s="57" t="str">
        <f t="shared" si="31"/>
        <v/>
      </c>
      <c r="AQ46" s="57" t="str">
        <f t="shared" si="32"/>
        <v/>
      </c>
      <c r="AR46" s="57" t="str">
        <f t="shared" si="33"/>
        <v/>
      </c>
      <c r="AS46" s="57" t="str">
        <f t="shared" si="34"/>
        <v/>
      </c>
      <c r="AT46" s="1172" t="str">
        <f t="shared" si="35"/>
        <v/>
      </c>
      <c r="AU46" s="57" t="str">
        <f t="shared" si="36"/>
        <v/>
      </c>
      <c r="AV46" s="691" t="str">
        <f t="shared" si="37"/>
        <v/>
      </c>
      <c r="AW46" s="1533" t="str">
        <f t="shared" si="38"/>
        <v/>
      </c>
      <c r="AX46" s="1521" t="str">
        <f t="shared" si="39"/>
        <v/>
      </c>
      <c r="AY46" s="1663" t="str">
        <f t="shared" si="40"/>
        <v/>
      </c>
      <c r="AZ46" s="1663" t="str">
        <f t="shared" si="41"/>
        <v/>
      </c>
      <c r="BA46" s="1522" t="str">
        <f t="shared" si="2"/>
        <v/>
      </c>
      <c r="BB46" s="1527" t="str">
        <f t="shared" si="3"/>
        <v/>
      </c>
      <c r="BC46" s="1528" t="str">
        <f t="shared" si="4"/>
        <v/>
      </c>
      <c r="BD46" s="1654" t="str">
        <f t="shared" si="5"/>
        <v/>
      </c>
      <c r="BE46" s="1657" t="str">
        <f t="shared" si="6"/>
        <v/>
      </c>
      <c r="BF46" s="1539" t="str">
        <f t="shared" si="7"/>
        <v/>
      </c>
      <c r="BG46" s="1544" t="str">
        <f t="shared" si="8"/>
        <v/>
      </c>
      <c r="BH46" s="1545" t="str">
        <f t="shared" si="9"/>
        <v/>
      </c>
      <c r="BI46" s="1660" t="str">
        <f t="shared" si="10"/>
        <v/>
      </c>
      <c r="BJ46" s="1660" t="str">
        <f t="shared" si="11"/>
        <v/>
      </c>
      <c r="BK46" s="1546" t="str">
        <f t="shared" si="12"/>
        <v/>
      </c>
      <c r="BL46" s="1467" t="str">
        <f t="shared" si="22"/>
        <v/>
      </c>
      <c r="BM46" s="260"/>
      <c r="BN46" s="1667" t="str">
        <f t="shared" si="23"/>
        <v/>
      </c>
      <c r="BO46" s="1667" t="str">
        <f t="shared" si="24"/>
        <v/>
      </c>
      <c r="BP46" s="300" t="str">
        <f t="shared" si="14"/>
        <v/>
      </c>
      <c r="BQ46" s="1470" t="str" cm="1">
        <f t="array" ref="BQ46">IF($AT46="","",
_xlfn.IFS(
$BL46="Devis 1",
IF(ISBLANK(AY46),"",IFERROR(VALUE(TRIM(SUBSTITUTE(AY46,CHAR(160),""))),0)*IFERROR(VALUE(TRIM(SUBSTITUTE($AT46,CHAR(160),""))),0)),
$BL46="Devis 2",
IF(ISBLANK(BD46),"",IFERROR(VALUE(TRIM(SUBSTITUTE(BD46,CHAR(160),""))),0)*IFERROR(VALUE(TRIM(SUBSTITUTE($AT46,CHAR(160),""))),0)),
$BL46="Devis 3",
IF(ISBLANK(BI46),"",IFERROR(VALUE(TRIM(SUBSTITUTE(BI46,CHAR(160),""))),0)*IFERROR(VALUE(TRIM(SUBSTITUTE($AT46,CHAR(160),""))),0)),
TRUE,0
)
)</f>
        <v/>
      </c>
      <c r="BR46" s="1470" t="str" cm="1">
        <f t="array" ref="BR46">IF($AT46="","",
_xlfn.IFS(
$BL46="Devis 1",
IF(ISBLANK(AZ46),"",IFERROR(VALUE(TRIM(SUBSTITUTE(AZ46,CHAR(160),""))),0)*IFERROR(VALUE(TRIM(SUBSTITUTE($AT46,CHAR(160),""))),0)),
$BL46="Devis 2",
IF(ISBLANK(BE46),"",IFERROR(VALUE(TRIM(SUBSTITUTE(BE46,CHAR(160),""))),0)*IFERROR(VALUE(TRIM(SUBSTITUTE($AT46,CHAR(160),""))),0)),
$BL46="Devis 3",
IF(ISBLANK(BJ46),"",IFERROR(VALUE(TRIM(SUBSTITUTE(BJ46,CHAR(160),""))),0)*IFERROR(VALUE(TRIM(SUBSTITUTE($AT46,CHAR(160),""))),0)),
TRUE,0
)
)</f>
        <v/>
      </c>
      <c r="BS46" s="1470" t="str">
        <f t="shared" si="25"/>
        <v/>
      </c>
      <c r="BT46" s="194"/>
      <c r="BU46" s="216" t="str" cm="1">
        <f t="array" ref="BU46">IF(OR(BS46="",BP46="",BQ46="",BN46="",BR46="",BO46=""),"",_xlfn.IFS(
ROUND(IFERROR(VALUE(TRIM(SUBSTITUTE(BS46,CHAR(160),""))),0),2)&gt;
ROUND(IFERROR(VALUE(TRIM(SUBSTITUTE(BP46,CHAR(160),""))),0),2),
"KO : Le montant retenu TTC est supérieur au montant raisonnable TTC. Merci de revoir la ligne de dépense ou plafonner son montant.",
ROUND(IFERROR(VALUE(TRIM(SUBSTITUTE(BQ46,CHAR(160),""))),0),2)&gt;
ROUND(IFERROR(VALUE(TRIM(SUBSTITUTE(BN46,CHAR(160),""))),0),2),
"Attention : Le montant retenu HT est supérieur au montant HT raisonnable. Merci de revoir la ligne de dépense, plafonner son montant, ou justifier la reventillation HT / TVA.",
ROUND(IFERROR(VALUE(TRIM(SUBSTITUTE(BR46,CHAR(160),""))),0),2)&gt;
ROUND(IFERROR(VALUE(TRIM(SUBSTITUTE(BO46,CHAR(160),""))),0),2),
"Attention : Le montant TVA retenu est supérieur au montant TVA raisonnable. Merci de revoir la ligne de dépense, plafonner son montant, ou justifier la reventillation HT / TVA.",
ROUND(IFERROR(VALUE(TRIM(SUBSTITUTE(BS46,CHAR(160),""))),0),2)&gt;
ROUND(IFERROR(VALUE(TRIM(SUBSTITUTE(MIN(T46,Y46,AD46),CHAR(160),""))),0),2),
"Attention : Le devis retenu n'est pas le moins cher. Une justification de la part du porteur est nécessaire.",
ROUND(IFERROR(VALUE(TRIM(SUBSTITUTE(BS46,CHAR(160),""))),0),2)=0,
"Attention : montant présenté entièrement écarté",
ROUND(IFERROR(VALUE(TRIM(SUBSTITUTE(BP46,CHAR(160),""))),0),2)=
ROUND(IFERROR(VALUE(TRIM(SUBSTITUTE(BS46,CHAR(160),""))),0),2),
"OK",
ROUND(IFERROR(VALUE(TRIM(SUBSTITUTE(BP46,CHAR(160),""))),0),2)&gt;
ROUND(IFERROR(VALUE(TRIM(SUBSTITUTE(BS46,CHAR(160),""))),0),2),
" OK : Montant instruit inférieur au montant raisonnable.",
TRUE,""
))</f>
        <v/>
      </c>
      <c r="BV46" s="57" t="str" cm="1">
        <f t="array" ref="BV46">IF(OR(BS46="",AH46="",BQ46="",AF46="",BR46="",AG46=""),"",_xlfn.IFS(
ROUND(IFERROR(VALUE(TRIM(SUBSTITUTE(BS46,CHAR(160),""))),0),2)&gt;
ROUND(IFERROR(VALUE(TRIM(SUBSTITUTE(AH46,CHAR(160),""))),0),2),
"KO : Le montant retenu TTC est supérieur au montant présenté TTC. Merci de revoir la ligne de dépense ou plafonner son montant.",
ROUND(IFERROR(VALUE(TRIM(SUBSTITUTE(BQ46,CHAR(160),""))),0),2)&gt;
ROUND(IFERROR(VALUE(TRIM(SUBSTITUTE(AF46,CHAR(160),""))),0),2),
"Attention : Le montant retenu HT est supérieur au montant HT présenté. Merci de revoir la ligne de dépense, plafonner son montant, ou justifier la reventillation HT / TVA.",
ROUND(IFERROR(VALUE(TRIM(SUBSTITUTE(BR46,CHAR(160),""))),0),2)&gt;
ROUND(IFERROR(VALUE(TRIM(SUBSTITUTE(AG46,CHAR(160),""))),0),2),
"Attention : Le montant TVA retenu est supérieur au montant TVA présenté. Merci de revoir la ligne de dépense, plafonner son montant, ou justifier la reventillation HT / TVA.",
ROUND(IFERROR(VALUE(TRIM(SUBSTITUTE(AH46,CHAR(160),""))),0),2)=0,
"",
ROUND(IFERROR(VALUE(TRIM(SUBSTITUTE(BS46,CHAR(160),""))),0),2)=
ROUND(IFERROR(VALUE(TRIM(SUBSTITUTE(AH46,CHAR(160),""))),0),2),
"OK",
ROUND(IFERROR(VALUE(TRIM(SUBSTITUTE(BS46,CHAR(160),""))),0),2)=0,
"Attention : Montant présenté entièrement rejeté.",
ROUND(IFERROR(VALUE(TRIM(SUBSTITUTE(BS46,CHAR(160),""))),0),2)&lt;
ROUND(IFERROR(VALUE(TRIM(SUBSTITUTE(AH46,CHAR(160),""))),0),2),
"Attention : Montant présenté partiellement rejeté.",
TRUE,""
))</f>
        <v/>
      </c>
      <c r="BW46" s="1202" t="str">
        <f t="shared" si="15"/>
        <v/>
      </c>
      <c r="BX46" s="1202" t="str">
        <f t="shared" si="16"/>
        <v/>
      </c>
      <c r="BY46" s="1216" t="str">
        <f t="shared" si="17"/>
        <v/>
      </c>
      <c r="CB46"/>
      <c r="CF46" s="185"/>
    </row>
    <row r="47" spans="2:84" ht="20.100000000000001" customHeight="1">
      <c r="B47" s="1206">
        <v>37</v>
      </c>
      <c r="C47" s="11"/>
      <c r="D47" s="11"/>
      <c r="E47" s="22"/>
      <c r="F47" s="22"/>
      <c r="G47" s="22"/>
      <c r="H47" s="22"/>
      <c r="I47" s="11"/>
      <c r="J47" s="1201"/>
      <c r="K47" s="1512"/>
      <c r="L47" s="11"/>
      <c r="M47" s="2"/>
      <c r="N47" s="23"/>
      <c r="O47" s="25"/>
      <c r="P47" s="1552"/>
      <c r="Q47" s="1518"/>
      <c r="R47" s="1517"/>
      <c r="S47" s="1517"/>
      <c r="T47" s="1522" t="str">
        <f t="shared" si="18"/>
        <v/>
      </c>
      <c r="U47" s="1559"/>
      <c r="V47" s="1523"/>
      <c r="W47" s="1524"/>
      <c r="X47" s="1524"/>
      <c r="Y47" s="1539" t="str">
        <f t="shared" si="19"/>
        <v/>
      </c>
      <c r="Z47" s="1567"/>
      <c r="AA47" s="1568"/>
      <c r="AB47" s="1569"/>
      <c r="AC47" s="1569"/>
      <c r="AD47" s="1546" t="str">
        <f t="shared" si="20"/>
        <v/>
      </c>
      <c r="AE47" s="6"/>
      <c r="AF47" s="1202" t="str" cm="1">
        <f t="array" ref="AF47">IF((_xlfn.IFS(TRIM(SUBSTITUTE(AE47,CHAR(160),""))="Devis 1",IFERROR(VALUE(TRIM(SUBSTITUTE(R47,CHAR(160),""))),0),TRIM(SUBSTITUTE(AE47,CHAR(160),""))="Devis 2",IFERROR(VALUE(TRIM(SUBSTITUTE(W47,CHAR(160),""))),0),TRIM(SUBSTITUTE(AE47,CHAR(160),""))="Devis 3",IFERROR(VALUE(TRIM(SUBSTITUTE(AB47,CHAR(160),""))),0),TRUE,0)*IFERROR(VALUE(TRIM(SUBSTITUTE(M47,CHAR(160),""))),0))=0,"",_xlfn.IFS(TRIM(SUBSTITUTE(AE47,CHAR(160),""))="Devis 1",IFERROR(VALUE(TRIM(SUBSTITUTE(R47,CHAR(160),""))),0),TRIM(SUBSTITUTE(AE47,CHAR(160),""))="Devis 2",IFERROR(VALUE(TRIM(SUBSTITUTE(W47,CHAR(160),""))),0),TRIM(SUBSTITUTE(AE47,CHAR(160),""))="Devis 3",IFERROR(VALUE(TRIM(SUBSTITUTE(AB47,CHAR(160),""))),0),TRUE,0)*IFERROR(VALUE(TRIM(SUBSTITUTE(M47,CHAR(160),""))),0))</f>
        <v/>
      </c>
      <c r="AG47" s="1202" t="str" cm="1">
        <f t="array" ref="AG47">IF((_xlfn.IFS(TRIM(SUBSTITUTE(AE47,CHAR(160),""))="Devis 1",IFERROR(VALUE(TRIM(SUBSTITUTE(S47,CHAR(160),""))),0),TRIM(SUBSTITUTE(AE47,CHAR(160),""))="Devis 2",IFERROR(VALUE(TRIM(SUBSTITUTE(X47,CHAR(160),""))),0),TRIM(SUBSTITUTE(AE47,CHAR(160),""))="Devis 3",IFERROR(VALUE(TRIM(SUBSTITUTE(AC47,CHAR(160),""))),0),TRUE,0)*IFERROR(VALUE(TRIM(SUBSTITUTE(M47,CHAR(160),""))),0))=0,"",_xlfn.IFS(TRIM(SUBSTITUTE(AE47,CHAR(160),""))="Devis 1",IFERROR(VALUE(TRIM(SUBSTITUTE(S47,CHAR(160),""))),0),TRIM(SUBSTITUTE(AF47,CHAR(160),""))="Devis 2",IFERROR(VALUE(TRIM(SUBSTITUTE(X47,CHAR(160),""))),0),TRIM(SUBSTITUTE(AF47,CHAR(160),""))="Devis 3",IFERROR(VALUE(TRIM(SUBSTITUTE(AC47,CHAR(160),""))),0),TRUE,0)*IFERROR(VALUE(TRIM(SUBSTITUTE(M47,CHAR(160),""))),0))</f>
        <v/>
      </c>
      <c r="AH47" s="1202" t="str" cm="1">
        <f t="array" ref="AH47">IF((_xlfn.IFS(TRIM(SUBSTITUTE(AE47,CHAR(160),""))="Devis 1",IFERROR(VALUE(TRIM(SUBSTITUTE(T47,CHAR(160),""))),0),TRIM(SUBSTITUTE(AE47,CHAR(160),""))="Devis 2",IFERROR(VALUE(TRIM(SUBSTITUTE(Y47,CHAR(160),""))),0),TRIM(SUBSTITUTE(AE47,CHAR(160),""))="Devis 3",IFERROR(VALUE(TRIM(SUBSTITUTE(AD47,CHAR(160),""))),0),TRUE,0)*IFERROR(VALUE(TRIM(SUBSTITUTE(M47,CHAR(160),""))),0))=0,"",_xlfn.IFS(TRIM(SUBSTITUTE(AE47,CHAR(160),""))="Devis 1",IFERROR(VALUE(TRIM(SUBSTITUTE(T47,CHAR(160),""))),0),TRIM(SUBSTITUTE(AE47,CHAR(160),""))="Devis 2",IFERROR(VALUE(TRIM(SUBSTITUTE(Y47,CHAR(160),""))),0),TRIM(SUBSTITUTE(AE47,CHAR(160),""))="Devis 3",IFERROR(VALUE(TRIM(SUBSTITUTE(AD47,CHAR(160),""))),0),TRUE,0)*IFERROR(VALUE(TRIM(SUBSTITUTE(M47,CHAR(160),""))),0))</f>
        <v/>
      </c>
      <c r="AI47" s="488"/>
      <c r="AJ47" s="215" t="str">
        <f t="shared" si="26"/>
        <v/>
      </c>
      <c r="AK47" s="57" t="str">
        <f t="shared" si="27"/>
        <v/>
      </c>
      <c r="AL47" s="57" t="str">
        <f t="shared" si="28"/>
        <v/>
      </c>
      <c r="AM47" s="57" t="str">
        <f t="shared" si="29"/>
        <v/>
      </c>
      <c r="AN47" s="57" t="str">
        <f t="shared" si="21"/>
        <v/>
      </c>
      <c r="AO47" s="57" t="str">
        <f t="shared" si="30"/>
        <v/>
      </c>
      <c r="AP47" s="57" t="str">
        <f t="shared" si="31"/>
        <v/>
      </c>
      <c r="AQ47" s="57" t="str">
        <f t="shared" si="32"/>
        <v/>
      </c>
      <c r="AR47" s="57" t="str">
        <f t="shared" si="33"/>
        <v/>
      </c>
      <c r="AS47" s="57" t="str">
        <f t="shared" si="34"/>
        <v/>
      </c>
      <c r="AT47" s="1172" t="str">
        <f t="shared" si="35"/>
        <v/>
      </c>
      <c r="AU47" s="57" t="str">
        <f t="shared" si="36"/>
        <v/>
      </c>
      <c r="AV47" s="691" t="str">
        <f t="shared" si="37"/>
        <v/>
      </c>
      <c r="AW47" s="1533" t="str">
        <f t="shared" si="38"/>
        <v/>
      </c>
      <c r="AX47" s="1521" t="str">
        <f t="shared" si="39"/>
        <v/>
      </c>
      <c r="AY47" s="1663" t="str">
        <f t="shared" si="40"/>
        <v/>
      </c>
      <c r="AZ47" s="1663" t="str">
        <f t="shared" si="41"/>
        <v/>
      </c>
      <c r="BA47" s="1522" t="str">
        <f t="shared" si="2"/>
        <v/>
      </c>
      <c r="BB47" s="1527" t="str">
        <f t="shared" si="3"/>
        <v/>
      </c>
      <c r="BC47" s="1528" t="str">
        <f t="shared" si="4"/>
        <v/>
      </c>
      <c r="BD47" s="1654" t="str">
        <f t="shared" si="5"/>
        <v/>
      </c>
      <c r="BE47" s="1657" t="str">
        <f t="shared" si="6"/>
        <v/>
      </c>
      <c r="BF47" s="1539" t="str">
        <f t="shared" si="7"/>
        <v/>
      </c>
      <c r="BG47" s="1544" t="str">
        <f t="shared" si="8"/>
        <v/>
      </c>
      <c r="BH47" s="1545" t="str">
        <f t="shared" si="9"/>
        <v/>
      </c>
      <c r="BI47" s="1660" t="str">
        <f t="shared" si="10"/>
        <v/>
      </c>
      <c r="BJ47" s="1660" t="str">
        <f t="shared" si="11"/>
        <v/>
      </c>
      <c r="BK47" s="1546" t="str">
        <f t="shared" si="12"/>
        <v/>
      </c>
      <c r="BL47" s="1467" t="str">
        <f t="shared" si="22"/>
        <v/>
      </c>
      <c r="BM47" s="260"/>
      <c r="BN47" s="1667" t="str">
        <f t="shared" si="23"/>
        <v/>
      </c>
      <c r="BO47" s="1667" t="str">
        <f t="shared" si="24"/>
        <v/>
      </c>
      <c r="BP47" s="300" t="str">
        <f t="shared" si="14"/>
        <v/>
      </c>
      <c r="BQ47" s="1470" t="str" cm="1">
        <f t="array" ref="BQ47">IF($AT47="","",
_xlfn.IFS(
$BL47="Devis 1",
IF(ISBLANK(AY47),"",IFERROR(VALUE(TRIM(SUBSTITUTE(AY47,CHAR(160),""))),0)*IFERROR(VALUE(TRIM(SUBSTITUTE($AT47,CHAR(160),""))),0)),
$BL47="Devis 2",
IF(ISBLANK(BD47),"",IFERROR(VALUE(TRIM(SUBSTITUTE(BD47,CHAR(160),""))),0)*IFERROR(VALUE(TRIM(SUBSTITUTE($AT47,CHAR(160),""))),0)),
$BL47="Devis 3",
IF(ISBLANK(BI47),"",IFERROR(VALUE(TRIM(SUBSTITUTE(BI47,CHAR(160),""))),0)*IFERROR(VALUE(TRIM(SUBSTITUTE($AT47,CHAR(160),""))),0)),
TRUE,0
)
)</f>
        <v/>
      </c>
      <c r="BR47" s="1470" t="str" cm="1">
        <f t="array" ref="BR47">IF($AT47="","",
_xlfn.IFS(
$BL47="Devis 1",
IF(ISBLANK(AZ47),"",IFERROR(VALUE(TRIM(SUBSTITUTE(AZ47,CHAR(160),""))),0)*IFERROR(VALUE(TRIM(SUBSTITUTE($AT47,CHAR(160),""))),0)),
$BL47="Devis 2",
IF(ISBLANK(BE47),"",IFERROR(VALUE(TRIM(SUBSTITUTE(BE47,CHAR(160),""))),0)*IFERROR(VALUE(TRIM(SUBSTITUTE($AT47,CHAR(160),""))),0)),
$BL47="Devis 3",
IF(ISBLANK(BJ47),"",IFERROR(VALUE(TRIM(SUBSTITUTE(BJ47,CHAR(160),""))),0)*IFERROR(VALUE(TRIM(SUBSTITUTE($AT47,CHAR(160),""))),0)),
TRUE,0
)
)</f>
        <v/>
      </c>
      <c r="BS47" s="1470" t="str">
        <f t="shared" si="25"/>
        <v/>
      </c>
      <c r="BT47" s="194"/>
      <c r="BU47" s="216" t="str" cm="1">
        <f t="array" ref="BU47">IF(OR(BS47="",BP47="",BQ47="",BN47="",BR47="",BO47=""),"",_xlfn.IFS(
ROUND(IFERROR(VALUE(TRIM(SUBSTITUTE(BS47,CHAR(160),""))),0),2)&gt;
ROUND(IFERROR(VALUE(TRIM(SUBSTITUTE(BP47,CHAR(160),""))),0),2),
"KO : Le montant retenu TTC est supérieur au montant raisonnable TTC. Merci de revoir la ligne de dépense ou plafonner son montant.",
ROUND(IFERROR(VALUE(TRIM(SUBSTITUTE(BQ47,CHAR(160),""))),0),2)&gt;
ROUND(IFERROR(VALUE(TRIM(SUBSTITUTE(BN47,CHAR(160),""))),0),2),
"Attention : Le montant retenu HT est supérieur au montant HT raisonnable. Merci de revoir la ligne de dépense, plafonner son montant, ou justifier la reventillation HT / TVA.",
ROUND(IFERROR(VALUE(TRIM(SUBSTITUTE(BR47,CHAR(160),""))),0),2)&gt;
ROUND(IFERROR(VALUE(TRIM(SUBSTITUTE(BO47,CHAR(160),""))),0),2),
"Attention : Le montant TVA retenu est supérieur au montant TVA raisonnable. Merci de revoir la ligne de dépense, plafonner son montant, ou justifier la reventillation HT / TVA.",
ROUND(IFERROR(VALUE(TRIM(SUBSTITUTE(BS47,CHAR(160),""))),0),2)&gt;
ROUND(IFERROR(VALUE(TRIM(SUBSTITUTE(MIN(T47,Y47,AD47),CHAR(160),""))),0),2),
"Attention : Le devis retenu n'est pas le moins cher. Une justification de la part du porteur est nécessaire.",
ROUND(IFERROR(VALUE(TRIM(SUBSTITUTE(BS47,CHAR(160),""))),0),2)=0,
"Attention : montant présenté entièrement écarté",
ROUND(IFERROR(VALUE(TRIM(SUBSTITUTE(BP47,CHAR(160),""))),0),2)=
ROUND(IFERROR(VALUE(TRIM(SUBSTITUTE(BS47,CHAR(160),""))),0),2),
"OK",
ROUND(IFERROR(VALUE(TRIM(SUBSTITUTE(BP47,CHAR(160),""))),0),2)&gt;
ROUND(IFERROR(VALUE(TRIM(SUBSTITUTE(BS47,CHAR(160),""))),0),2),
" OK : Montant instruit inférieur au montant raisonnable.",
TRUE,""
))</f>
        <v/>
      </c>
      <c r="BV47" s="57" t="str" cm="1">
        <f t="array" ref="BV47">IF(OR(BS47="",AH47="",BQ47="",AF47="",BR47="",AG47=""),"",_xlfn.IFS(
ROUND(IFERROR(VALUE(TRIM(SUBSTITUTE(BS47,CHAR(160),""))),0),2)&gt;
ROUND(IFERROR(VALUE(TRIM(SUBSTITUTE(AH47,CHAR(160),""))),0),2),
"KO : Le montant retenu TTC est supérieur au montant présenté TTC. Merci de revoir la ligne de dépense ou plafonner son montant.",
ROUND(IFERROR(VALUE(TRIM(SUBSTITUTE(BQ47,CHAR(160),""))),0),2)&gt;
ROUND(IFERROR(VALUE(TRIM(SUBSTITUTE(AF47,CHAR(160),""))),0),2),
"Attention : Le montant retenu HT est supérieur au montant HT présenté. Merci de revoir la ligne de dépense, plafonner son montant, ou justifier la reventillation HT / TVA.",
ROUND(IFERROR(VALUE(TRIM(SUBSTITUTE(BR47,CHAR(160),""))),0),2)&gt;
ROUND(IFERROR(VALUE(TRIM(SUBSTITUTE(AG47,CHAR(160),""))),0),2),
"Attention : Le montant TVA retenu est supérieur au montant TVA présenté. Merci de revoir la ligne de dépense, plafonner son montant, ou justifier la reventillation HT / TVA.",
ROUND(IFERROR(VALUE(TRIM(SUBSTITUTE(AH47,CHAR(160),""))),0),2)=0,
"",
ROUND(IFERROR(VALUE(TRIM(SUBSTITUTE(BS47,CHAR(160),""))),0),2)=
ROUND(IFERROR(VALUE(TRIM(SUBSTITUTE(AH47,CHAR(160),""))),0),2),
"OK",
ROUND(IFERROR(VALUE(TRIM(SUBSTITUTE(BS47,CHAR(160),""))),0),2)=0,
"Attention : Montant présenté entièrement rejeté.",
ROUND(IFERROR(VALUE(TRIM(SUBSTITUTE(BS47,CHAR(160),""))),0),2)&lt;
ROUND(IFERROR(VALUE(TRIM(SUBSTITUTE(AH47,CHAR(160),""))),0),2),
"Attention : Montant présenté partiellement rejeté.",
TRUE,""
))</f>
        <v/>
      </c>
      <c r="BW47" s="1202" t="str">
        <f t="shared" si="15"/>
        <v/>
      </c>
      <c r="BX47" s="1202" t="str">
        <f t="shared" si="16"/>
        <v/>
      </c>
      <c r="BY47" s="1216" t="str">
        <f t="shared" si="17"/>
        <v/>
      </c>
      <c r="CB47"/>
      <c r="CF47" s="185"/>
    </row>
    <row r="48" spans="2:84" ht="20.100000000000001" customHeight="1">
      <c r="B48" s="1206">
        <v>38</v>
      </c>
      <c r="C48" s="11"/>
      <c r="D48" s="11"/>
      <c r="E48" s="22"/>
      <c r="F48" s="22"/>
      <c r="G48" s="22"/>
      <c r="H48" s="22"/>
      <c r="I48" s="11"/>
      <c r="J48" s="1201"/>
      <c r="K48" s="1512"/>
      <c r="L48" s="11"/>
      <c r="M48" s="2"/>
      <c r="N48" s="23"/>
      <c r="O48" s="25"/>
      <c r="P48" s="1552"/>
      <c r="Q48" s="1518"/>
      <c r="R48" s="1517"/>
      <c r="S48" s="1517"/>
      <c r="T48" s="1522" t="str">
        <f t="shared" si="18"/>
        <v/>
      </c>
      <c r="U48" s="1559"/>
      <c r="V48" s="1523"/>
      <c r="W48" s="1524"/>
      <c r="X48" s="1524"/>
      <c r="Y48" s="1539" t="str">
        <f t="shared" si="19"/>
        <v/>
      </c>
      <c r="Z48" s="1567"/>
      <c r="AA48" s="1568"/>
      <c r="AB48" s="1569"/>
      <c r="AC48" s="1569"/>
      <c r="AD48" s="1546" t="str">
        <f t="shared" si="20"/>
        <v/>
      </c>
      <c r="AE48" s="6"/>
      <c r="AF48" s="1202" t="str" cm="1">
        <f t="array" ref="AF48">IF((_xlfn.IFS(TRIM(SUBSTITUTE(AE48,CHAR(160),""))="Devis 1",IFERROR(VALUE(TRIM(SUBSTITUTE(R48,CHAR(160),""))),0),TRIM(SUBSTITUTE(AE48,CHAR(160),""))="Devis 2",IFERROR(VALUE(TRIM(SUBSTITUTE(W48,CHAR(160),""))),0),TRIM(SUBSTITUTE(AE48,CHAR(160),""))="Devis 3",IFERROR(VALUE(TRIM(SUBSTITUTE(AB48,CHAR(160),""))),0),TRUE,0)*IFERROR(VALUE(TRIM(SUBSTITUTE(M48,CHAR(160),""))),0))=0,"",_xlfn.IFS(TRIM(SUBSTITUTE(AE48,CHAR(160),""))="Devis 1",IFERROR(VALUE(TRIM(SUBSTITUTE(R48,CHAR(160),""))),0),TRIM(SUBSTITUTE(AE48,CHAR(160),""))="Devis 2",IFERROR(VALUE(TRIM(SUBSTITUTE(W48,CHAR(160),""))),0),TRIM(SUBSTITUTE(AE48,CHAR(160),""))="Devis 3",IFERROR(VALUE(TRIM(SUBSTITUTE(AB48,CHAR(160),""))),0),TRUE,0)*IFERROR(VALUE(TRIM(SUBSTITUTE(M48,CHAR(160),""))),0))</f>
        <v/>
      </c>
      <c r="AG48" s="1202" t="str" cm="1">
        <f t="array" ref="AG48">IF((_xlfn.IFS(TRIM(SUBSTITUTE(AE48,CHAR(160),""))="Devis 1",IFERROR(VALUE(TRIM(SUBSTITUTE(S48,CHAR(160),""))),0),TRIM(SUBSTITUTE(AE48,CHAR(160),""))="Devis 2",IFERROR(VALUE(TRIM(SUBSTITUTE(X48,CHAR(160),""))),0),TRIM(SUBSTITUTE(AE48,CHAR(160),""))="Devis 3",IFERROR(VALUE(TRIM(SUBSTITUTE(AC48,CHAR(160),""))),0),TRUE,0)*IFERROR(VALUE(TRIM(SUBSTITUTE(M48,CHAR(160),""))),0))=0,"",_xlfn.IFS(TRIM(SUBSTITUTE(AE48,CHAR(160),""))="Devis 1",IFERROR(VALUE(TRIM(SUBSTITUTE(S48,CHAR(160),""))),0),TRIM(SUBSTITUTE(AF48,CHAR(160),""))="Devis 2",IFERROR(VALUE(TRIM(SUBSTITUTE(X48,CHAR(160),""))),0),TRIM(SUBSTITUTE(AF48,CHAR(160),""))="Devis 3",IFERROR(VALUE(TRIM(SUBSTITUTE(AC48,CHAR(160),""))),0),TRUE,0)*IFERROR(VALUE(TRIM(SUBSTITUTE(M48,CHAR(160),""))),0))</f>
        <v/>
      </c>
      <c r="AH48" s="1202" t="str" cm="1">
        <f t="array" ref="AH48">IF((_xlfn.IFS(TRIM(SUBSTITUTE(AE48,CHAR(160),""))="Devis 1",IFERROR(VALUE(TRIM(SUBSTITUTE(T48,CHAR(160),""))),0),TRIM(SUBSTITUTE(AE48,CHAR(160),""))="Devis 2",IFERROR(VALUE(TRIM(SUBSTITUTE(Y48,CHAR(160),""))),0),TRIM(SUBSTITUTE(AE48,CHAR(160),""))="Devis 3",IFERROR(VALUE(TRIM(SUBSTITUTE(AD48,CHAR(160),""))),0),TRUE,0)*IFERROR(VALUE(TRIM(SUBSTITUTE(M48,CHAR(160),""))),0))=0,"",_xlfn.IFS(TRIM(SUBSTITUTE(AE48,CHAR(160),""))="Devis 1",IFERROR(VALUE(TRIM(SUBSTITUTE(T48,CHAR(160),""))),0),TRIM(SUBSTITUTE(AE48,CHAR(160),""))="Devis 2",IFERROR(VALUE(TRIM(SUBSTITUTE(Y48,CHAR(160),""))),0),TRIM(SUBSTITUTE(AE48,CHAR(160),""))="Devis 3",IFERROR(VALUE(TRIM(SUBSTITUTE(AD48,CHAR(160),""))),0),TRUE,0)*IFERROR(VALUE(TRIM(SUBSTITUTE(M48,CHAR(160),""))),0))</f>
        <v/>
      </c>
      <c r="AI48" s="488"/>
      <c r="AJ48" s="215" t="str">
        <f t="shared" si="26"/>
        <v/>
      </c>
      <c r="AK48" s="57" t="str">
        <f t="shared" si="27"/>
        <v/>
      </c>
      <c r="AL48" s="57" t="str">
        <f t="shared" si="28"/>
        <v/>
      </c>
      <c r="AM48" s="57" t="str">
        <f t="shared" si="29"/>
        <v/>
      </c>
      <c r="AN48" s="57" t="str">
        <f t="shared" si="21"/>
        <v/>
      </c>
      <c r="AO48" s="57" t="str">
        <f t="shared" si="30"/>
        <v/>
      </c>
      <c r="AP48" s="57" t="str">
        <f t="shared" si="31"/>
        <v/>
      </c>
      <c r="AQ48" s="57" t="str">
        <f t="shared" si="32"/>
        <v/>
      </c>
      <c r="AR48" s="57" t="str">
        <f t="shared" si="33"/>
        <v/>
      </c>
      <c r="AS48" s="57" t="str">
        <f t="shared" si="34"/>
        <v/>
      </c>
      <c r="AT48" s="1172" t="str">
        <f t="shared" si="35"/>
        <v/>
      </c>
      <c r="AU48" s="57" t="str">
        <f t="shared" si="36"/>
        <v/>
      </c>
      <c r="AV48" s="691" t="str">
        <f t="shared" si="37"/>
        <v/>
      </c>
      <c r="AW48" s="1533" t="str">
        <f t="shared" si="38"/>
        <v/>
      </c>
      <c r="AX48" s="1521" t="str">
        <f t="shared" si="39"/>
        <v/>
      </c>
      <c r="AY48" s="1663" t="str">
        <f t="shared" si="40"/>
        <v/>
      </c>
      <c r="AZ48" s="1663" t="str">
        <f t="shared" si="41"/>
        <v/>
      </c>
      <c r="BA48" s="1522" t="str">
        <f t="shared" si="2"/>
        <v/>
      </c>
      <c r="BB48" s="1527" t="str">
        <f t="shared" si="3"/>
        <v/>
      </c>
      <c r="BC48" s="1528" t="str">
        <f t="shared" si="4"/>
        <v/>
      </c>
      <c r="BD48" s="1654" t="str">
        <f t="shared" si="5"/>
        <v/>
      </c>
      <c r="BE48" s="1657" t="str">
        <f t="shared" si="6"/>
        <v/>
      </c>
      <c r="BF48" s="1539" t="str">
        <f t="shared" si="7"/>
        <v/>
      </c>
      <c r="BG48" s="1544" t="str">
        <f t="shared" si="8"/>
        <v/>
      </c>
      <c r="BH48" s="1545" t="str">
        <f t="shared" si="9"/>
        <v/>
      </c>
      <c r="BI48" s="1660" t="str">
        <f t="shared" si="10"/>
        <v/>
      </c>
      <c r="BJ48" s="1660" t="str">
        <f t="shared" si="11"/>
        <v/>
      </c>
      <c r="BK48" s="1546" t="str">
        <f t="shared" si="12"/>
        <v/>
      </c>
      <c r="BL48" s="1467" t="str">
        <f t="shared" si="22"/>
        <v/>
      </c>
      <c r="BM48" s="260"/>
      <c r="BN48" s="1667" t="str">
        <f t="shared" si="23"/>
        <v/>
      </c>
      <c r="BO48" s="1667" t="str">
        <f t="shared" si="24"/>
        <v/>
      </c>
      <c r="BP48" s="300" t="str">
        <f t="shared" si="14"/>
        <v/>
      </c>
      <c r="BQ48" s="1470" t="str" cm="1">
        <f t="array" ref="BQ48">IF($AT48="","",
_xlfn.IFS(
$BL48="Devis 1",
IF(ISBLANK(AY48),"",IFERROR(VALUE(TRIM(SUBSTITUTE(AY48,CHAR(160),""))),0)*IFERROR(VALUE(TRIM(SUBSTITUTE($AT48,CHAR(160),""))),0)),
$BL48="Devis 2",
IF(ISBLANK(BD48),"",IFERROR(VALUE(TRIM(SUBSTITUTE(BD48,CHAR(160),""))),0)*IFERROR(VALUE(TRIM(SUBSTITUTE($AT48,CHAR(160),""))),0)),
$BL48="Devis 3",
IF(ISBLANK(BI48),"",IFERROR(VALUE(TRIM(SUBSTITUTE(BI48,CHAR(160),""))),0)*IFERROR(VALUE(TRIM(SUBSTITUTE($AT48,CHAR(160),""))),0)),
TRUE,0
)
)</f>
        <v/>
      </c>
      <c r="BR48" s="1470" t="str" cm="1">
        <f t="array" ref="BR48">IF($AT48="","",
_xlfn.IFS(
$BL48="Devis 1",
IF(ISBLANK(AZ48),"",IFERROR(VALUE(TRIM(SUBSTITUTE(AZ48,CHAR(160),""))),0)*IFERROR(VALUE(TRIM(SUBSTITUTE($AT48,CHAR(160),""))),0)),
$BL48="Devis 2",
IF(ISBLANK(BE48),"",IFERROR(VALUE(TRIM(SUBSTITUTE(BE48,CHAR(160),""))),0)*IFERROR(VALUE(TRIM(SUBSTITUTE($AT48,CHAR(160),""))),0)),
$BL48="Devis 3",
IF(ISBLANK(BJ48),"",IFERROR(VALUE(TRIM(SUBSTITUTE(BJ48,CHAR(160),""))),0)*IFERROR(VALUE(TRIM(SUBSTITUTE($AT48,CHAR(160),""))),0)),
TRUE,0
)
)</f>
        <v/>
      </c>
      <c r="BS48" s="1470" t="str">
        <f t="shared" si="25"/>
        <v/>
      </c>
      <c r="BT48" s="194"/>
      <c r="BU48" s="216" t="str" cm="1">
        <f t="array" ref="BU48">IF(OR(BS48="",BP48="",BQ48="",BN48="",BR48="",BO48=""),"",_xlfn.IFS(
ROUND(IFERROR(VALUE(TRIM(SUBSTITUTE(BS48,CHAR(160),""))),0),2)&gt;
ROUND(IFERROR(VALUE(TRIM(SUBSTITUTE(BP48,CHAR(160),""))),0),2),
"KO : Le montant retenu TTC est supérieur au montant raisonnable TTC. Merci de revoir la ligne de dépense ou plafonner son montant.",
ROUND(IFERROR(VALUE(TRIM(SUBSTITUTE(BQ48,CHAR(160),""))),0),2)&gt;
ROUND(IFERROR(VALUE(TRIM(SUBSTITUTE(BN48,CHAR(160),""))),0),2),
"Attention : Le montant retenu HT est supérieur au montant HT raisonnable. Merci de revoir la ligne de dépense, plafonner son montant, ou justifier la reventillation HT / TVA.",
ROUND(IFERROR(VALUE(TRIM(SUBSTITUTE(BR48,CHAR(160),""))),0),2)&gt;
ROUND(IFERROR(VALUE(TRIM(SUBSTITUTE(BO48,CHAR(160),""))),0),2),
"Attention : Le montant TVA retenu est supérieur au montant TVA raisonnable. Merci de revoir la ligne de dépense, plafonner son montant, ou justifier la reventillation HT / TVA.",
ROUND(IFERROR(VALUE(TRIM(SUBSTITUTE(BS48,CHAR(160),""))),0),2)&gt;
ROUND(IFERROR(VALUE(TRIM(SUBSTITUTE(MIN(T48,Y48,AD48),CHAR(160),""))),0),2),
"Attention : Le devis retenu n'est pas le moins cher. Une justification de la part du porteur est nécessaire.",
ROUND(IFERROR(VALUE(TRIM(SUBSTITUTE(BS48,CHAR(160),""))),0),2)=0,
"Attention : montant présenté entièrement écarté",
ROUND(IFERROR(VALUE(TRIM(SUBSTITUTE(BP48,CHAR(160),""))),0),2)=
ROUND(IFERROR(VALUE(TRIM(SUBSTITUTE(BS48,CHAR(160),""))),0),2),
"OK",
ROUND(IFERROR(VALUE(TRIM(SUBSTITUTE(BP48,CHAR(160),""))),0),2)&gt;
ROUND(IFERROR(VALUE(TRIM(SUBSTITUTE(BS48,CHAR(160),""))),0),2),
" OK : Montant instruit inférieur au montant raisonnable.",
TRUE,""
))</f>
        <v/>
      </c>
      <c r="BV48" s="57" t="str" cm="1">
        <f t="array" ref="BV48">IF(OR(BS48="",AH48="",BQ48="",AF48="",BR48="",AG48=""),"",_xlfn.IFS(
ROUND(IFERROR(VALUE(TRIM(SUBSTITUTE(BS48,CHAR(160),""))),0),2)&gt;
ROUND(IFERROR(VALUE(TRIM(SUBSTITUTE(AH48,CHAR(160),""))),0),2),
"KO : Le montant retenu TTC est supérieur au montant présenté TTC. Merci de revoir la ligne de dépense ou plafonner son montant.",
ROUND(IFERROR(VALUE(TRIM(SUBSTITUTE(BQ48,CHAR(160),""))),0),2)&gt;
ROUND(IFERROR(VALUE(TRIM(SUBSTITUTE(AF48,CHAR(160),""))),0),2),
"Attention : Le montant retenu HT est supérieur au montant HT présenté. Merci de revoir la ligne de dépense, plafonner son montant, ou justifier la reventillation HT / TVA.",
ROUND(IFERROR(VALUE(TRIM(SUBSTITUTE(BR48,CHAR(160),""))),0),2)&gt;
ROUND(IFERROR(VALUE(TRIM(SUBSTITUTE(AG48,CHAR(160),""))),0),2),
"Attention : Le montant TVA retenu est supérieur au montant TVA présenté. Merci de revoir la ligne de dépense, plafonner son montant, ou justifier la reventillation HT / TVA.",
ROUND(IFERROR(VALUE(TRIM(SUBSTITUTE(AH48,CHAR(160),""))),0),2)=0,
"",
ROUND(IFERROR(VALUE(TRIM(SUBSTITUTE(BS48,CHAR(160),""))),0),2)=
ROUND(IFERROR(VALUE(TRIM(SUBSTITUTE(AH48,CHAR(160),""))),0),2),
"OK",
ROUND(IFERROR(VALUE(TRIM(SUBSTITUTE(BS48,CHAR(160),""))),0),2)=0,
"Attention : Montant présenté entièrement rejeté.",
ROUND(IFERROR(VALUE(TRIM(SUBSTITUTE(BS48,CHAR(160),""))),0),2)&lt;
ROUND(IFERROR(VALUE(TRIM(SUBSTITUTE(AH48,CHAR(160),""))),0),2),
"Attention : Montant présenté partiellement rejeté.",
TRUE,""
))</f>
        <v/>
      </c>
      <c r="BW48" s="1202" t="str">
        <f t="shared" si="15"/>
        <v/>
      </c>
      <c r="BX48" s="1202" t="str">
        <f t="shared" si="16"/>
        <v/>
      </c>
      <c r="BY48" s="1216" t="str">
        <f t="shared" si="17"/>
        <v/>
      </c>
      <c r="CB48"/>
      <c r="CF48" s="185"/>
    </row>
    <row r="49" spans="2:86" ht="20.100000000000001" customHeight="1">
      <c r="B49" s="1206">
        <v>39</v>
      </c>
      <c r="C49" s="11"/>
      <c r="D49" s="11"/>
      <c r="E49" s="22"/>
      <c r="F49" s="22"/>
      <c r="G49" s="22"/>
      <c r="H49" s="22"/>
      <c r="I49" s="11"/>
      <c r="J49" s="1201"/>
      <c r="K49" s="1512"/>
      <c r="L49" s="11"/>
      <c r="M49" s="2"/>
      <c r="N49" s="23"/>
      <c r="O49" s="25"/>
      <c r="P49" s="1552"/>
      <c r="Q49" s="1518"/>
      <c r="R49" s="1517"/>
      <c r="S49" s="1517"/>
      <c r="T49" s="1522" t="str">
        <f t="shared" si="18"/>
        <v/>
      </c>
      <c r="U49" s="1559"/>
      <c r="V49" s="1523"/>
      <c r="W49" s="1524"/>
      <c r="X49" s="1524"/>
      <c r="Y49" s="1539" t="str">
        <f t="shared" si="19"/>
        <v/>
      </c>
      <c r="Z49" s="1567"/>
      <c r="AA49" s="1568"/>
      <c r="AB49" s="1569"/>
      <c r="AC49" s="1569"/>
      <c r="AD49" s="1546" t="str">
        <f t="shared" si="20"/>
        <v/>
      </c>
      <c r="AE49" s="6"/>
      <c r="AF49" s="1202" t="str" cm="1">
        <f t="array" ref="AF49">IF((_xlfn.IFS(TRIM(SUBSTITUTE(AE49,CHAR(160),""))="Devis 1",IFERROR(VALUE(TRIM(SUBSTITUTE(R49,CHAR(160),""))),0),TRIM(SUBSTITUTE(AE49,CHAR(160),""))="Devis 2",IFERROR(VALUE(TRIM(SUBSTITUTE(W49,CHAR(160),""))),0),TRIM(SUBSTITUTE(AE49,CHAR(160),""))="Devis 3",IFERROR(VALUE(TRIM(SUBSTITUTE(AB49,CHAR(160),""))),0),TRUE,0)*IFERROR(VALUE(TRIM(SUBSTITUTE(M49,CHAR(160),""))),0))=0,"",_xlfn.IFS(TRIM(SUBSTITUTE(AE49,CHAR(160),""))="Devis 1",IFERROR(VALUE(TRIM(SUBSTITUTE(R49,CHAR(160),""))),0),TRIM(SUBSTITUTE(AE49,CHAR(160),""))="Devis 2",IFERROR(VALUE(TRIM(SUBSTITUTE(W49,CHAR(160),""))),0),TRIM(SUBSTITUTE(AE49,CHAR(160),""))="Devis 3",IFERROR(VALUE(TRIM(SUBSTITUTE(AB49,CHAR(160),""))),0),TRUE,0)*IFERROR(VALUE(TRIM(SUBSTITUTE(M49,CHAR(160),""))),0))</f>
        <v/>
      </c>
      <c r="AG49" s="1202" t="str" cm="1">
        <f t="array" ref="AG49">IF((_xlfn.IFS(TRIM(SUBSTITUTE(AE49,CHAR(160),""))="Devis 1",IFERROR(VALUE(TRIM(SUBSTITUTE(S49,CHAR(160),""))),0),TRIM(SUBSTITUTE(AE49,CHAR(160),""))="Devis 2",IFERROR(VALUE(TRIM(SUBSTITUTE(X49,CHAR(160),""))),0),TRIM(SUBSTITUTE(AE49,CHAR(160),""))="Devis 3",IFERROR(VALUE(TRIM(SUBSTITUTE(AC49,CHAR(160),""))),0),TRUE,0)*IFERROR(VALUE(TRIM(SUBSTITUTE(M49,CHAR(160),""))),0))=0,"",_xlfn.IFS(TRIM(SUBSTITUTE(AE49,CHAR(160),""))="Devis 1",IFERROR(VALUE(TRIM(SUBSTITUTE(S49,CHAR(160),""))),0),TRIM(SUBSTITUTE(AF49,CHAR(160),""))="Devis 2",IFERROR(VALUE(TRIM(SUBSTITUTE(X49,CHAR(160),""))),0),TRIM(SUBSTITUTE(AF49,CHAR(160),""))="Devis 3",IFERROR(VALUE(TRIM(SUBSTITUTE(AC49,CHAR(160),""))),0),TRUE,0)*IFERROR(VALUE(TRIM(SUBSTITUTE(M49,CHAR(160),""))),0))</f>
        <v/>
      </c>
      <c r="AH49" s="1202" t="str" cm="1">
        <f t="array" ref="AH49">IF((_xlfn.IFS(TRIM(SUBSTITUTE(AE49,CHAR(160),""))="Devis 1",IFERROR(VALUE(TRIM(SUBSTITUTE(T49,CHAR(160),""))),0),TRIM(SUBSTITUTE(AE49,CHAR(160),""))="Devis 2",IFERROR(VALUE(TRIM(SUBSTITUTE(Y49,CHAR(160),""))),0),TRIM(SUBSTITUTE(AE49,CHAR(160),""))="Devis 3",IFERROR(VALUE(TRIM(SUBSTITUTE(AD49,CHAR(160),""))),0),TRUE,0)*IFERROR(VALUE(TRIM(SUBSTITUTE(M49,CHAR(160),""))),0))=0,"",_xlfn.IFS(TRIM(SUBSTITUTE(AE49,CHAR(160),""))="Devis 1",IFERROR(VALUE(TRIM(SUBSTITUTE(T49,CHAR(160),""))),0),TRIM(SUBSTITUTE(AE49,CHAR(160),""))="Devis 2",IFERROR(VALUE(TRIM(SUBSTITUTE(Y49,CHAR(160),""))),0),TRIM(SUBSTITUTE(AE49,CHAR(160),""))="Devis 3",IFERROR(VALUE(TRIM(SUBSTITUTE(AD49,CHAR(160),""))),0),TRUE,0)*IFERROR(VALUE(TRIM(SUBSTITUTE(M49,CHAR(160),""))),0))</f>
        <v/>
      </c>
      <c r="AI49" s="488"/>
      <c r="AJ49" s="215" t="str">
        <f t="shared" si="26"/>
        <v/>
      </c>
      <c r="AK49" s="57" t="str">
        <f t="shared" si="27"/>
        <v/>
      </c>
      <c r="AL49" s="57" t="str">
        <f t="shared" si="28"/>
        <v/>
      </c>
      <c r="AM49" s="57" t="str">
        <f t="shared" si="29"/>
        <v/>
      </c>
      <c r="AN49" s="57" t="str">
        <f t="shared" si="21"/>
        <v/>
      </c>
      <c r="AO49" s="57" t="str">
        <f t="shared" si="30"/>
        <v/>
      </c>
      <c r="AP49" s="57" t="str">
        <f t="shared" si="31"/>
        <v/>
      </c>
      <c r="AQ49" s="57" t="str">
        <f t="shared" si="32"/>
        <v/>
      </c>
      <c r="AR49" s="57" t="str">
        <f t="shared" si="33"/>
        <v/>
      </c>
      <c r="AS49" s="57" t="str">
        <f t="shared" si="34"/>
        <v/>
      </c>
      <c r="AT49" s="1172" t="str">
        <f t="shared" si="35"/>
        <v/>
      </c>
      <c r="AU49" s="57" t="str">
        <f t="shared" si="36"/>
        <v/>
      </c>
      <c r="AV49" s="691" t="str">
        <f t="shared" si="37"/>
        <v/>
      </c>
      <c r="AW49" s="1533" t="str">
        <f t="shared" si="38"/>
        <v/>
      </c>
      <c r="AX49" s="1521" t="str">
        <f t="shared" si="39"/>
        <v/>
      </c>
      <c r="AY49" s="1663" t="str">
        <f t="shared" si="40"/>
        <v/>
      </c>
      <c r="AZ49" s="1663" t="str">
        <f t="shared" si="41"/>
        <v/>
      </c>
      <c r="BA49" s="1522" t="str">
        <f t="shared" si="2"/>
        <v/>
      </c>
      <c r="BB49" s="1527" t="str">
        <f t="shared" si="3"/>
        <v/>
      </c>
      <c r="BC49" s="1528" t="str">
        <f t="shared" si="4"/>
        <v/>
      </c>
      <c r="BD49" s="1654" t="str">
        <f t="shared" si="5"/>
        <v/>
      </c>
      <c r="BE49" s="1657" t="str">
        <f t="shared" si="6"/>
        <v/>
      </c>
      <c r="BF49" s="1539" t="str">
        <f t="shared" si="7"/>
        <v/>
      </c>
      <c r="BG49" s="1544" t="str">
        <f t="shared" si="8"/>
        <v/>
      </c>
      <c r="BH49" s="1545" t="str">
        <f t="shared" si="9"/>
        <v/>
      </c>
      <c r="BI49" s="1660" t="str">
        <f t="shared" si="10"/>
        <v/>
      </c>
      <c r="BJ49" s="1660" t="str">
        <f t="shared" si="11"/>
        <v/>
      </c>
      <c r="BK49" s="1546" t="str">
        <f t="shared" si="12"/>
        <v/>
      </c>
      <c r="BL49" s="1467" t="str">
        <f t="shared" si="22"/>
        <v/>
      </c>
      <c r="BM49" s="260"/>
      <c r="BN49" s="1667" t="str">
        <f t="shared" si="23"/>
        <v/>
      </c>
      <c r="BO49" s="1667" t="str">
        <f t="shared" si="24"/>
        <v/>
      </c>
      <c r="BP49" s="300" t="str">
        <f t="shared" si="14"/>
        <v/>
      </c>
      <c r="BQ49" s="1470" t="str" cm="1">
        <f t="array" ref="BQ49">IF($AT49="","",
_xlfn.IFS(
$BL49="Devis 1",
IF(ISBLANK(AY49),"",IFERROR(VALUE(TRIM(SUBSTITUTE(AY49,CHAR(160),""))),0)*IFERROR(VALUE(TRIM(SUBSTITUTE($AT49,CHAR(160),""))),0)),
$BL49="Devis 2",
IF(ISBLANK(BD49),"",IFERROR(VALUE(TRIM(SUBSTITUTE(BD49,CHAR(160),""))),0)*IFERROR(VALUE(TRIM(SUBSTITUTE($AT49,CHAR(160),""))),0)),
$BL49="Devis 3",
IF(ISBLANK(BI49),"",IFERROR(VALUE(TRIM(SUBSTITUTE(BI49,CHAR(160),""))),0)*IFERROR(VALUE(TRIM(SUBSTITUTE($AT49,CHAR(160),""))),0)),
TRUE,0
)
)</f>
        <v/>
      </c>
      <c r="BR49" s="1470" t="str" cm="1">
        <f t="array" ref="BR49">IF($AT49="","",
_xlfn.IFS(
$BL49="Devis 1",
IF(ISBLANK(AZ49),"",IFERROR(VALUE(TRIM(SUBSTITUTE(AZ49,CHAR(160),""))),0)*IFERROR(VALUE(TRIM(SUBSTITUTE($AT49,CHAR(160),""))),0)),
$BL49="Devis 2",
IF(ISBLANK(BE49),"",IFERROR(VALUE(TRIM(SUBSTITUTE(BE49,CHAR(160),""))),0)*IFERROR(VALUE(TRIM(SUBSTITUTE($AT49,CHAR(160),""))),0)),
$BL49="Devis 3",
IF(ISBLANK(BJ49),"",IFERROR(VALUE(TRIM(SUBSTITUTE(BJ49,CHAR(160),""))),0)*IFERROR(VALUE(TRIM(SUBSTITUTE($AT49,CHAR(160),""))),0)),
TRUE,0
)
)</f>
        <v/>
      </c>
      <c r="BS49" s="1470" t="str">
        <f t="shared" si="25"/>
        <v/>
      </c>
      <c r="BT49" s="194"/>
      <c r="BU49" s="216" t="str" cm="1">
        <f t="array" ref="BU49">IF(OR(BS49="",BP49="",BQ49="",BN49="",BR49="",BO49=""),"",_xlfn.IFS(
ROUND(IFERROR(VALUE(TRIM(SUBSTITUTE(BS49,CHAR(160),""))),0),2)&gt;
ROUND(IFERROR(VALUE(TRIM(SUBSTITUTE(BP49,CHAR(160),""))),0),2),
"KO : Le montant retenu TTC est supérieur au montant raisonnable TTC. Merci de revoir la ligne de dépense ou plafonner son montant.",
ROUND(IFERROR(VALUE(TRIM(SUBSTITUTE(BQ49,CHAR(160),""))),0),2)&gt;
ROUND(IFERROR(VALUE(TRIM(SUBSTITUTE(BN49,CHAR(160),""))),0),2),
"Attention : Le montant retenu HT est supérieur au montant HT raisonnable. Merci de revoir la ligne de dépense, plafonner son montant, ou justifier la reventillation HT / TVA.",
ROUND(IFERROR(VALUE(TRIM(SUBSTITUTE(BR49,CHAR(160),""))),0),2)&gt;
ROUND(IFERROR(VALUE(TRIM(SUBSTITUTE(BO49,CHAR(160),""))),0),2),
"Attention : Le montant TVA retenu est supérieur au montant TVA raisonnable. Merci de revoir la ligne de dépense, plafonner son montant, ou justifier la reventillation HT / TVA.",
ROUND(IFERROR(VALUE(TRIM(SUBSTITUTE(BS49,CHAR(160),""))),0),2)&gt;
ROUND(IFERROR(VALUE(TRIM(SUBSTITUTE(MIN(T49,Y49,AD49),CHAR(160),""))),0),2),
"Attention : Le devis retenu n'est pas le moins cher. Une justification de la part du porteur est nécessaire.",
ROUND(IFERROR(VALUE(TRIM(SUBSTITUTE(BS49,CHAR(160),""))),0),2)=0,
"Attention : montant présenté entièrement écarté",
ROUND(IFERROR(VALUE(TRIM(SUBSTITUTE(BP49,CHAR(160),""))),0),2)=
ROUND(IFERROR(VALUE(TRIM(SUBSTITUTE(BS49,CHAR(160),""))),0),2),
"OK",
ROUND(IFERROR(VALUE(TRIM(SUBSTITUTE(BP49,CHAR(160),""))),0),2)&gt;
ROUND(IFERROR(VALUE(TRIM(SUBSTITUTE(BS49,CHAR(160),""))),0),2),
" OK : Montant instruit inférieur au montant raisonnable.",
TRUE,""
))</f>
        <v/>
      </c>
      <c r="BV49" s="57" t="str" cm="1">
        <f t="array" ref="BV49">IF(OR(BS49="",AH49="",BQ49="",AF49="",BR49="",AG49=""),"",_xlfn.IFS(
ROUND(IFERROR(VALUE(TRIM(SUBSTITUTE(BS49,CHAR(160),""))),0),2)&gt;
ROUND(IFERROR(VALUE(TRIM(SUBSTITUTE(AH49,CHAR(160),""))),0),2),
"KO : Le montant retenu TTC est supérieur au montant présenté TTC. Merci de revoir la ligne de dépense ou plafonner son montant.",
ROUND(IFERROR(VALUE(TRIM(SUBSTITUTE(BQ49,CHAR(160),""))),0),2)&gt;
ROUND(IFERROR(VALUE(TRIM(SUBSTITUTE(AF49,CHAR(160),""))),0),2),
"Attention : Le montant retenu HT est supérieur au montant HT présenté. Merci de revoir la ligne de dépense, plafonner son montant, ou justifier la reventillation HT / TVA.",
ROUND(IFERROR(VALUE(TRIM(SUBSTITUTE(BR49,CHAR(160),""))),0),2)&gt;
ROUND(IFERROR(VALUE(TRIM(SUBSTITUTE(AG49,CHAR(160),""))),0),2),
"Attention : Le montant TVA retenu est supérieur au montant TVA présenté. Merci de revoir la ligne de dépense, plafonner son montant, ou justifier la reventillation HT / TVA.",
ROUND(IFERROR(VALUE(TRIM(SUBSTITUTE(AH49,CHAR(160),""))),0),2)=0,
"",
ROUND(IFERROR(VALUE(TRIM(SUBSTITUTE(BS49,CHAR(160),""))),0),2)=
ROUND(IFERROR(VALUE(TRIM(SUBSTITUTE(AH49,CHAR(160),""))),0),2),
"OK",
ROUND(IFERROR(VALUE(TRIM(SUBSTITUTE(BS49,CHAR(160),""))),0),2)=0,
"Attention : Montant présenté entièrement rejeté.",
ROUND(IFERROR(VALUE(TRIM(SUBSTITUTE(BS49,CHAR(160),""))),0),2)&lt;
ROUND(IFERROR(VALUE(TRIM(SUBSTITUTE(AH49,CHAR(160),""))),0),2),
"Attention : Montant présenté partiellement rejeté.",
TRUE,""
))</f>
        <v/>
      </c>
      <c r="BW49" s="1202" t="str">
        <f t="shared" si="15"/>
        <v/>
      </c>
      <c r="BX49" s="1202" t="str">
        <f t="shared" si="16"/>
        <v/>
      </c>
      <c r="BY49" s="1216" t="str">
        <f t="shared" si="17"/>
        <v/>
      </c>
      <c r="CB49"/>
      <c r="CF49" s="185"/>
    </row>
    <row r="50" spans="2:86" ht="20.100000000000001" customHeight="1" thickBot="1">
      <c r="B50" s="1207">
        <v>40</v>
      </c>
      <c r="C50" s="12"/>
      <c r="D50" s="12"/>
      <c r="E50" s="927"/>
      <c r="F50" s="927"/>
      <c r="G50" s="927"/>
      <c r="H50" s="22"/>
      <c r="I50" s="12"/>
      <c r="J50" s="1201"/>
      <c r="K50" s="1512"/>
      <c r="L50" s="12"/>
      <c r="M50" s="16"/>
      <c r="N50" s="1209"/>
      <c r="O50" s="1333"/>
      <c r="P50" s="1553"/>
      <c r="Q50" s="1554"/>
      <c r="R50" s="1555"/>
      <c r="S50" s="1555"/>
      <c r="T50" s="1537" t="str">
        <f t="shared" si="18"/>
        <v/>
      </c>
      <c r="U50" s="1560"/>
      <c r="V50" s="1561"/>
      <c r="W50" s="1562"/>
      <c r="X50" s="1562"/>
      <c r="Y50" s="1540" t="str">
        <f t="shared" si="19"/>
        <v/>
      </c>
      <c r="Z50" s="1570"/>
      <c r="AA50" s="1571"/>
      <c r="AB50" s="1572"/>
      <c r="AC50" s="1572"/>
      <c r="AD50" s="1549" t="str">
        <f t="shared" si="20"/>
        <v/>
      </c>
      <c r="AE50" s="7"/>
      <c r="AF50" s="1213" t="str" cm="1">
        <f t="array" ref="AF50">IF((_xlfn.IFS(TRIM(SUBSTITUTE(AE50,CHAR(160),""))="Devis 1",IFERROR(VALUE(TRIM(SUBSTITUTE(R50,CHAR(160),""))),0),TRIM(SUBSTITUTE(AE50,CHAR(160),""))="Devis 2",IFERROR(VALUE(TRIM(SUBSTITUTE(W50,CHAR(160),""))),0),TRIM(SUBSTITUTE(AE50,CHAR(160),""))="Devis 3",IFERROR(VALUE(TRIM(SUBSTITUTE(AB50,CHAR(160),""))),0),TRUE,0)*IFERROR(VALUE(TRIM(SUBSTITUTE(M50,CHAR(160),""))),0))=0,"",_xlfn.IFS(TRIM(SUBSTITUTE(AE50,CHAR(160),""))="Devis 1",IFERROR(VALUE(TRIM(SUBSTITUTE(R50,CHAR(160),""))),0),TRIM(SUBSTITUTE(AE50,CHAR(160),""))="Devis 2",IFERROR(VALUE(TRIM(SUBSTITUTE(W50,CHAR(160),""))),0),TRIM(SUBSTITUTE(AE50,CHAR(160),""))="Devis 3",IFERROR(VALUE(TRIM(SUBSTITUTE(AB50,CHAR(160),""))),0),TRUE,0)*IFERROR(VALUE(TRIM(SUBSTITUTE(M50,CHAR(160),""))),0))</f>
        <v/>
      </c>
      <c r="AG50" s="1213" t="str" cm="1">
        <f t="array" ref="AG50">IF((_xlfn.IFS(TRIM(SUBSTITUTE(AE50,CHAR(160),""))="Devis 1",IFERROR(VALUE(TRIM(SUBSTITUTE(S50,CHAR(160),""))),0),TRIM(SUBSTITUTE(AE50,CHAR(160),""))="Devis 2",IFERROR(VALUE(TRIM(SUBSTITUTE(X50,CHAR(160),""))),0),TRIM(SUBSTITUTE(AE50,CHAR(160),""))="Devis 3",IFERROR(VALUE(TRIM(SUBSTITUTE(AC50,CHAR(160),""))),0),TRUE,0)*IFERROR(VALUE(TRIM(SUBSTITUTE(M50,CHAR(160),""))),0))=0,"",_xlfn.IFS(TRIM(SUBSTITUTE(AE50,CHAR(160),""))="Devis 1",IFERROR(VALUE(TRIM(SUBSTITUTE(S50,CHAR(160),""))),0),TRIM(SUBSTITUTE(AF50,CHAR(160),""))="Devis 2",IFERROR(VALUE(TRIM(SUBSTITUTE(X50,CHAR(160),""))),0),TRIM(SUBSTITUTE(AF50,CHAR(160),""))="Devis 3",IFERROR(VALUE(TRIM(SUBSTITUTE(AC50,CHAR(160),""))),0),TRUE,0)*IFERROR(VALUE(TRIM(SUBSTITUTE(M50,CHAR(160),""))),0))</f>
        <v/>
      </c>
      <c r="AH50" s="1213" t="str" cm="1">
        <f t="array" ref="AH50">IF((_xlfn.IFS(TRIM(SUBSTITUTE(AE50,CHAR(160),""))="Devis 1",IFERROR(VALUE(TRIM(SUBSTITUTE(T50,CHAR(160),""))),0),TRIM(SUBSTITUTE(AE50,CHAR(160),""))="Devis 2",IFERROR(VALUE(TRIM(SUBSTITUTE(Y50,CHAR(160),""))),0),TRIM(SUBSTITUTE(AE50,CHAR(160),""))="Devis 3",IFERROR(VALUE(TRIM(SUBSTITUTE(AD50,CHAR(160),""))),0),TRUE,0)*IFERROR(VALUE(TRIM(SUBSTITUTE(M50,CHAR(160),""))),0))=0,"",_xlfn.IFS(TRIM(SUBSTITUTE(AE50,CHAR(160),""))="Devis 1",IFERROR(VALUE(TRIM(SUBSTITUTE(T50,CHAR(160),""))),0),TRIM(SUBSTITUTE(AE50,CHAR(160),""))="Devis 2",IFERROR(VALUE(TRIM(SUBSTITUTE(Y50,CHAR(160),""))),0),TRIM(SUBSTITUTE(AE50,CHAR(160),""))="Devis 3",IFERROR(VALUE(TRIM(SUBSTITUTE(AD50,CHAR(160),""))),0),TRUE,0)*IFERROR(VALUE(TRIM(SUBSTITUTE(M50,CHAR(160),""))),0))</f>
        <v/>
      </c>
      <c r="AI50" s="1214"/>
      <c r="AJ50" s="683" t="str">
        <f t="shared" si="26"/>
        <v/>
      </c>
      <c r="AK50" s="57" t="str">
        <f t="shared" si="27"/>
        <v/>
      </c>
      <c r="AL50" s="1217" t="str">
        <f t="shared" si="28"/>
        <v/>
      </c>
      <c r="AM50" s="1217" t="str">
        <f t="shared" si="29"/>
        <v/>
      </c>
      <c r="AN50" s="1217" t="str">
        <f t="shared" si="21"/>
        <v/>
      </c>
      <c r="AO50" s="57" t="str">
        <f t="shared" si="30"/>
        <v/>
      </c>
      <c r="AP50" s="1217" t="str">
        <f t="shared" si="31"/>
        <v/>
      </c>
      <c r="AQ50" s="1217" t="str">
        <f t="shared" si="32"/>
        <v/>
      </c>
      <c r="AR50" s="1217" t="str">
        <f t="shared" si="33"/>
        <v/>
      </c>
      <c r="AS50" s="1217" t="str">
        <f t="shared" si="34"/>
        <v/>
      </c>
      <c r="AT50" s="1666" t="str">
        <f t="shared" si="35"/>
        <v/>
      </c>
      <c r="AU50" s="1217" t="str">
        <f t="shared" si="36"/>
        <v/>
      </c>
      <c r="AV50" s="1519" t="str">
        <f t="shared" si="37"/>
        <v/>
      </c>
      <c r="AW50" s="1534" t="str">
        <f t="shared" si="38"/>
        <v/>
      </c>
      <c r="AX50" s="1535" t="str">
        <f t="shared" si="39"/>
        <v/>
      </c>
      <c r="AY50" s="1664" t="str">
        <f t="shared" si="40"/>
        <v/>
      </c>
      <c r="AZ50" s="1664" t="str">
        <f t="shared" si="41"/>
        <v/>
      </c>
      <c r="BA50" s="1537" t="str">
        <f t="shared" si="2"/>
        <v/>
      </c>
      <c r="BB50" s="1529" t="str">
        <f t="shared" si="3"/>
        <v/>
      </c>
      <c r="BC50" s="1530" t="str">
        <f t="shared" si="4"/>
        <v/>
      </c>
      <c r="BD50" s="1655" t="str">
        <f t="shared" si="5"/>
        <v/>
      </c>
      <c r="BE50" s="1658" t="str">
        <f t="shared" si="6"/>
        <v/>
      </c>
      <c r="BF50" s="1540" t="str">
        <f t="shared" si="7"/>
        <v/>
      </c>
      <c r="BG50" s="1547" t="str">
        <f t="shared" si="8"/>
        <v/>
      </c>
      <c r="BH50" s="1548" t="str">
        <f t="shared" si="9"/>
        <v/>
      </c>
      <c r="BI50" s="1661" t="str">
        <f t="shared" si="10"/>
        <v/>
      </c>
      <c r="BJ50" s="1661" t="str">
        <f t="shared" si="11"/>
        <v/>
      </c>
      <c r="BK50" s="1549" t="str">
        <f t="shared" si="12"/>
        <v/>
      </c>
      <c r="BL50" s="1483" t="str">
        <f t="shared" si="22"/>
        <v/>
      </c>
      <c r="BM50" s="1219"/>
      <c r="BN50" s="1667" t="str">
        <f t="shared" si="23"/>
        <v/>
      </c>
      <c r="BO50" s="1667" t="str">
        <f t="shared" si="24"/>
        <v/>
      </c>
      <c r="BP50" s="1211" t="str">
        <f t="shared" si="14"/>
        <v/>
      </c>
      <c r="BQ50" s="1470" t="str" cm="1">
        <f t="array" ref="BQ50">IF($AT50="","",
_xlfn.IFS(
$BL50="Devis 1",
IF(ISBLANK(AY50),"",IFERROR(VALUE(TRIM(SUBSTITUTE(AY50,CHAR(160),""))),0)*IFERROR(VALUE(TRIM(SUBSTITUTE($AT50,CHAR(160),""))),0)),
$BL50="Devis 2",
IF(ISBLANK(BD50),"",IFERROR(VALUE(TRIM(SUBSTITUTE(BD50,CHAR(160),""))),0)*IFERROR(VALUE(TRIM(SUBSTITUTE($AT50,CHAR(160),""))),0)),
$BL50="Devis 3",
IF(ISBLANK(BI50),"",IFERROR(VALUE(TRIM(SUBSTITUTE(BI50,CHAR(160),""))),0)*IFERROR(VALUE(TRIM(SUBSTITUTE($AT50,CHAR(160),""))),0)),
TRUE,0
)
)</f>
        <v/>
      </c>
      <c r="BR50" s="1470" t="str" cm="1">
        <f t="array" ref="BR50">IF($AT50="","",
_xlfn.IFS(
$BL50="Devis 1",
IF(ISBLANK(AZ50),"",IFERROR(VALUE(TRIM(SUBSTITUTE(AZ50,CHAR(160),""))),0)*IFERROR(VALUE(TRIM(SUBSTITUTE($AT50,CHAR(160),""))),0)),
$BL50="Devis 2",
IF(ISBLANK(BE50),"",IFERROR(VALUE(TRIM(SUBSTITUTE(BE50,CHAR(160),""))),0)*IFERROR(VALUE(TRIM(SUBSTITUTE($AT50,CHAR(160),""))),0)),
$BL50="Devis 3",
IF(ISBLANK(BJ50),"",IFERROR(VALUE(TRIM(SUBSTITUTE(BJ50,CHAR(160),""))),0)*IFERROR(VALUE(TRIM(SUBSTITUTE($AT50,CHAR(160),""))),0)),
TRUE,0
)
)</f>
        <v/>
      </c>
      <c r="BS50" s="1470" t="str">
        <f t="shared" si="25"/>
        <v/>
      </c>
      <c r="BT50" s="1220"/>
      <c r="BU50" s="1221" t="str" cm="1">
        <f t="array" ref="BU50">IF(OR(BS50="",BP50="",BQ50="",BN50="",BR50="",BO50=""),"",_xlfn.IFS(
ROUND(IFERROR(VALUE(TRIM(SUBSTITUTE(BS50,CHAR(160),""))),0),2)&gt;
ROUND(IFERROR(VALUE(TRIM(SUBSTITUTE(BP50,CHAR(160),""))),0),2),
"KO : Le montant retenu TTC est supérieur au montant raisonnable TTC. Merci de revoir la ligne de dépense ou plafonner son montant.",
ROUND(IFERROR(VALUE(TRIM(SUBSTITUTE(BQ50,CHAR(160),""))),0),2)&gt;
ROUND(IFERROR(VALUE(TRIM(SUBSTITUTE(BN50,CHAR(160),""))),0),2),
"Attention : Le montant retenu HT est supérieur au montant HT raisonnable. Merci de revoir la ligne de dépense, plafonner son montant, ou justifier la reventillation HT / TVA.",
ROUND(IFERROR(VALUE(TRIM(SUBSTITUTE(BR50,CHAR(160),""))),0),2)&gt;
ROUND(IFERROR(VALUE(TRIM(SUBSTITUTE(BO50,CHAR(160),""))),0),2),
"Attention : Le montant TVA retenu est supérieur au montant TVA raisonnable. Merci de revoir la ligne de dépense, plafonner son montant, ou justifier la reventillation HT / TVA.",
ROUND(IFERROR(VALUE(TRIM(SUBSTITUTE(BS50,CHAR(160),""))),0),2)&gt;
ROUND(IFERROR(VALUE(TRIM(SUBSTITUTE(MIN(T50,Y50,AD50),CHAR(160),""))),0),2),
"Attention : Le devis retenu n'est pas le moins cher. Une justification de la part du porteur est nécessaire.",
ROUND(IFERROR(VALUE(TRIM(SUBSTITUTE(BS50,CHAR(160),""))),0),2)=0,
"Attention : montant présenté entièrement écarté",
ROUND(IFERROR(VALUE(TRIM(SUBSTITUTE(BP50,CHAR(160),""))),0),2)=
ROUND(IFERROR(VALUE(TRIM(SUBSTITUTE(BS50,CHAR(160),""))),0),2),
"OK",
ROUND(IFERROR(VALUE(TRIM(SUBSTITUTE(BP50,CHAR(160),""))),0),2)&gt;
ROUND(IFERROR(VALUE(TRIM(SUBSTITUTE(BS50,CHAR(160),""))),0),2),
" OK : Montant instruit inférieur au montant raisonnable.",
TRUE,""
))</f>
        <v/>
      </c>
      <c r="BV50" s="1217" t="str" cm="1">
        <f t="array" ref="BV50">IF(OR(BS50="",AH50="",BQ50="",AF50="",BR50="",AG50=""),"",_xlfn.IFS(
ROUND(IFERROR(VALUE(TRIM(SUBSTITUTE(BS50,CHAR(160),""))),0),2)&gt;
ROUND(IFERROR(VALUE(TRIM(SUBSTITUTE(AH50,CHAR(160),""))),0),2),
"KO : Le montant retenu TTC est supérieur au montant présenté TTC. Merci de revoir la ligne de dépense ou plafonner son montant.",
ROUND(IFERROR(VALUE(TRIM(SUBSTITUTE(BQ50,CHAR(160),""))),0),2)&gt;
ROUND(IFERROR(VALUE(TRIM(SUBSTITUTE(AF50,CHAR(160),""))),0),2),
"Attention : Le montant retenu HT est supérieur au montant HT présenté. Merci de revoir la ligne de dépense, plafonner son montant, ou justifier la reventillation HT / TVA.",
ROUND(IFERROR(VALUE(TRIM(SUBSTITUTE(BR50,CHAR(160),""))),0),2)&gt;
ROUND(IFERROR(VALUE(TRIM(SUBSTITUTE(AG50,CHAR(160),""))),0),2),
"Attention : Le montant TVA retenu est supérieur au montant TVA présenté. Merci de revoir la ligne de dépense, plafonner son montant, ou justifier la reventillation HT / TVA.",
ROUND(IFERROR(VALUE(TRIM(SUBSTITUTE(AH50,CHAR(160),""))),0),2)=0,
"",
ROUND(IFERROR(VALUE(TRIM(SUBSTITUTE(BS50,CHAR(160),""))),0),2)=
ROUND(IFERROR(VALUE(TRIM(SUBSTITUTE(AH50,CHAR(160),""))),0),2),
"OK",
ROUND(IFERROR(VALUE(TRIM(SUBSTITUTE(BS50,CHAR(160),""))),0),2)=0,
"Attention : Montant présenté entièrement rejeté.",
ROUND(IFERROR(VALUE(TRIM(SUBSTITUTE(BS50,CHAR(160),""))),0),2)&lt;
ROUND(IFERROR(VALUE(TRIM(SUBSTITUTE(AH50,CHAR(160),""))),0),2),
"Attention : Montant présenté partiellement rejeté.",
TRUE,""
))</f>
        <v/>
      </c>
      <c r="BW50" s="1213" t="str">
        <f t="shared" si="15"/>
        <v/>
      </c>
      <c r="BX50" s="1213" t="str">
        <f t="shared" si="16"/>
        <v/>
      </c>
      <c r="BY50" s="1222" t="str">
        <f t="shared" si="17"/>
        <v/>
      </c>
      <c r="CB50"/>
      <c r="CF50" s="185"/>
    </row>
    <row r="51" spans="2:86" ht="15.95">
      <c r="D51" s="227"/>
      <c r="E51" s="95"/>
      <c r="F51" s="95"/>
      <c r="G51" s="95"/>
      <c r="H51" s="95"/>
      <c r="I51" s="95"/>
      <c r="J51" s="95"/>
      <c r="K51" s="95"/>
      <c r="L51" s="95"/>
      <c r="M51" s="95"/>
      <c r="N51" s="95"/>
      <c r="O51" s="95"/>
      <c r="P51" s="95"/>
      <c r="Q51" s="95"/>
      <c r="R51" s="84"/>
      <c r="S51" s="84"/>
      <c r="T51" s="84"/>
      <c r="U51" s="118"/>
      <c r="V51" s="118"/>
      <c r="W51" s="118"/>
      <c r="X51" s="118"/>
      <c r="Y51" s="118"/>
      <c r="Z51" s="95"/>
      <c r="AA51" s="95"/>
      <c r="AB51" s="95"/>
      <c r="AC51" s="95"/>
      <c r="AD51" s="95"/>
      <c r="AE51" s="95"/>
      <c r="AF51" s="593" t="s">
        <v>146</v>
      </c>
      <c r="AG51" s="594">
        <f>SUM(AF11:AF50)</f>
        <v>0</v>
      </c>
      <c r="AH51" s="594">
        <f>SUM(AG11:AG50)</f>
        <v>0</v>
      </c>
      <c r="AI51" s="595">
        <f>SUM(AH11:AH50)</f>
        <v>0</v>
      </c>
      <c r="AL51" s="95"/>
      <c r="AP51" s="227"/>
      <c r="AQ51" s="227"/>
      <c r="AR51" s="95"/>
      <c r="AS51" s="95"/>
      <c r="AT51" s="95"/>
      <c r="AU51" s="84"/>
      <c r="AV51" s="118"/>
      <c r="AW51" s="118"/>
      <c r="AY51" s="84"/>
      <c r="AZ51" s="118"/>
      <c r="BA51" s="118"/>
      <c r="BB51" s="118"/>
      <c r="BC51" s="118"/>
      <c r="BD51" s="118"/>
      <c r="BE51" s="118"/>
      <c r="BF51" s="118"/>
      <c r="BG51" s="118"/>
      <c r="BH51" s="118"/>
      <c r="BI51" s="74"/>
      <c r="BP51" s="596" t="s">
        <v>147</v>
      </c>
      <c r="BQ51" s="594">
        <f>SUM(BQ11:BQ50)</f>
        <v>0</v>
      </c>
      <c r="BR51" s="594">
        <f>SUM(BR11:BR50)</f>
        <v>0</v>
      </c>
      <c r="BS51" s="597">
        <f>SUM(BS11:BS50)</f>
        <v>0</v>
      </c>
      <c r="BV51" s="596" t="s">
        <v>148</v>
      </c>
      <c r="BW51" s="594">
        <f>SUM(BW11:BW50)</f>
        <v>0</v>
      </c>
      <c r="BX51" s="594">
        <f>SUM(BX11:BX50)</f>
        <v>0</v>
      </c>
      <c r="BY51" s="597">
        <f>SUM(BY11:BY50)</f>
        <v>0</v>
      </c>
      <c r="CF51" s="185"/>
      <c r="CH51"/>
    </row>
    <row r="52" spans="2:86">
      <c r="B52" s="74"/>
      <c r="C52" s="74"/>
      <c r="D52" s="74"/>
      <c r="E52" s="604"/>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95"/>
      <c r="AH52" s="604"/>
      <c r="AI52" s="604"/>
      <c r="AJ52" s="604"/>
      <c r="AK52" s="604"/>
      <c r="AL52" s="604"/>
      <c r="AM52" s="74"/>
      <c r="AN52" s="74"/>
      <c r="AO52" s="74"/>
      <c r="AP52" s="74"/>
      <c r="AQ52" s="74"/>
      <c r="AR52" s="74"/>
      <c r="AS52" s="74"/>
      <c r="AT52" s="74"/>
      <c r="AU52" s="74"/>
      <c r="AV52" s="74"/>
      <c r="AW52" s="74"/>
      <c r="AX52" s="74"/>
      <c r="AY52" s="74"/>
      <c r="AZ52" s="74"/>
      <c r="BA52" s="74"/>
      <c r="BB52" s="605"/>
      <c r="BC52" s="605"/>
      <c r="BD52" s="605"/>
      <c r="BE52" s="605"/>
      <c r="BF52" s="605"/>
      <c r="BG52" s="605"/>
      <c r="BH52" s="605"/>
      <c r="BI52" s="605"/>
      <c r="BJ52" s="74"/>
      <c r="BK52" s="74"/>
      <c r="BL52" s="74"/>
      <c r="BM52" s="74"/>
      <c r="BN52" s="74"/>
      <c r="BO52" s="74"/>
      <c r="BP52" s="74"/>
      <c r="BQ52" s="74"/>
      <c r="BR52" s="606"/>
      <c r="BS52" s="74"/>
      <c r="BT52" s="74"/>
      <c r="BU52" s="74"/>
      <c r="BV52" s="74"/>
      <c r="BW52" s="74"/>
      <c r="BX52" s="74"/>
      <c r="BY52" s="74"/>
      <c r="BZ52" s="74"/>
      <c r="CA52" s="74"/>
      <c r="CB52" s="74"/>
      <c r="CC52" s="74"/>
      <c r="CD52" s="74"/>
      <c r="CE52" s="74"/>
    </row>
    <row r="53" spans="2:86" ht="15" customHeight="1">
      <c r="B53" s="74"/>
      <c r="C53" s="74"/>
      <c r="D53" s="74"/>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04"/>
      <c r="AI53" s="604"/>
      <c r="AJ53" s="604"/>
      <c r="AK53" s="604"/>
      <c r="AL53" s="604"/>
      <c r="AM53" s="74"/>
      <c r="AN53" s="74"/>
      <c r="AO53" s="74"/>
      <c r="AP53" s="74"/>
      <c r="AQ53" s="74"/>
      <c r="AR53" s="74"/>
      <c r="AS53" s="74"/>
      <c r="AT53" s="74"/>
      <c r="AU53" s="74"/>
      <c r="AV53" s="74"/>
      <c r="AW53" s="74"/>
      <c r="AX53" s="74"/>
      <c r="AY53" s="74"/>
      <c r="AZ53" s="74"/>
      <c r="BA53" s="74"/>
      <c r="BB53" s="605"/>
      <c r="BC53" s="605"/>
      <c r="BD53" s="605"/>
      <c r="BE53" s="605"/>
      <c r="BF53" s="605"/>
      <c r="BG53" s="605"/>
      <c r="BH53" s="605"/>
      <c r="BI53" s="605"/>
      <c r="BJ53" s="74"/>
      <c r="BK53" s="74"/>
      <c r="BL53" s="74"/>
      <c r="BM53" s="74"/>
      <c r="BN53" s="74"/>
      <c r="BO53" s="74"/>
      <c r="BP53" s="74"/>
      <c r="BQ53" s="74"/>
      <c r="BR53" s="606"/>
      <c r="BS53" s="74"/>
      <c r="BT53" s="74"/>
      <c r="BU53" s="74"/>
      <c r="BV53" s="74"/>
      <c r="BW53" s="74"/>
      <c r="BX53" s="74"/>
      <c r="BY53" s="74"/>
      <c r="BZ53" s="74"/>
      <c r="CA53" s="74"/>
      <c r="CB53" s="74"/>
      <c r="CC53" s="74"/>
      <c r="CD53" s="74"/>
      <c r="CE53" s="74"/>
    </row>
    <row r="54" spans="2:86" ht="14.45" customHeight="1" thickBot="1">
      <c r="B54" s="1849"/>
      <c r="C54" s="1849"/>
      <c r="D54" s="1849"/>
      <c r="E54" s="1849"/>
      <c r="F54" s="604"/>
      <c r="G54" s="604"/>
      <c r="H54" s="604"/>
      <c r="I54" s="604"/>
      <c r="J54" s="604"/>
      <c r="K54" s="604"/>
      <c r="L54" s="604"/>
      <c r="M54" s="604"/>
      <c r="N54" s="604"/>
      <c r="O54" s="604"/>
      <c r="P54" s="604"/>
      <c r="Q54" s="604"/>
      <c r="R54" s="604"/>
      <c r="S54" s="604"/>
      <c r="T54" s="604"/>
      <c r="U54" s="604"/>
      <c r="V54" s="604"/>
      <c r="W54" s="604"/>
      <c r="X54" s="604"/>
      <c r="Y54" s="604"/>
      <c r="Z54" s="604"/>
      <c r="AA54" s="604"/>
      <c r="AB54" s="604"/>
      <c r="AC54" s="604"/>
      <c r="AD54" s="604"/>
      <c r="AE54" s="604"/>
      <c r="AF54" s="604"/>
      <c r="AG54" s="604"/>
      <c r="AH54" s="604"/>
      <c r="AI54" s="604"/>
      <c r="AJ54" s="604"/>
      <c r="AK54" s="604"/>
      <c r="AL54" s="604"/>
      <c r="AM54" s="74"/>
      <c r="AN54" s="74"/>
      <c r="AO54" s="74"/>
      <c r="AP54" s="74"/>
      <c r="AQ54" s="74"/>
      <c r="AR54" s="74"/>
      <c r="AS54" s="74"/>
      <c r="AT54" s="74"/>
      <c r="AU54" s="74"/>
      <c r="AV54" s="74"/>
      <c r="AW54" s="74"/>
      <c r="AX54" s="74"/>
      <c r="AY54" s="74"/>
      <c r="AZ54" s="74"/>
      <c r="BA54" s="74"/>
      <c r="BB54" s="605"/>
      <c r="BC54" s="605"/>
      <c r="BD54" s="605"/>
      <c r="BE54" s="605"/>
      <c r="BF54" s="605"/>
      <c r="BG54" s="605"/>
      <c r="BH54" s="605"/>
      <c r="BI54" s="605"/>
      <c r="BJ54" s="74"/>
      <c r="BK54" s="74"/>
      <c r="BL54" s="74"/>
      <c r="BM54" s="74"/>
      <c r="BN54" s="74"/>
      <c r="BO54" s="74"/>
      <c r="BP54" s="74"/>
      <c r="BQ54" s="74"/>
      <c r="BR54" s="606"/>
      <c r="BS54" s="74"/>
      <c r="BT54" s="74"/>
      <c r="BU54" s="74"/>
      <c r="BV54" s="74"/>
      <c r="BW54" s="74"/>
      <c r="BX54" s="74"/>
      <c r="BY54" s="74"/>
      <c r="BZ54" s="74"/>
      <c r="CA54" s="74"/>
      <c r="CB54" s="74"/>
      <c r="CC54" s="74"/>
      <c r="CD54" s="74"/>
      <c r="CE54" s="74"/>
    </row>
    <row r="55" spans="2:86">
      <c r="B55" s="74"/>
      <c r="C55" s="100" t="s">
        <v>149</v>
      </c>
      <c r="D55" s="101"/>
      <c r="E55" s="102"/>
      <c r="F55" s="604"/>
      <c r="G55" s="604"/>
      <c r="H55" s="604"/>
      <c r="I55" s="604"/>
      <c r="J55" s="604"/>
      <c r="K55" s="604"/>
      <c r="L55" s="604"/>
      <c r="M55" s="604"/>
      <c r="N55" s="604"/>
      <c r="O55" s="604"/>
      <c r="P55" s="604"/>
      <c r="Q55" s="604"/>
      <c r="R55" s="604"/>
      <c r="S55" s="604"/>
      <c r="T55" s="604"/>
      <c r="U55" s="604"/>
      <c r="V55" s="604"/>
      <c r="W55" s="604"/>
      <c r="X55" s="604"/>
      <c r="Y55" s="604"/>
      <c r="Z55" s="604"/>
      <c r="AA55" s="604"/>
      <c r="AB55" s="604"/>
      <c r="AC55" s="604"/>
      <c r="AD55" s="604"/>
      <c r="AE55" s="604"/>
      <c r="AF55" s="604"/>
      <c r="AG55" s="604"/>
      <c r="AH55" s="604"/>
      <c r="AI55" s="604"/>
      <c r="AJ55" s="604"/>
      <c r="AK55" s="604"/>
      <c r="AL55" s="604"/>
      <c r="AM55" s="74"/>
      <c r="AN55" s="74"/>
      <c r="AO55" s="74"/>
      <c r="AP55" s="74"/>
      <c r="AQ55" s="74"/>
      <c r="AR55" s="74"/>
      <c r="AS55" s="74"/>
      <c r="AT55" s="74"/>
      <c r="AU55" s="74"/>
      <c r="AV55" s="74"/>
      <c r="AW55" s="74"/>
      <c r="AX55" s="74"/>
      <c r="AY55" s="74"/>
      <c r="AZ55" s="74"/>
      <c r="BA55" s="74"/>
      <c r="BB55" s="605"/>
      <c r="BC55" s="605"/>
      <c r="BD55" s="605"/>
      <c r="BE55" s="605"/>
      <c r="BF55" s="605"/>
      <c r="BG55" s="605"/>
      <c r="BH55" s="605"/>
      <c r="BI55" s="605"/>
      <c r="BJ55" s="74"/>
      <c r="BK55" s="74"/>
      <c r="BL55" s="74"/>
      <c r="BM55" s="74"/>
      <c r="BN55" s="74"/>
      <c r="BO55" s="74"/>
      <c r="BP55" s="74"/>
      <c r="BQ55" s="74"/>
      <c r="BR55" s="606"/>
      <c r="BS55" s="74"/>
      <c r="BT55" s="74"/>
      <c r="BU55" s="74"/>
      <c r="BV55" s="74"/>
      <c r="BW55" s="74"/>
      <c r="BX55" s="74"/>
      <c r="BY55" s="74"/>
      <c r="BZ55" s="74"/>
      <c r="CA55" s="74"/>
      <c r="CB55" s="74"/>
      <c r="CC55" s="74"/>
      <c r="CD55" s="74"/>
      <c r="CE55" s="74"/>
    </row>
    <row r="56" spans="2:86" ht="17.100000000000001" customHeight="1">
      <c r="B56" s="608"/>
      <c r="C56" s="65"/>
      <c r="D56" s="103"/>
      <c r="E56" s="104"/>
      <c r="F56" s="608"/>
      <c r="G56" s="608"/>
      <c r="H56" s="608"/>
      <c r="I56" s="608"/>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08"/>
      <c r="AL56" s="608"/>
      <c r="AM56" s="607"/>
      <c r="AN56" s="607"/>
      <c r="AO56" s="607"/>
      <c r="AP56" s="607"/>
      <c r="AQ56" s="607"/>
      <c r="AR56" s="607"/>
      <c r="AS56" s="607"/>
      <c r="AT56" s="607"/>
      <c r="AU56" s="607"/>
      <c r="AV56" s="607"/>
      <c r="AW56" s="607"/>
      <c r="AX56" s="607"/>
      <c r="AY56" s="607"/>
      <c r="AZ56" s="607"/>
      <c r="BA56" s="607"/>
      <c r="BB56" s="607"/>
      <c r="BC56" s="607"/>
      <c r="BD56" s="607"/>
      <c r="BE56" s="607"/>
      <c r="BF56" s="607"/>
      <c r="BG56" s="607"/>
      <c r="BH56" s="607"/>
      <c r="BI56" s="607"/>
      <c r="BJ56" s="607"/>
      <c r="BK56" s="607"/>
      <c r="BL56" s="607"/>
      <c r="BM56" s="607"/>
      <c r="BN56" s="607"/>
      <c r="BO56" s="607"/>
      <c r="BP56" s="607"/>
      <c r="BQ56" s="607"/>
      <c r="BR56" s="608"/>
      <c r="BS56" s="607"/>
      <c r="BT56" s="607"/>
      <c r="BU56" s="607"/>
      <c r="BV56" s="607"/>
      <c r="BW56" s="607"/>
      <c r="BX56" s="607"/>
      <c r="BY56" s="607"/>
      <c r="BZ56" s="607"/>
      <c r="CA56" s="607"/>
      <c r="CB56" s="607"/>
      <c r="CC56" s="607"/>
      <c r="CD56" s="607"/>
      <c r="CE56" s="607"/>
    </row>
    <row r="57" spans="2:86" s="98" customFormat="1" ht="20.100000000000001" customHeight="1">
      <c r="B57" s="117"/>
      <c r="C57" s="65" t="s">
        <v>150</v>
      </c>
      <c r="D57" s="103"/>
      <c r="E57" s="104"/>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32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row>
    <row r="58" spans="2:86" s="291" customFormat="1" ht="21" customHeight="1">
      <c r="B58" s="117"/>
      <c r="C58" s="65"/>
      <c r="D58" s="103"/>
      <c r="E58" s="104"/>
      <c r="F58" s="610"/>
      <c r="G58" s="610"/>
      <c r="H58" s="610"/>
      <c r="I58" s="609"/>
      <c r="J58" s="609"/>
      <c r="K58" s="609"/>
      <c r="L58" s="609"/>
      <c r="M58" s="609"/>
      <c r="N58" s="611"/>
      <c r="O58" s="609"/>
      <c r="P58" s="609"/>
      <c r="Q58" s="611"/>
      <c r="R58" s="611"/>
      <c r="S58" s="611"/>
      <c r="T58" s="611"/>
      <c r="U58" s="611"/>
      <c r="V58" s="609"/>
      <c r="W58" s="609"/>
      <c r="X58" s="609"/>
      <c r="Y58" s="609"/>
      <c r="Z58" s="611"/>
      <c r="AA58" s="609"/>
      <c r="AB58" s="609"/>
      <c r="AC58" s="609"/>
      <c r="AD58" s="609"/>
      <c r="AE58" s="611"/>
      <c r="AF58" s="1035"/>
      <c r="AG58" s="609"/>
      <c r="AH58" s="609"/>
      <c r="AI58" s="611"/>
      <c r="AJ58" s="609"/>
      <c r="AK58" s="609"/>
      <c r="AL58" s="609"/>
      <c r="AM58" s="610"/>
      <c r="AN58" s="609"/>
      <c r="AO58" s="609"/>
      <c r="AP58" s="611"/>
      <c r="AQ58" s="610"/>
      <c r="AR58" s="610"/>
      <c r="AS58" s="609"/>
      <c r="AT58" s="609"/>
      <c r="AU58" s="609"/>
      <c r="AV58" s="609"/>
      <c r="AW58" s="609"/>
      <c r="AX58" s="609"/>
      <c r="AY58" s="609"/>
      <c r="AZ58" s="609"/>
      <c r="BA58" s="609"/>
      <c r="BB58" s="609"/>
      <c r="BC58" s="609"/>
      <c r="BD58" s="609"/>
      <c r="BE58" s="609"/>
      <c r="BF58" s="609"/>
      <c r="BG58" s="611"/>
      <c r="BH58" s="611"/>
      <c r="BI58" s="609"/>
      <c r="BJ58" s="609"/>
      <c r="BK58" s="609"/>
      <c r="BL58" s="609"/>
      <c r="BM58" s="609"/>
      <c r="BN58" s="609"/>
      <c r="BO58" s="609"/>
      <c r="BP58" s="609"/>
      <c r="BQ58" s="609"/>
      <c r="BR58" s="611"/>
      <c r="BS58" s="609"/>
      <c r="BT58" s="609"/>
      <c r="BU58" s="609"/>
      <c r="BV58" s="609"/>
      <c r="BW58" s="609"/>
      <c r="BX58" s="609"/>
      <c r="BY58" s="609"/>
      <c r="BZ58" s="609"/>
      <c r="CA58" s="612"/>
      <c r="CB58" s="609"/>
      <c r="CC58" s="609"/>
      <c r="CD58" s="609"/>
      <c r="CE58" s="609"/>
      <c r="CF58" s="290"/>
    </row>
    <row r="59" spans="2:86" s="295" customFormat="1">
      <c r="B59" s="331"/>
      <c r="C59" s="65"/>
      <c r="D59" s="103"/>
      <c r="E59" s="104"/>
      <c r="F59" s="331"/>
      <c r="G59" s="331"/>
      <c r="H59" s="331"/>
      <c r="I59" s="613"/>
      <c r="J59" s="613"/>
      <c r="K59" s="613"/>
      <c r="L59" s="613"/>
      <c r="M59" s="614"/>
      <c r="N59" s="613"/>
      <c r="O59" s="613"/>
      <c r="P59" s="331"/>
      <c r="Q59" s="615"/>
      <c r="R59" s="615"/>
      <c r="S59" s="615"/>
      <c r="T59" s="613"/>
      <c r="U59" s="616"/>
      <c r="V59" s="616"/>
      <c r="W59" s="616"/>
      <c r="X59" s="616"/>
      <c r="Y59" s="617"/>
      <c r="Z59" s="616"/>
      <c r="AA59" s="616"/>
      <c r="AB59" s="616"/>
      <c r="AC59" s="616"/>
      <c r="AD59" s="616"/>
      <c r="AE59" s="616"/>
      <c r="AF59" s="616"/>
      <c r="AG59" s="616"/>
      <c r="AH59" s="618"/>
      <c r="AI59" s="619"/>
      <c r="AJ59" s="619"/>
      <c r="AK59" s="619"/>
      <c r="AL59" s="612"/>
      <c r="AM59" s="331"/>
      <c r="AN59" s="331"/>
      <c r="AO59" s="331"/>
      <c r="AP59" s="331"/>
      <c r="AQ59" s="331"/>
      <c r="AR59" s="331"/>
      <c r="AS59" s="613"/>
      <c r="AT59" s="613"/>
      <c r="AU59" s="613"/>
      <c r="AV59" s="613"/>
      <c r="AW59" s="614"/>
      <c r="AX59" s="613"/>
      <c r="AY59" s="613"/>
      <c r="AZ59" s="613"/>
      <c r="BA59" s="613"/>
      <c r="BB59" s="331"/>
      <c r="BC59" s="331"/>
      <c r="BD59" s="331"/>
      <c r="BE59" s="331"/>
      <c r="BF59" s="331"/>
      <c r="BG59" s="615"/>
      <c r="BH59" s="613"/>
      <c r="BI59" s="616"/>
      <c r="BJ59" s="616"/>
      <c r="BK59" s="617"/>
      <c r="BL59" s="616"/>
      <c r="BM59" s="616"/>
      <c r="BN59" s="616"/>
      <c r="BO59" s="616"/>
      <c r="BP59" s="616"/>
      <c r="BQ59" s="616"/>
      <c r="BR59" s="618"/>
      <c r="BS59" s="612"/>
      <c r="BT59" s="616"/>
      <c r="BU59" s="616"/>
      <c r="BV59" s="616"/>
      <c r="BW59" s="619"/>
      <c r="BX59" s="619"/>
      <c r="BY59" s="619"/>
      <c r="BZ59" s="618"/>
      <c r="CA59" s="117"/>
      <c r="CB59" s="117"/>
      <c r="CC59" s="619"/>
      <c r="CD59" s="619"/>
      <c r="CE59" s="619"/>
    </row>
    <row r="60" spans="2:86">
      <c r="B60" s="603"/>
      <c r="C60" s="65" t="s">
        <v>151</v>
      </c>
      <c r="D60" s="103"/>
      <c r="E60" s="104"/>
      <c r="F60" s="599"/>
      <c r="G60" s="599"/>
      <c r="H60" s="599"/>
      <c r="I60" s="598"/>
      <c r="J60" s="598"/>
      <c r="K60" s="598"/>
      <c r="L60" s="598"/>
      <c r="M60" s="600"/>
      <c r="N60" s="598"/>
      <c r="O60" s="598"/>
      <c r="P60" s="620"/>
      <c r="Q60" s="601"/>
      <c r="R60" s="601"/>
      <c r="S60" s="601"/>
      <c r="T60" s="598"/>
      <c r="U60" s="602"/>
      <c r="V60" s="602"/>
      <c r="W60" s="602"/>
      <c r="X60" s="602"/>
      <c r="Y60" s="621"/>
      <c r="Z60" s="602"/>
      <c r="AA60" s="602"/>
      <c r="AB60" s="602"/>
      <c r="AC60" s="602"/>
      <c r="AD60" s="621"/>
      <c r="AE60" s="602"/>
      <c r="AF60" s="602"/>
      <c r="AG60" s="621"/>
      <c r="AH60" s="598"/>
      <c r="AI60" s="619"/>
      <c r="AJ60" s="619"/>
      <c r="AK60" s="619"/>
      <c r="AL60" s="598"/>
      <c r="AM60" s="603"/>
      <c r="AN60" s="603"/>
      <c r="AO60" s="603"/>
      <c r="AP60" s="603"/>
      <c r="AQ60" s="603"/>
      <c r="AR60" s="603"/>
      <c r="AS60" s="603"/>
      <c r="AT60" s="603"/>
      <c r="AU60" s="603"/>
      <c r="AV60" s="603"/>
      <c r="AW60" s="622"/>
      <c r="AX60" s="603"/>
      <c r="AY60" s="603"/>
      <c r="AZ60" s="603"/>
      <c r="BA60" s="603"/>
      <c r="BB60" s="603"/>
      <c r="BC60" s="603"/>
      <c r="BD60" s="603"/>
      <c r="BE60" s="603"/>
      <c r="BF60" s="603"/>
      <c r="BG60" s="623"/>
      <c r="BH60" s="603"/>
      <c r="BI60" s="621"/>
      <c r="BJ60" s="621"/>
      <c r="BK60" s="621"/>
      <c r="BL60" s="621"/>
      <c r="BM60" s="621"/>
      <c r="BN60" s="621"/>
      <c r="BO60" s="621"/>
      <c r="BP60" s="621"/>
      <c r="BQ60" s="621"/>
      <c r="BR60" s="624"/>
      <c r="BS60" s="612"/>
      <c r="BT60" s="621"/>
      <c r="BU60" s="621"/>
      <c r="BV60" s="621"/>
      <c r="BW60" s="619"/>
      <c r="BX60" s="619"/>
      <c r="BY60" s="619"/>
      <c r="BZ60" s="603"/>
      <c r="CA60" s="117"/>
      <c r="CB60" s="603"/>
      <c r="CC60" s="619"/>
      <c r="CD60" s="619"/>
      <c r="CE60" s="619"/>
    </row>
    <row r="61" spans="2:86">
      <c r="B61" s="603"/>
      <c r="C61" s="105"/>
      <c r="D61" s="103"/>
      <c r="E61" s="106"/>
      <c r="F61" s="599"/>
      <c r="G61" s="599"/>
      <c r="H61" s="599"/>
      <c r="I61" s="598"/>
      <c r="J61" s="598"/>
      <c r="K61" s="598"/>
      <c r="L61" s="598"/>
      <c r="M61" s="600"/>
      <c r="N61" s="598"/>
      <c r="O61" s="598"/>
      <c r="P61" s="620"/>
      <c r="Q61" s="601"/>
      <c r="R61" s="601"/>
      <c r="S61" s="601"/>
      <c r="T61" s="598"/>
      <c r="U61" s="602"/>
      <c r="V61" s="602"/>
      <c r="W61" s="602"/>
      <c r="X61" s="602"/>
      <c r="Y61" s="621"/>
      <c r="Z61" s="602"/>
      <c r="AA61" s="602"/>
      <c r="AB61" s="602"/>
      <c r="AC61" s="602"/>
      <c r="AD61" s="621"/>
      <c r="AE61" s="602"/>
      <c r="AF61" s="602"/>
      <c r="AG61" s="621"/>
      <c r="AH61" s="598"/>
      <c r="AI61" s="619"/>
      <c r="AJ61" s="619"/>
      <c r="AK61" s="619"/>
      <c r="AL61" s="598"/>
      <c r="AM61" s="603"/>
      <c r="AN61" s="603"/>
      <c r="AO61" s="603"/>
      <c r="AP61" s="603"/>
      <c r="AQ61" s="603"/>
      <c r="AR61" s="603"/>
      <c r="AS61" s="603"/>
      <c r="AT61" s="603"/>
      <c r="AU61" s="603"/>
      <c r="AV61" s="603"/>
      <c r="AW61" s="622"/>
      <c r="AX61" s="603"/>
      <c r="AY61" s="603"/>
      <c r="AZ61" s="603"/>
      <c r="BA61" s="603"/>
      <c r="BB61" s="603"/>
      <c r="BC61" s="603"/>
      <c r="BD61" s="603"/>
      <c r="BE61" s="603"/>
      <c r="BF61" s="603"/>
      <c r="BG61" s="623"/>
      <c r="BH61" s="603"/>
      <c r="BI61" s="621"/>
      <c r="BJ61" s="621"/>
      <c r="BK61" s="621"/>
      <c r="BL61" s="621"/>
      <c r="BM61" s="621"/>
      <c r="BN61" s="621"/>
      <c r="BO61" s="621"/>
      <c r="BP61" s="621"/>
      <c r="BQ61" s="621"/>
      <c r="BR61" s="624"/>
      <c r="BS61" s="612"/>
      <c r="BT61" s="621"/>
      <c r="BU61" s="621"/>
      <c r="BV61" s="621"/>
      <c r="BW61" s="619"/>
      <c r="BX61" s="619"/>
      <c r="BY61" s="619"/>
      <c r="BZ61" s="603"/>
      <c r="CA61" s="117"/>
      <c r="CB61" s="603"/>
      <c r="CC61" s="619"/>
      <c r="CD61" s="619"/>
      <c r="CE61" s="619"/>
    </row>
    <row r="62" spans="2:86">
      <c r="B62" s="603"/>
      <c r="C62" s="105"/>
      <c r="D62" s="103"/>
      <c r="E62" s="106"/>
      <c r="F62" s="599"/>
      <c r="G62" s="599"/>
      <c r="H62" s="599"/>
      <c r="I62" s="598"/>
      <c r="J62" s="598"/>
      <c r="K62" s="598"/>
      <c r="L62" s="598"/>
      <c r="M62" s="600"/>
      <c r="N62" s="598"/>
      <c r="O62" s="598"/>
      <c r="P62" s="620"/>
      <c r="Q62" s="601"/>
      <c r="R62" s="601"/>
      <c r="S62" s="601"/>
      <c r="T62" s="598"/>
      <c r="U62" s="602"/>
      <c r="V62" s="602"/>
      <c r="W62" s="602"/>
      <c r="X62" s="602"/>
      <c r="Y62" s="621"/>
      <c r="Z62" s="602"/>
      <c r="AA62" s="602"/>
      <c r="AB62" s="602"/>
      <c r="AC62" s="602"/>
      <c r="AD62" s="621"/>
      <c r="AE62" s="602"/>
      <c r="AF62" s="602"/>
      <c r="AG62" s="621"/>
      <c r="AH62" s="598"/>
      <c r="AI62" s="619"/>
      <c r="AJ62" s="619"/>
      <c r="AK62" s="619"/>
      <c r="AL62" s="598"/>
      <c r="AM62" s="603"/>
      <c r="AN62" s="603"/>
      <c r="AO62" s="603"/>
      <c r="AP62" s="603"/>
      <c r="AQ62" s="603"/>
      <c r="AR62" s="603"/>
      <c r="AS62" s="603"/>
      <c r="AT62" s="603"/>
      <c r="AU62" s="603"/>
      <c r="AV62" s="603"/>
      <c r="AW62" s="622"/>
      <c r="AX62" s="603"/>
      <c r="AY62" s="603"/>
      <c r="AZ62" s="603"/>
      <c r="BA62" s="603"/>
      <c r="BB62" s="603"/>
      <c r="BC62" s="603"/>
      <c r="BD62" s="603"/>
      <c r="BE62" s="603"/>
      <c r="BF62" s="603"/>
      <c r="BG62" s="623"/>
      <c r="BH62" s="603"/>
      <c r="BI62" s="621"/>
      <c r="BJ62" s="621"/>
      <c r="BK62" s="621"/>
      <c r="BL62" s="621"/>
      <c r="BM62" s="621"/>
      <c r="BN62" s="621"/>
      <c r="BO62" s="621"/>
      <c r="BP62" s="621"/>
      <c r="BQ62" s="621"/>
      <c r="BR62" s="624"/>
      <c r="BS62" s="612"/>
      <c r="BT62" s="621"/>
      <c r="BU62" s="621"/>
      <c r="BV62" s="621"/>
      <c r="BW62" s="619"/>
      <c r="BX62" s="619"/>
      <c r="BY62" s="619"/>
      <c r="BZ62" s="603"/>
      <c r="CA62" s="117"/>
      <c r="CB62" s="603"/>
      <c r="CC62" s="619"/>
      <c r="CD62" s="619"/>
      <c r="CE62" s="619"/>
    </row>
    <row r="63" spans="2:86">
      <c r="B63" s="603"/>
      <c r="C63" s="105"/>
      <c r="D63" s="103"/>
      <c r="E63" s="106"/>
      <c r="F63" s="599"/>
      <c r="G63" s="599"/>
      <c r="H63" s="599"/>
      <c r="I63" s="598"/>
      <c r="J63" s="598"/>
      <c r="K63" s="598"/>
      <c r="L63" s="598"/>
      <c r="M63" s="600"/>
      <c r="N63" s="598"/>
      <c r="O63" s="598"/>
      <c r="P63" s="620"/>
      <c r="Q63" s="601"/>
      <c r="R63" s="601"/>
      <c r="S63" s="601"/>
      <c r="T63" s="598"/>
      <c r="U63" s="602"/>
      <c r="V63" s="602"/>
      <c r="W63" s="602"/>
      <c r="X63" s="602"/>
      <c r="Y63" s="621"/>
      <c r="Z63" s="602"/>
      <c r="AA63" s="602"/>
      <c r="AB63" s="602"/>
      <c r="AC63" s="602"/>
      <c r="AD63" s="621"/>
      <c r="AE63" s="602"/>
      <c r="AF63" s="602"/>
      <c r="AG63" s="621"/>
      <c r="AH63" s="598"/>
      <c r="AI63" s="619"/>
      <c r="AJ63" s="619"/>
      <c r="AK63" s="619"/>
      <c r="AL63" s="598"/>
      <c r="AM63" s="603"/>
      <c r="AN63" s="603"/>
      <c r="AO63" s="603"/>
      <c r="AP63" s="603"/>
      <c r="AQ63" s="603"/>
      <c r="AR63" s="603"/>
      <c r="AS63" s="603"/>
      <c r="AT63" s="603"/>
      <c r="AU63" s="603"/>
      <c r="AV63" s="603"/>
      <c r="AW63" s="622"/>
      <c r="AX63" s="603"/>
      <c r="AY63" s="603"/>
      <c r="AZ63" s="603"/>
      <c r="BA63" s="603"/>
      <c r="BB63" s="603"/>
      <c r="BC63" s="603"/>
      <c r="BD63" s="603"/>
      <c r="BE63" s="603"/>
      <c r="BF63" s="603"/>
      <c r="BG63" s="623"/>
      <c r="BH63" s="603"/>
      <c r="BI63" s="621"/>
      <c r="BJ63" s="621"/>
      <c r="BK63" s="621"/>
      <c r="BL63" s="621"/>
      <c r="BM63" s="621"/>
      <c r="BN63" s="621"/>
      <c r="BO63" s="621"/>
      <c r="BP63" s="621"/>
      <c r="BQ63" s="621"/>
      <c r="BR63" s="624"/>
      <c r="BS63" s="612"/>
      <c r="BT63" s="621"/>
      <c r="BU63" s="621"/>
      <c r="BV63" s="621"/>
      <c r="BW63" s="619"/>
      <c r="BX63" s="619"/>
      <c r="BY63" s="619"/>
      <c r="BZ63" s="603"/>
      <c r="CA63" s="117"/>
      <c r="CB63" s="603"/>
      <c r="CC63" s="619"/>
      <c r="CD63" s="619"/>
      <c r="CE63" s="619"/>
    </row>
    <row r="64" spans="2:86">
      <c r="B64" s="603"/>
      <c r="C64" s="105"/>
      <c r="D64" s="103"/>
      <c r="E64" s="106"/>
      <c r="F64" s="599"/>
      <c r="G64" s="599"/>
      <c r="H64" s="599"/>
      <c r="I64" s="598"/>
      <c r="J64" s="598"/>
      <c r="K64" s="598"/>
      <c r="L64" s="598"/>
      <c r="M64" s="600"/>
      <c r="N64" s="598"/>
      <c r="O64" s="598"/>
      <c r="P64" s="620"/>
      <c r="Q64" s="601"/>
      <c r="R64" s="601"/>
      <c r="S64" s="601"/>
      <c r="T64" s="598"/>
      <c r="U64" s="602"/>
      <c r="V64" s="602"/>
      <c r="W64" s="602"/>
      <c r="X64" s="602"/>
      <c r="Y64" s="621"/>
      <c r="Z64" s="602"/>
      <c r="AA64" s="602"/>
      <c r="AB64" s="602"/>
      <c r="AC64" s="602"/>
      <c r="AD64" s="621"/>
      <c r="AE64" s="602"/>
      <c r="AF64" s="602"/>
      <c r="AG64" s="621"/>
      <c r="AH64" s="598"/>
      <c r="AI64" s="619"/>
      <c r="AJ64" s="619"/>
      <c r="AK64" s="619"/>
      <c r="AL64" s="598"/>
      <c r="AM64" s="603"/>
      <c r="AN64" s="603"/>
      <c r="AO64" s="603"/>
      <c r="AP64" s="603"/>
      <c r="AQ64" s="603"/>
      <c r="AR64" s="603"/>
      <c r="AS64" s="603"/>
      <c r="AT64" s="603"/>
      <c r="AU64" s="603"/>
      <c r="AV64" s="603"/>
      <c r="AW64" s="622"/>
      <c r="AX64" s="603"/>
      <c r="AY64" s="603"/>
      <c r="AZ64" s="603"/>
      <c r="BA64" s="603"/>
      <c r="BB64" s="603"/>
      <c r="BC64" s="603"/>
      <c r="BD64" s="603"/>
      <c r="BE64" s="603"/>
      <c r="BF64" s="603"/>
      <c r="BG64" s="623"/>
      <c r="BH64" s="603"/>
      <c r="BI64" s="621"/>
      <c r="BJ64" s="621"/>
      <c r="BK64" s="621"/>
      <c r="BL64" s="621"/>
      <c r="BM64" s="621"/>
      <c r="BN64" s="621"/>
      <c r="BO64" s="621"/>
      <c r="BP64" s="621"/>
      <c r="BQ64" s="621"/>
      <c r="BR64" s="624"/>
      <c r="BS64" s="612"/>
      <c r="BT64" s="621"/>
      <c r="BU64" s="621"/>
      <c r="BV64" s="621"/>
      <c r="BW64" s="619"/>
      <c r="BX64" s="619"/>
      <c r="BY64" s="619"/>
      <c r="BZ64" s="603"/>
      <c r="CA64" s="117"/>
      <c r="CB64" s="603"/>
      <c r="CC64" s="619"/>
      <c r="CD64" s="619"/>
      <c r="CE64" s="619"/>
    </row>
    <row r="65" spans="2:83" ht="15.95" thickBot="1">
      <c r="B65" s="603"/>
      <c r="C65" s="107"/>
      <c r="D65" s="108"/>
      <c r="E65" s="109"/>
      <c r="F65" s="599"/>
      <c r="G65" s="599"/>
      <c r="H65" s="599"/>
      <c r="I65" s="598"/>
      <c r="J65" s="598"/>
      <c r="K65" s="598"/>
      <c r="L65" s="598"/>
      <c r="M65" s="600"/>
      <c r="N65" s="598"/>
      <c r="O65" s="598"/>
      <c r="P65" s="620"/>
      <c r="Q65" s="601"/>
      <c r="R65" s="601"/>
      <c r="S65" s="601"/>
      <c r="T65" s="598"/>
      <c r="U65" s="602"/>
      <c r="V65" s="602"/>
      <c r="W65" s="602"/>
      <c r="X65" s="602"/>
      <c r="Y65" s="621"/>
      <c r="Z65" s="602"/>
      <c r="AA65" s="602"/>
      <c r="AB65" s="602"/>
      <c r="AC65" s="602"/>
      <c r="AD65" s="621"/>
      <c r="AE65" s="602"/>
      <c r="AF65" s="602"/>
      <c r="AG65" s="621"/>
      <c r="AH65" s="598"/>
      <c r="AI65" s="619"/>
      <c r="AJ65" s="619"/>
      <c r="AK65" s="619"/>
      <c r="AL65" s="598"/>
      <c r="AM65" s="603"/>
      <c r="AN65" s="603"/>
      <c r="AO65" s="603"/>
      <c r="AP65" s="603"/>
      <c r="AQ65" s="603"/>
      <c r="AR65" s="603"/>
      <c r="AS65" s="603"/>
      <c r="AT65" s="603"/>
      <c r="AU65" s="603"/>
      <c r="AV65" s="603"/>
      <c r="AW65" s="622"/>
      <c r="AX65" s="603"/>
      <c r="AY65" s="603"/>
      <c r="AZ65" s="603"/>
      <c r="BA65" s="603"/>
      <c r="BB65" s="603"/>
      <c r="BC65" s="603"/>
      <c r="BD65" s="603"/>
      <c r="BE65" s="603"/>
      <c r="BF65" s="603"/>
      <c r="BG65" s="623"/>
      <c r="BH65" s="603"/>
      <c r="BI65" s="621"/>
      <c r="BJ65" s="621"/>
      <c r="BK65" s="621"/>
      <c r="BL65" s="621"/>
      <c r="BM65" s="621"/>
      <c r="BN65" s="621"/>
      <c r="BO65" s="621"/>
      <c r="BP65" s="621"/>
      <c r="BQ65" s="621"/>
      <c r="BR65" s="624"/>
      <c r="BS65" s="612"/>
      <c r="BT65" s="621"/>
      <c r="BU65" s="621"/>
      <c r="BV65" s="621"/>
      <c r="BW65" s="619"/>
      <c r="BX65" s="619"/>
      <c r="BY65" s="619"/>
      <c r="BZ65" s="603"/>
      <c r="CA65" s="117"/>
      <c r="CB65" s="603"/>
      <c r="CC65" s="619"/>
      <c r="CD65" s="619"/>
      <c r="CE65" s="619"/>
    </row>
    <row r="66" spans="2:83">
      <c r="B66" s="603"/>
      <c r="C66" s="598"/>
      <c r="D66" s="598"/>
      <c r="E66" s="599"/>
      <c r="F66" s="599"/>
      <c r="G66" s="599"/>
      <c r="H66" s="599"/>
      <c r="I66" s="598"/>
      <c r="J66" s="598"/>
      <c r="K66" s="598"/>
      <c r="L66" s="598"/>
      <c r="M66" s="600"/>
      <c r="N66" s="598"/>
      <c r="O66" s="598"/>
      <c r="P66" s="620"/>
      <c r="Q66" s="601"/>
      <c r="R66" s="601"/>
      <c r="S66" s="601"/>
      <c r="T66" s="598"/>
      <c r="U66" s="602"/>
      <c r="V66" s="602"/>
      <c r="W66" s="602"/>
      <c r="X66" s="602"/>
      <c r="Y66" s="621"/>
      <c r="Z66" s="602"/>
      <c r="AA66" s="602"/>
      <c r="AB66" s="602"/>
      <c r="AC66" s="602"/>
      <c r="AD66" s="621"/>
      <c r="AE66" s="602"/>
      <c r="AF66" s="602"/>
      <c r="AG66" s="621"/>
      <c r="AH66" s="598"/>
      <c r="AI66" s="619"/>
      <c r="AJ66" s="619"/>
      <c r="AK66" s="619"/>
      <c r="AL66" s="598"/>
      <c r="AM66" s="603"/>
      <c r="AN66" s="603"/>
      <c r="AO66" s="603"/>
      <c r="AP66" s="603"/>
      <c r="AQ66" s="603"/>
      <c r="AR66" s="603"/>
      <c r="AS66" s="603"/>
      <c r="AT66" s="603"/>
      <c r="AU66" s="603"/>
      <c r="AV66" s="603"/>
      <c r="AW66" s="622"/>
      <c r="AX66" s="603"/>
      <c r="AY66" s="603"/>
      <c r="AZ66" s="603"/>
      <c r="BA66" s="603"/>
      <c r="BB66" s="603"/>
      <c r="BC66" s="603"/>
      <c r="BD66" s="603"/>
      <c r="BE66" s="603"/>
      <c r="BF66" s="603"/>
      <c r="BG66" s="623"/>
      <c r="BH66" s="603"/>
      <c r="BI66" s="621"/>
      <c r="BJ66" s="621"/>
      <c r="BK66" s="621"/>
      <c r="BL66" s="621"/>
      <c r="BM66" s="621"/>
      <c r="BN66" s="621"/>
      <c r="BO66" s="621"/>
      <c r="BP66" s="621"/>
      <c r="BQ66" s="621"/>
      <c r="BR66" s="624"/>
      <c r="BS66" s="612"/>
      <c r="BT66" s="621"/>
      <c r="BU66" s="621"/>
      <c r="BV66" s="621"/>
      <c r="BW66" s="619"/>
      <c r="BX66" s="619"/>
      <c r="BY66" s="619"/>
      <c r="BZ66" s="603"/>
      <c r="CA66" s="117"/>
      <c r="CB66" s="603"/>
      <c r="CC66" s="619"/>
      <c r="CD66" s="619"/>
      <c r="CE66" s="619"/>
    </row>
    <row r="67" spans="2:83">
      <c r="B67" s="603"/>
      <c r="C67" s="598"/>
      <c r="D67" s="598"/>
      <c r="E67" s="599"/>
      <c r="F67" s="599"/>
      <c r="G67" s="599"/>
      <c r="H67" s="599"/>
      <c r="I67" s="598"/>
      <c r="J67" s="598"/>
      <c r="K67" s="598"/>
      <c r="L67" s="598"/>
      <c r="M67" s="600"/>
      <c r="N67" s="598"/>
      <c r="O67" s="598"/>
      <c r="P67" s="620"/>
      <c r="Q67" s="601"/>
      <c r="R67" s="601"/>
      <c r="S67" s="601"/>
      <c r="T67" s="598"/>
      <c r="U67" s="602"/>
      <c r="V67" s="602"/>
      <c r="W67" s="602"/>
      <c r="X67" s="602"/>
      <c r="Y67" s="621"/>
      <c r="Z67" s="602"/>
      <c r="AA67" s="602"/>
      <c r="AB67" s="602"/>
      <c r="AC67" s="602"/>
      <c r="AD67" s="621"/>
      <c r="AE67" s="602"/>
      <c r="AF67" s="602"/>
      <c r="AG67" s="621"/>
      <c r="AH67" s="598"/>
      <c r="AI67" s="619"/>
      <c r="AJ67" s="619"/>
      <c r="AK67" s="619"/>
      <c r="AL67" s="598"/>
      <c r="AM67" s="603"/>
      <c r="AN67" s="603"/>
      <c r="AO67" s="603"/>
      <c r="AP67" s="603"/>
      <c r="AQ67" s="603"/>
      <c r="AR67" s="603"/>
      <c r="AS67" s="603"/>
      <c r="AT67" s="603"/>
      <c r="AU67" s="603"/>
      <c r="AV67" s="603"/>
      <c r="AW67" s="622"/>
      <c r="AX67" s="603"/>
      <c r="AY67" s="603"/>
      <c r="AZ67" s="603"/>
      <c r="BA67" s="603"/>
      <c r="BB67" s="603"/>
      <c r="BC67" s="603"/>
      <c r="BD67" s="603"/>
      <c r="BE67" s="603"/>
      <c r="BF67" s="603"/>
      <c r="BG67" s="623"/>
      <c r="BH67" s="603"/>
      <c r="BI67" s="621"/>
      <c r="BJ67" s="621"/>
      <c r="BK67" s="621"/>
      <c r="BL67" s="621"/>
      <c r="BM67" s="621"/>
      <c r="BN67" s="621"/>
      <c r="BO67" s="621"/>
      <c r="BP67" s="621"/>
      <c r="BQ67" s="621"/>
      <c r="BR67" s="624"/>
      <c r="BS67" s="612"/>
      <c r="BT67" s="621"/>
      <c r="BU67" s="621"/>
      <c r="BV67" s="621"/>
      <c r="BW67" s="619"/>
      <c r="BX67" s="619"/>
      <c r="BY67" s="619"/>
      <c r="BZ67" s="603"/>
      <c r="CA67" s="117"/>
      <c r="CB67" s="603"/>
      <c r="CC67" s="619"/>
      <c r="CD67" s="619"/>
      <c r="CE67" s="619"/>
    </row>
    <row r="68" spans="2:83">
      <c r="B68" s="603"/>
      <c r="C68" s="598"/>
      <c r="D68" s="598"/>
      <c r="E68" s="599"/>
      <c r="F68" s="599"/>
      <c r="G68" s="599"/>
      <c r="H68" s="599"/>
      <c r="I68" s="598"/>
      <c r="J68" s="598"/>
      <c r="K68" s="598"/>
      <c r="L68" s="598"/>
      <c r="M68" s="600"/>
      <c r="N68" s="598"/>
      <c r="O68" s="598"/>
      <c r="P68" s="620"/>
      <c r="Q68" s="601"/>
      <c r="R68" s="601"/>
      <c r="S68" s="601"/>
      <c r="T68" s="598"/>
      <c r="U68" s="602"/>
      <c r="V68" s="602"/>
      <c r="W68" s="602"/>
      <c r="X68" s="602"/>
      <c r="Y68" s="621"/>
      <c r="Z68" s="602"/>
      <c r="AA68" s="602"/>
      <c r="AB68" s="602"/>
      <c r="AC68" s="602"/>
      <c r="AD68" s="621"/>
      <c r="AE68" s="602"/>
      <c r="AF68" s="602"/>
      <c r="AG68" s="621"/>
      <c r="AH68" s="598"/>
      <c r="AI68" s="619"/>
      <c r="AJ68" s="619"/>
      <c r="AK68" s="619"/>
      <c r="AL68" s="598"/>
      <c r="AM68" s="603"/>
      <c r="AN68" s="603"/>
      <c r="AO68" s="603"/>
      <c r="AP68" s="603"/>
      <c r="AQ68" s="603"/>
      <c r="AR68" s="603"/>
      <c r="AS68" s="603"/>
      <c r="AT68" s="603"/>
      <c r="AU68" s="603"/>
      <c r="AV68" s="603"/>
      <c r="AW68" s="622"/>
      <c r="AX68" s="603"/>
      <c r="AY68" s="603"/>
      <c r="AZ68" s="603"/>
      <c r="BA68" s="603"/>
      <c r="BB68" s="603"/>
      <c r="BC68" s="603"/>
      <c r="BD68" s="603"/>
      <c r="BE68" s="603"/>
      <c r="BF68" s="603"/>
      <c r="BG68" s="623"/>
      <c r="BH68" s="603"/>
      <c r="BI68" s="621"/>
      <c r="BJ68" s="621"/>
      <c r="BK68" s="621"/>
      <c r="BL68" s="621"/>
      <c r="BM68" s="621"/>
      <c r="BN68" s="621"/>
      <c r="BO68" s="621"/>
      <c r="BP68" s="621"/>
      <c r="BQ68" s="621"/>
      <c r="BR68" s="624"/>
      <c r="BS68" s="612"/>
      <c r="BT68" s="621"/>
      <c r="BU68" s="621"/>
      <c r="BV68" s="621"/>
      <c r="BW68" s="619"/>
      <c r="BX68" s="619"/>
      <c r="BY68" s="619"/>
      <c r="BZ68" s="603"/>
      <c r="CA68" s="117"/>
      <c r="CB68" s="603"/>
      <c r="CC68" s="619"/>
      <c r="CD68" s="619"/>
      <c r="CE68" s="619"/>
    </row>
    <row r="69" spans="2:83">
      <c r="B69" s="603"/>
      <c r="C69" s="598"/>
      <c r="D69" s="598"/>
      <c r="E69" s="599"/>
      <c r="F69" s="599"/>
      <c r="G69" s="599"/>
      <c r="H69" s="599"/>
      <c r="I69" s="598"/>
      <c r="J69" s="598"/>
      <c r="K69" s="598"/>
      <c r="L69" s="598"/>
      <c r="M69" s="600"/>
      <c r="N69" s="598"/>
      <c r="O69" s="598"/>
      <c r="P69" s="620"/>
      <c r="Q69" s="601"/>
      <c r="R69" s="601"/>
      <c r="S69" s="601"/>
      <c r="T69" s="598"/>
      <c r="U69" s="602"/>
      <c r="V69" s="602"/>
      <c r="W69" s="602"/>
      <c r="X69" s="602"/>
      <c r="Y69" s="621"/>
      <c r="Z69" s="602"/>
      <c r="AA69" s="602"/>
      <c r="AB69" s="602"/>
      <c r="AC69" s="602"/>
      <c r="AD69" s="621"/>
      <c r="AE69" s="602"/>
      <c r="AF69" s="602"/>
      <c r="AG69" s="621"/>
      <c r="AH69" s="598"/>
      <c r="AI69" s="619"/>
      <c r="AJ69" s="619"/>
      <c r="AK69" s="619"/>
      <c r="AL69" s="598"/>
      <c r="AM69" s="603"/>
      <c r="AN69" s="603"/>
      <c r="AO69" s="603"/>
      <c r="AP69" s="603"/>
      <c r="AQ69" s="603"/>
      <c r="AR69" s="603"/>
      <c r="AS69" s="603"/>
      <c r="AT69" s="603"/>
      <c r="AU69" s="603"/>
      <c r="AV69" s="603"/>
      <c r="AW69" s="622"/>
      <c r="AX69" s="603"/>
      <c r="AY69" s="603"/>
      <c r="AZ69" s="603"/>
      <c r="BA69" s="603"/>
      <c r="BB69" s="603"/>
      <c r="BC69" s="603"/>
      <c r="BD69" s="603"/>
      <c r="BE69" s="603"/>
      <c r="BF69" s="603"/>
      <c r="BG69" s="623"/>
      <c r="BH69" s="603"/>
      <c r="BI69" s="621"/>
      <c r="BJ69" s="621"/>
      <c r="BK69" s="621"/>
      <c r="BL69" s="621"/>
      <c r="BM69" s="621"/>
      <c r="BN69" s="621"/>
      <c r="BO69" s="621"/>
      <c r="BP69" s="621"/>
      <c r="BQ69" s="621"/>
      <c r="BR69" s="624"/>
      <c r="BS69" s="612"/>
      <c r="BT69" s="621"/>
      <c r="BU69" s="621"/>
      <c r="BV69" s="621"/>
      <c r="BW69" s="619"/>
      <c r="BX69" s="619"/>
      <c r="BY69" s="619"/>
      <c r="BZ69" s="603"/>
      <c r="CA69" s="117"/>
      <c r="CB69" s="603"/>
      <c r="CC69" s="619"/>
      <c r="CD69" s="619"/>
      <c r="CE69" s="619"/>
    </row>
    <row r="70" spans="2:83">
      <c r="B70" s="603"/>
      <c r="C70" s="598"/>
      <c r="D70" s="598"/>
      <c r="E70" s="599"/>
      <c r="F70" s="599"/>
      <c r="G70" s="599"/>
      <c r="H70" s="599"/>
      <c r="I70" s="598"/>
      <c r="J70" s="598"/>
      <c r="K70" s="598"/>
      <c r="L70" s="598"/>
      <c r="M70" s="600"/>
      <c r="N70" s="598"/>
      <c r="O70" s="598"/>
      <c r="P70" s="620"/>
      <c r="Q70" s="601"/>
      <c r="R70" s="601"/>
      <c r="S70" s="601"/>
      <c r="T70" s="598"/>
      <c r="U70" s="602"/>
      <c r="V70" s="602"/>
      <c r="W70" s="602"/>
      <c r="X70" s="602"/>
      <c r="Y70" s="621"/>
      <c r="Z70" s="602"/>
      <c r="AA70" s="602"/>
      <c r="AB70" s="602"/>
      <c r="AC70" s="602"/>
      <c r="AD70" s="621"/>
      <c r="AE70" s="602"/>
      <c r="AF70" s="602"/>
      <c r="AG70" s="621"/>
      <c r="AH70" s="598"/>
      <c r="AI70" s="619"/>
      <c r="AJ70" s="619"/>
      <c r="AK70" s="619"/>
      <c r="AL70" s="598"/>
      <c r="AM70" s="603"/>
      <c r="AN70" s="603"/>
      <c r="AO70" s="603"/>
      <c r="AP70" s="603"/>
      <c r="AQ70" s="603"/>
      <c r="AR70" s="603"/>
      <c r="AS70" s="603"/>
      <c r="AT70" s="603"/>
      <c r="AU70" s="603"/>
      <c r="AV70" s="603"/>
      <c r="AW70" s="622"/>
      <c r="AX70" s="603"/>
      <c r="AY70" s="603"/>
      <c r="AZ70" s="603"/>
      <c r="BA70" s="603"/>
      <c r="BB70" s="603"/>
      <c r="BC70" s="603"/>
      <c r="BD70" s="603"/>
      <c r="BE70" s="603"/>
      <c r="BF70" s="603"/>
      <c r="BG70" s="623"/>
      <c r="BH70" s="603"/>
      <c r="BI70" s="621"/>
      <c r="BJ70" s="621"/>
      <c r="BK70" s="621"/>
      <c r="BL70" s="621"/>
      <c r="BM70" s="621"/>
      <c r="BN70" s="621"/>
      <c r="BO70" s="621"/>
      <c r="BP70" s="621"/>
      <c r="BQ70" s="621"/>
      <c r="BR70" s="624"/>
      <c r="BS70" s="612"/>
      <c r="BT70" s="621"/>
      <c r="BU70" s="621"/>
      <c r="BV70" s="621"/>
      <c r="BW70" s="619"/>
      <c r="BX70" s="619"/>
      <c r="BY70" s="619"/>
      <c r="BZ70" s="603"/>
      <c r="CA70" s="117"/>
      <c r="CB70" s="603"/>
      <c r="CC70" s="619"/>
      <c r="CD70" s="619"/>
      <c r="CE70" s="619"/>
    </row>
    <row r="71" spans="2:83">
      <c r="B71" s="603"/>
      <c r="C71" s="598"/>
      <c r="D71" s="598"/>
      <c r="E71" s="599"/>
      <c r="F71" s="599"/>
      <c r="G71" s="599"/>
      <c r="H71" s="599"/>
      <c r="I71" s="598"/>
      <c r="J71" s="598"/>
      <c r="K71" s="598"/>
      <c r="L71" s="598"/>
      <c r="M71" s="600"/>
      <c r="N71" s="598"/>
      <c r="O71" s="598"/>
      <c r="P71" s="620"/>
      <c r="Q71" s="601"/>
      <c r="R71" s="601"/>
      <c r="S71" s="601"/>
      <c r="T71" s="598"/>
      <c r="U71" s="602"/>
      <c r="V71" s="602"/>
      <c r="W71" s="602"/>
      <c r="X71" s="602"/>
      <c r="Y71" s="621"/>
      <c r="Z71" s="602"/>
      <c r="AA71" s="602"/>
      <c r="AB71" s="602"/>
      <c r="AC71" s="602"/>
      <c r="AD71" s="621"/>
      <c r="AE71" s="602"/>
      <c r="AF71" s="602"/>
      <c r="AG71" s="621"/>
      <c r="AH71" s="598"/>
      <c r="AI71" s="619"/>
      <c r="AJ71" s="619"/>
      <c r="AK71" s="619"/>
      <c r="AL71" s="598"/>
      <c r="AM71" s="603"/>
      <c r="AN71" s="603"/>
      <c r="AO71" s="603"/>
      <c r="AP71" s="603"/>
      <c r="AQ71" s="603"/>
      <c r="AR71" s="603"/>
      <c r="AS71" s="603"/>
      <c r="AT71" s="603"/>
      <c r="AU71" s="603"/>
      <c r="AV71" s="603"/>
      <c r="AW71" s="622"/>
      <c r="AX71" s="603"/>
      <c r="AY71" s="603"/>
      <c r="AZ71" s="603"/>
      <c r="BA71" s="603"/>
      <c r="BB71" s="603"/>
      <c r="BC71" s="603"/>
      <c r="BD71" s="603"/>
      <c r="BE71" s="603"/>
      <c r="BF71" s="603"/>
      <c r="BG71" s="623"/>
      <c r="BH71" s="603"/>
      <c r="BI71" s="621"/>
      <c r="BJ71" s="621"/>
      <c r="BK71" s="621"/>
      <c r="BL71" s="621"/>
      <c r="BM71" s="621"/>
      <c r="BN71" s="621"/>
      <c r="BO71" s="621"/>
      <c r="BP71" s="621"/>
      <c r="BQ71" s="621"/>
      <c r="BR71" s="624"/>
      <c r="BS71" s="612"/>
      <c r="BT71" s="621"/>
      <c r="BU71" s="621"/>
      <c r="BV71" s="621"/>
      <c r="BW71" s="619"/>
      <c r="BX71" s="619"/>
      <c r="BY71" s="619"/>
      <c r="BZ71" s="603"/>
      <c r="CA71" s="117"/>
      <c r="CB71" s="603"/>
      <c r="CC71" s="619"/>
      <c r="CD71" s="619"/>
      <c r="CE71" s="619"/>
    </row>
    <row r="72" spans="2:83">
      <c r="B72" s="603"/>
      <c r="C72" s="598"/>
      <c r="D72" s="598"/>
      <c r="E72" s="599"/>
      <c r="F72" s="599"/>
      <c r="G72" s="599"/>
      <c r="H72" s="599"/>
      <c r="I72" s="598"/>
      <c r="J72" s="598"/>
      <c r="K72" s="598"/>
      <c r="L72" s="598"/>
      <c r="M72" s="600"/>
      <c r="N72" s="598"/>
      <c r="O72" s="598"/>
      <c r="P72" s="620"/>
      <c r="Q72" s="601"/>
      <c r="R72" s="601"/>
      <c r="S72" s="601"/>
      <c r="T72" s="598"/>
      <c r="U72" s="602"/>
      <c r="V72" s="602"/>
      <c r="W72" s="602"/>
      <c r="X72" s="602"/>
      <c r="Y72" s="621"/>
      <c r="Z72" s="602"/>
      <c r="AA72" s="602"/>
      <c r="AB72" s="602"/>
      <c r="AC72" s="602"/>
      <c r="AD72" s="621"/>
      <c r="AE72" s="602"/>
      <c r="AF72" s="602"/>
      <c r="AG72" s="621"/>
      <c r="AH72" s="598"/>
      <c r="AI72" s="619"/>
      <c r="AJ72" s="619"/>
      <c r="AK72" s="619"/>
      <c r="AL72" s="598"/>
      <c r="AM72" s="603"/>
      <c r="AN72" s="603"/>
      <c r="AO72" s="603"/>
      <c r="AP72" s="603"/>
      <c r="AQ72" s="603"/>
      <c r="AR72" s="603"/>
      <c r="AS72" s="603"/>
      <c r="AT72" s="603"/>
      <c r="AU72" s="603"/>
      <c r="AV72" s="603"/>
      <c r="AW72" s="622"/>
      <c r="AX72" s="603"/>
      <c r="AY72" s="603"/>
      <c r="AZ72" s="603"/>
      <c r="BA72" s="603"/>
      <c r="BB72" s="603"/>
      <c r="BC72" s="603"/>
      <c r="BD72" s="603"/>
      <c r="BE72" s="603"/>
      <c r="BF72" s="603"/>
      <c r="BG72" s="623"/>
      <c r="BH72" s="603"/>
      <c r="BI72" s="621"/>
      <c r="BJ72" s="621"/>
      <c r="BK72" s="621"/>
      <c r="BL72" s="621"/>
      <c r="BM72" s="621"/>
      <c r="BN72" s="621"/>
      <c r="BO72" s="621"/>
      <c r="BP72" s="621"/>
      <c r="BQ72" s="621"/>
      <c r="BR72" s="624"/>
      <c r="BS72" s="612"/>
      <c r="BT72" s="621"/>
      <c r="BU72" s="621"/>
      <c r="BV72" s="621"/>
      <c r="BW72" s="619"/>
      <c r="BX72" s="619"/>
      <c r="BY72" s="619"/>
      <c r="BZ72" s="603"/>
      <c r="CA72" s="117"/>
      <c r="CB72" s="603"/>
      <c r="CC72" s="619"/>
      <c r="CD72" s="619"/>
      <c r="CE72" s="619"/>
    </row>
    <row r="73" spans="2:83">
      <c r="B73" s="603"/>
      <c r="C73" s="598"/>
      <c r="D73" s="598"/>
      <c r="E73" s="599"/>
      <c r="F73" s="599"/>
      <c r="G73" s="599"/>
      <c r="H73" s="599"/>
      <c r="I73" s="598"/>
      <c r="J73" s="598"/>
      <c r="K73" s="598"/>
      <c r="L73" s="598"/>
      <c r="M73" s="600"/>
      <c r="N73" s="598"/>
      <c r="O73" s="598"/>
      <c r="P73" s="620"/>
      <c r="Q73" s="601"/>
      <c r="R73" s="601"/>
      <c r="S73" s="601"/>
      <c r="T73" s="598"/>
      <c r="U73" s="602"/>
      <c r="V73" s="602"/>
      <c r="W73" s="602"/>
      <c r="X73" s="602"/>
      <c r="Y73" s="621"/>
      <c r="Z73" s="602"/>
      <c r="AA73" s="602"/>
      <c r="AB73" s="602"/>
      <c r="AC73" s="602"/>
      <c r="AD73" s="621"/>
      <c r="AE73" s="602"/>
      <c r="AF73" s="602"/>
      <c r="AG73" s="621"/>
      <c r="AH73" s="598"/>
      <c r="AI73" s="619"/>
      <c r="AJ73" s="619"/>
      <c r="AK73" s="619"/>
      <c r="AL73" s="598"/>
      <c r="AM73" s="603"/>
      <c r="AN73" s="603"/>
      <c r="AO73" s="603"/>
      <c r="AP73" s="603"/>
      <c r="AQ73" s="603"/>
      <c r="AR73" s="603"/>
      <c r="AS73" s="603"/>
      <c r="AT73" s="603"/>
      <c r="AU73" s="603"/>
      <c r="AV73" s="603"/>
      <c r="AW73" s="622"/>
      <c r="AX73" s="603"/>
      <c r="AY73" s="603"/>
      <c r="AZ73" s="603"/>
      <c r="BA73" s="603"/>
      <c r="BB73" s="603"/>
      <c r="BC73" s="603"/>
      <c r="BD73" s="603"/>
      <c r="BE73" s="603"/>
      <c r="BF73" s="603"/>
      <c r="BG73" s="623"/>
      <c r="BH73" s="603"/>
      <c r="BI73" s="621"/>
      <c r="BJ73" s="621"/>
      <c r="BK73" s="621"/>
      <c r="BL73" s="621"/>
      <c r="BM73" s="621"/>
      <c r="BN73" s="621"/>
      <c r="BO73" s="621"/>
      <c r="BP73" s="621"/>
      <c r="BQ73" s="621"/>
      <c r="BR73" s="624"/>
      <c r="BS73" s="612"/>
      <c r="BT73" s="621"/>
      <c r="BU73" s="621"/>
      <c r="BV73" s="621"/>
      <c r="BW73" s="619"/>
      <c r="BX73" s="619"/>
      <c r="BY73" s="619"/>
      <c r="BZ73" s="603"/>
      <c r="CA73" s="117"/>
      <c r="CB73" s="603"/>
      <c r="CC73" s="619"/>
      <c r="CD73" s="619"/>
      <c r="CE73" s="619"/>
    </row>
    <row r="74" spans="2:83">
      <c r="B74" s="603"/>
      <c r="C74" s="598"/>
      <c r="D74" s="598"/>
      <c r="E74" s="599"/>
      <c r="F74" s="599"/>
      <c r="G74" s="599"/>
      <c r="H74" s="599"/>
      <c r="I74" s="598"/>
      <c r="J74" s="598"/>
      <c r="K74" s="598"/>
      <c r="L74" s="598"/>
      <c r="M74" s="600"/>
      <c r="N74" s="598"/>
      <c r="O74" s="598"/>
      <c r="P74" s="620"/>
      <c r="Q74" s="601"/>
      <c r="R74" s="601"/>
      <c r="S74" s="601"/>
      <c r="T74" s="598"/>
      <c r="U74" s="602"/>
      <c r="V74" s="602"/>
      <c r="W74" s="602"/>
      <c r="X74" s="602"/>
      <c r="Y74" s="621"/>
      <c r="Z74" s="602"/>
      <c r="AA74" s="602"/>
      <c r="AB74" s="602"/>
      <c r="AC74" s="602"/>
      <c r="AD74" s="621"/>
      <c r="AE74" s="602"/>
      <c r="AF74" s="602"/>
      <c r="AG74" s="621"/>
      <c r="AH74" s="598"/>
      <c r="AI74" s="619"/>
      <c r="AJ74" s="619"/>
      <c r="AK74" s="619"/>
      <c r="AL74" s="598"/>
      <c r="AM74" s="603"/>
      <c r="AN74" s="603"/>
      <c r="AO74" s="603"/>
      <c r="AP74" s="603"/>
      <c r="AQ74" s="603"/>
      <c r="AR74" s="603"/>
      <c r="AS74" s="603"/>
      <c r="AT74" s="603"/>
      <c r="AU74" s="603"/>
      <c r="AV74" s="603"/>
      <c r="AW74" s="622"/>
      <c r="AX74" s="603"/>
      <c r="AY74" s="603"/>
      <c r="AZ74" s="603"/>
      <c r="BA74" s="603"/>
      <c r="BB74" s="603"/>
      <c r="BC74" s="603"/>
      <c r="BD74" s="603"/>
      <c r="BE74" s="603"/>
      <c r="BF74" s="603"/>
      <c r="BG74" s="623"/>
      <c r="BH74" s="603"/>
      <c r="BI74" s="621"/>
      <c r="BJ74" s="621"/>
      <c r="BK74" s="621"/>
      <c r="BL74" s="621"/>
      <c r="BM74" s="621"/>
      <c r="BN74" s="621"/>
      <c r="BO74" s="621"/>
      <c r="BP74" s="621"/>
      <c r="BQ74" s="621"/>
      <c r="BR74" s="624"/>
      <c r="BS74" s="612"/>
      <c r="BT74" s="621"/>
      <c r="BU74" s="621"/>
      <c r="BV74" s="621"/>
      <c r="BW74" s="619"/>
      <c r="BX74" s="619"/>
      <c r="BY74" s="619"/>
      <c r="BZ74" s="603"/>
      <c r="CA74" s="117"/>
      <c r="CB74" s="603"/>
      <c r="CC74" s="619"/>
      <c r="CD74" s="619"/>
      <c r="CE74" s="619"/>
    </row>
    <row r="75" spans="2:83">
      <c r="B75" s="603"/>
      <c r="C75" s="598"/>
      <c r="D75" s="598"/>
      <c r="E75" s="599"/>
      <c r="F75" s="599"/>
      <c r="G75" s="599"/>
      <c r="H75" s="599"/>
      <c r="I75" s="598"/>
      <c r="J75" s="598"/>
      <c r="K75" s="598"/>
      <c r="L75" s="598"/>
      <c r="M75" s="600"/>
      <c r="N75" s="598"/>
      <c r="O75" s="598"/>
      <c r="P75" s="620"/>
      <c r="Q75" s="601"/>
      <c r="R75" s="601"/>
      <c r="S75" s="601"/>
      <c r="T75" s="598"/>
      <c r="U75" s="602"/>
      <c r="V75" s="602"/>
      <c r="W75" s="602"/>
      <c r="X75" s="602"/>
      <c r="Y75" s="621"/>
      <c r="Z75" s="602"/>
      <c r="AA75" s="602"/>
      <c r="AB75" s="602"/>
      <c r="AC75" s="602"/>
      <c r="AD75" s="621"/>
      <c r="AE75" s="602"/>
      <c r="AF75" s="602"/>
      <c r="AG75" s="621"/>
      <c r="AH75" s="598"/>
      <c r="AI75" s="619"/>
      <c r="AJ75" s="619"/>
      <c r="AK75" s="619"/>
      <c r="AL75" s="598"/>
      <c r="AM75" s="603"/>
      <c r="AN75" s="603"/>
      <c r="AO75" s="603"/>
      <c r="AP75" s="603"/>
      <c r="AQ75" s="603"/>
      <c r="AR75" s="603"/>
      <c r="AS75" s="603"/>
      <c r="AT75" s="603"/>
      <c r="AU75" s="603"/>
      <c r="AV75" s="603"/>
      <c r="AW75" s="622"/>
      <c r="AX75" s="603"/>
      <c r="AY75" s="603"/>
      <c r="AZ75" s="603"/>
      <c r="BA75" s="603"/>
      <c r="BB75" s="603"/>
      <c r="BC75" s="603"/>
      <c r="BD75" s="603"/>
      <c r="BE75" s="603"/>
      <c r="BF75" s="603"/>
      <c r="BG75" s="623"/>
      <c r="BH75" s="603"/>
      <c r="BI75" s="621"/>
      <c r="BJ75" s="621"/>
      <c r="BK75" s="621"/>
      <c r="BL75" s="621"/>
      <c r="BM75" s="621"/>
      <c r="BN75" s="621"/>
      <c r="BO75" s="621"/>
      <c r="BP75" s="621"/>
      <c r="BQ75" s="621"/>
      <c r="BR75" s="624"/>
      <c r="BS75" s="612"/>
      <c r="BT75" s="621"/>
      <c r="BU75" s="621"/>
      <c r="BV75" s="621"/>
      <c r="BW75" s="619"/>
      <c r="BX75" s="619"/>
      <c r="BY75" s="619"/>
      <c r="BZ75" s="603"/>
      <c r="CA75" s="117"/>
      <c r="CB75" s="603"/>
      <c r="CC75" s="619"/>
      <c r="CD75" s="619"/>
      <c r="CE75" s="619"/>
    </row>
    <row r="76" spans="2:83">
      <c r="B76" s="603"/>
      <c r="C76" s="598"/>
      <c r="D76" s="598"/>
      <c r="E76" s="599"/>
      <c r="F76" s="599"/>
      <c r="G76" s="599"/>
      <c r="H76" s="599"/>
      <c r="I76" s="598"/>
      <c r="J76" s="598"/>
      <c r="K76" s="598"/>
      <c r="L76" s="598"/>
      <c r="M76" s="600"/>
      <c r="N76" s="598"/>
      <c r="O76" s="598"/>
      <c r="P76" s="620"/>
      <c r="Q76" s="601"/>
      <c r="R76" s="601"/>
      <c r="S76" s="601"/>
      <c r="T76" s="598"/>
      <c r="U76" s="602"/>
      <c r="V76" s="602"/>
      <c r="W76" s="602"/>
      <c r="X76" s="602"/>
      <c r="Y76" s="621"/>
      <c r="Z76" s="602"/>
      <c r="AA76" s="602"/>
      <c r="AB76" s="602"/>
      <c r="AC76" s="602"/>
      <c r="AD76" s="621"/>
      <c r="AE76" s="602"/>
      <c r="AF76" s="602"/>
      <c r="AG76" s="621"/>
      <c r="AH76" s="598"/>
      <c r="AI76" s="619"/>
      <c r="AJ76" s="619"/>
      <c r="AK76" s="619"/>
      <c r="AL76" s="598"/>
      <c r="AM76" s="603"/>
      <c r="AN76" s="603"/>
      <c r="AO76" s="603"/>
      <c r="AP76" s="603"/>
      <c r="AQ76" s="603"/>
      <c r="AR76" s="603"/>
      <c r="AS76" s="603"/>
      <c r="AT76" s="603"/>
      <c r="AU76" s="603"/>
      <c r="AV76" s="603"/>
      <c r="AW76" s="622"/>
      <c r="AX76" s="603"/>
      <c r="AY76" s="603"/>
      <c r="AZ76" s="603"/>
      <c r="BA76" s="603"/>
      <c r="BB76" s="603"/>
      <c r="BC76" s="603"/>
      <c r="BD76" s="603"/>
      <c r="BE76" s="603"/>
      <c r="BF76" s="603"/>
      <c r="BG76" s="623"/>
      <c r="BH76" s="603"/>
      <c r="BI76" s="621"/>
      <c r="BJ76" s="621"/>
      <c r="BK76" s="621"/>
      <c r="BL76" s="621"/>
      <c r="BM76" s="621"/>
      <c r="BN76" s="621"/>
      <c r="BO76" s="621"/>
      <c r="BP76" s="621"/>
      <c r="BQ76" s="621"/>
      <c r="BR76" s="624"/>
      <c r="BS76" s="612"/>
      <c r="BT76" s="621"/>
      <c r="BU76" s="621"/>
      <c r="BV76" s="621"/>
      <c r="BW76" s="619"/>
      <c r="BX76" s="619"/>
      <c r="BY76" s="619"/>
      <c r="BZ76" s="603"/>
      <c r="CA76" s="117"/>
      <c r="CB76" s="603"/>
      <c r="CC76" s="619"/>
      <c r="CD76" s="619"/>
      <c r="CE76" s="619"/>
    </row>
    <row r="77" spans="2:83">
      <c r="B77" s="603"/>
      <c r="C77" s="598"/>
      <c r="D77" s="598"/>
      <c r="E77" s="599"/>
      <c r="F77" s="599"/>
      <c r="G77" s="599"/>
      <c r="H77" s="599"/>
      <c r="I77" s="598"/>
      <c r="J77" s="598"/>
      <c r="K77" s="598"/>
      <c r="L77" s="598"/>
      <c r="M77" s="600"/>
      <c r="N77" s="598"/>
      <c r="O77" s="598"/>
      <c r="P77" s="620"/>
      <c r="Q77" s="601"/>
      <c r="R77" s="601"/>
      <c r="S77" s="601"/>
      <c r="T77" s="598"/>
      <c r="U77" s="602"/>
      <c r="V77" s="602"/>
      <c r="W77" s="602"/>
      <c r="X77" s="602"/>
      <c r="Y77" s="621"/>
      <c r="Z77" s="602"/>
      <c r="AA77" s="602"/>
      <c r="AB77" s="602"/>
      <c r="AC77" s="602"/>
      <c r="AD77" s="621"/>
      <c r="AE77" s="602"/>
      <c r="AF77" s="602"/>
      <c r="AG77" s="621"/>
      <c r="AH77" s="598"/>
      <c r="AI77" s="619"/>
      <c r="AJ77" s="619"/>
      <c r="AK77" s="619"/>
      <c r="AL77" s="598"/>
      <c r="AM77" s="603"/>
      <c r="AN77" s="603"/>
      <c r="AO77" s="603"/>
      <c r="AP77" s="603"/>
      <c r="AQ77" s="603"/>
      <c r="AR77" s="603"/>
      <c r="AS77" s="603"/>
      <c r="AT77" s="603"/>
      <c r="AU77" s="603"/>
      <c r="AV77" s="603"/>
      <c r="AW77" s="622"/>
      <c r="AX77" s="603"/>
      <c r="AY77" s="603"/>
      <c r="AZ77" s="603"/>
      <c r="BA77" s="603"/>
      <c r="BB77" s="603"/>
      <c r="BC77" s="603"/>
      <c r="BD77" s="603"/>
      <c r="BE77" s="603"/>
      <c r="BF77" s="603"/>
      <c r="BG77" s="623"/>
      <c r="BH77" s="603"/>
      <c r="BI77" s="621"/>
      <c r="BJ77" s="621"/>
      <c r="BK77" s="621"/>
      <c r="BL77" s="621"/>
      <c r="BM77" s="621"/>
      <c r="BN77" s="621"/>
      <c r="BO77" s="621"/>
      <c r="BP77" s="621"/>
      <c r="BQ77" s="621"/>
      <c r="BR77" s="624"/>
      <c r="BS77" s="612"/>
      <c r="BT77" s="621"/>
      <c r="BU77" s="621"/>
      <c r="BV77" s="621"/>
      <c r="BW77" s="619"/>
      <c r="BX77" s="619"/>
      <c r="BY77" s="619"/>
      <c r="BZ77" s="603"/>
      <c r="CA77" s="117"/>
      <c r="CB77" s="603"/>
      <c r="CC77" s="619"/>
      <c r="CD77" s="619"/>
      <c r="CE77" s="619"/>
    </row>
    <row r="78" spans="2:83">
      <c r="B78" s="603"/>
      <c r="C78" s="598"/>
      <c r="D78" s="598"/>
      <c r="E78" s="599"/>
      <c r="F78" s="599"/>
      <c r="G78" s="599"/>
      <c r="H78" s="599"/>
      <c r="I78" s="598"/>
      <c r="J78" s="598"/>
      <c r="K78" s="598"/>
      <c r="L78" s="598"/>
      <c r="M78" s="600"/>
      <c r="N78" s="598"/>
      <c r="O78" s="598"/>
      <c r="P78" s="620"/>
      <c r="Q78" s="601"/>
      <c r="R78" s="601"/>
      <c r="S78" s="601"/>
      <c r="T78" s="598"/>
      <c r="U78" s="602"/>
      <c r="V78" s="602"/>
      <c r="W78" s="602"/>
      <c r="X78" s="602"/>
      <c r="Y78" s="621"/>
      <c r="Z78" s="602"/>
      <c r="AA78" s="602"/>
      <c r="AB78" s="602"/>
      <c r="AC78" s="602"/>
      <c r="AD78" s="621"/>
      <c r="AE78" s="602"/>
      <c r="AF78" s="602"/>
      <c r="AG78" s="621"/>
      <c r="AH78" s="598"/>
      <c r="AI78" s="619"/>
      <c r="AJ78" s="619"/>
      <c r="AK78" s="619"/>
      <c r="AL78" s="598"/>
      <c r="AM78" s="603"/>
      <c r="AN78" s="603"/>
      <c r="AO78" s="603"/>
      <c r="AP78" s="603"/>
      <c r="AQ78" s="603"/>
      <c r="AR78" s="603"/>
      <c r="AS78" s="603"/>
      <c r="AT78" s="603"/>
      <c r="AU78" s="603"/>
      <c r="AV78" s="603"/>
      <c r="AW78" s="622"/>
      <c r="AX78" s="603"/>
      <c r="AY78" s="603"/>
      <c r="AZ78" s="603"/>
      <c r="BA78" s="603"/>
      <c r="BB78" s="603"/>
      <c r="BC78" s="603"/>
      <c r="BD78" s="603"/>
      <c r="BE78" s="603"/>
      <c r="BF78" s="603"/>
      <c r="BG78" s="623"/>
      <c r="BH78" s="603"/>
      <c r="BI78" s="621"/>
      <c r="BJ78" s="621"/>
      <c r="BK78" s="621"/>
      <c r="BL78" s="621"/>
      <c r="BM78" s="621"/>
      <c r="BN78" s="621"/>
      <c r="BO78" s="621"/>
      <c r="BP78" s="621"/>
      <c r="BQ78" s="621"/>
      <c r="BR78" s="624"/>
      <c r="BS78" s="612"/>
      <c r="BT78" s="621"/>
      <c r="BU78" s="621"/>
      <c r="BV78" s="621"/>
      <c r="BW78" s="619"/>
      <c r="BX78" s="619"/>
      <c r="BY78" s="619"/>
      <c r="BZ78" s="603"/>
      <c r="CA78" s="117"/>
      <c r="CB78" s="603"/>
      <c r="CC78" s="619"/>
      <c r="CD78" s="619"/>
      <c r="CE78" s="619"/>
    </row>
    <row r="79" spans="2:83">
      <c r="B79" s="603"/>
      <c r="C79" s="598"/>
      <c r="D79" s="598"/>
      <c r="E79" s="599"/>
      <c r="F79" s="599"/>
      <c r="G79" s="599"/>
      <c r="H79" s="599"/>
      <c r="I79" s="598"/>
      <c r="J79" s="598"/>
      <c r="K79" s="598"/>
      <c r="L79" s="598"/>
      <c r="M79" s="600"/>
      <c r="N79" s="598"/>
      <c r="O79" s="598"/>
      <c r="P79" s="620"/>
      <c r="Q79" s="601"/>
      <c r="R79" s="601"/>
      <c r="S79" s="601"/>
      <c r="T79" s="598"/>
      <c r="U79" s="602"/>
      <c r="V79" s="602"/>
      <c r="W79" s="602"/>
      <c r="X79" s="602"/>
      <c r="Y79" s="621"/>
      <c r="Z79" s="602"/>
      <c r="AA79" s="602"/>
      <c r="AB79" s="602"/>
      <c r="AC79" s="602"/>
      <c r="AD79" s="621"/>
      <c r="AE79" s="602"/>
      <c r="AF79" s="602"/>
      <c r="AG79" s="621"/>
      <c r="AH79" s="598"/>
      <c r="AI79" s="619"/>
      <c r="AJ79" s="619"/>
      <c r="AK79" s="619"/>
      <c r="AL79" s="598"/>
      <c r="AM79" s="603"/>
      <c r="AN79" s="603"/>
      <c r="AO79" s="603"/>
      <c r="AP79" s="603"/>
      <c r="AQ79" s="603"/>
      <c r="AR79" s="603"/>
      <c r="AS79" s="603"/>
      <c r="AT79" s="603"/>
      <c r="AU79" s="603"/>
      <c r="AV79" s="603"/>
      <c r="AW79" s="622"/>
      <c r="AX79" s="603"/>
      <c r="AY79" s="603"/>
      <c r="AZ79" s="603"/>
      <c r="BA79" s="603"/>
      <c r="BB79" s="603"/>
      <c r="BC79" s="603"/>
      <c r="BD79" s="603"/>
      <c r="BE79" s="603"/>
      <c r="BF79" s="603"/>
      <c r="BG79" s="623"/>
      <c r="BH79" s="603"/>
      <c r="BI79" s="621"/>
      <c r="BJ79" s="621"/>
      <c r="BK79" s="621"/>
      <c r="BL79" s="621"/>
      <c r="BM79" s="621"/>
      <c r="BN79" s="621"/>
      <c r="BO79" s="621"/>
      <c r="BP79" s="621"/>
      <c r="BQ79" s="621"/>
      <c r="BR79" s="624"/>
      <c r="BS79" s="612"/>
      <c r="BT79" s="621"/>
      <c r="BU79" s="621"/>
      <c r="BV79" s="621"/>
      <c r="BW79" s="619"/>
      <c r="BX79" s="619"/>
      <c r="BY79" s="619"/>
      <c r="BZ79" s="603"/>
      <c r="CA79" s="117"/>
      <c r="CB79" s="603"/>
      <c r="CC79" s="619"/>
      <c r="CD79" s="619"/>
      <c r="CE79" s="619"/>
    </row>
    <row r="80" spans="2:83">
      <c r="B80" s="603"/>
      <c r="C80" s="598"/>
      <c r="D80" s="598"/>
      <c r="E80" s="599"/>
      <c r="F80" s="599"/>
      <c r="G80" s="599"/>
      <c r="H80" s="599"/>
      <c r="I80" s="598"/>
      <c r="J80" s="598"/>
      <c r="K80" s="598"/>
      <c r="L80" s="598"/>
      <c r="M80" s="600"/>
      <c r="N80" s="598"/>
      <c r="O80" s="598"/>
      <c r="P80" s="620"/>
      <c r="Q80" s="601"/>
      <c r="R80" s="601"/>
      <c r="S80" s="601"/>
      <c r="T80" s="598"/>
      <c r="U80" s="602"/>
      <c r="V80" s="602"/>
      <c r="W80" s="602"/>
      <c r="X80" s="602"/>
      <c r="Y80" s="621"/>
      <c r="Z80" s="602"/>
      <c r="AA80" s="602"/>
      <c r="AB80" s="602"/>
      <c r="AC80" s="602"/>
      <c r="AD80" s="621"/>
      <c r="AE80" s="602"/>
      <c r="AF80" s="602"/>
      <c r="AG80" s="621"/>
      <c r="AH80" s="598"/>
      <c r="AI80" s="619"/>
      <c r="AJ80" s="619"/>
      <c r="AK80" s="619"/>
      <c r="AL80" s="598"/>
      <c r="AM80" s="603"/>
      <c r="AN80" s="603"/>
      <c r="AO80" s="603"/>
      <c r="AP80" s="603"/>
      <c r="AQ80" s="603"/>
      <c r="AR80" s="603"/>
      <c r="AS80" s="603"/>
      <c r="AT80" s="603"/>
      <c r="AU80" s="603"/>
      <c r="AV80" s="603"/>
      <c r="AW80" s="622"/>
      <c r="AX80" s="603"/>
      <c r="AY80" s="603"/>
      <c r="AZ80" s="603"/>
      <c r="BA80" s="603"/>
      <c r="BB80" s="603"/>
      <c r="BC80" s="603"/>
      <c r="BD80" s="603"/>
      <c r="BE80" s="603"/>
      <c r="BF80" s="603"/>
      <c r="BG80" s="623"/>
      <c r="BH80" s="603"/>
      <c r="BI80" s="621"/>
      <c r="BJ80" s="621"/>
      <c r="BK80" s="621"/>
      <c r="BL80" s="621"/>
      <c r="BM80" s="621"/>
      <c r="BN80" s="621"/>
      <c r="BO80" s="621"/>
      <c r="BP80" s="621"/>
      <c r="BQ80" s="621"/>
      <c r="BR80" s="624"/>
      <c r="BS80" s="612"/>
      <c r="BT80" s="621"/>
      <c r="BU80" s="621"/>
      <c r="BV80" s="621"/>
      <c r="BW80" s="619"/>
      <c r="BX80" s="619"/>
      <c r="BY80" s="619"/>
      <c r="BZ80" s="603"/>
      <c r="CA80" s="117"/>
      <c r="CB80" s="603"/>
      <c r="CC80" s="619"/>
      <c r="CD80" s="619"/>
      <c r="CE80" s="619"/>
    </row>
    <row r="81" spans="2:83">
      <c r="B81" s="603"/>
      <c r="C81" s="598"/>
      <c r="D81" s="598"/>
      <c r="E81" s="599"/>
      <c r="F81" s="599"/>
      <c r="G81" s="599"/>
      <c r="H81" s="599"/>
      <c r="I81" s="598"/>
      <c r="J81" s="598"/>
      <c r="K81" s="598"/>
      <c r="L81" s="598"/>
      <c r="M81" s="600"/>
      <c r="N81" s="598"/>
      <c r="O81" s="598"/>
      <c r="P81" s="620"/>
      <c r="Q81" s="601"/>
      <c r="R81" s="601"/>
      <c r="S81" s="601"/>
      <c r="T81" s="598"/>
      <c r="U81" s="602"/>
      <c r="V81" s="602"/>
      <c r="W81" s="602"/>
      <c r="X81" s="602"/>
      <c r="Y81" s="621"/>
      <c r="Z81" s="602"/>
      <c r="AA81" s="602"/>
      <c r="AB81" s="602"/>
      <c r="AC81" s="602"/>
      <c r="AD81" s="621"/>
      <c r="AE81" s="602"/>
      <c r="AF81" s="602"/>
      <c r="AG81" s="621"/>
      <c r="AH81" s="598"/>
      <c r="AI81" s="619"/>
      <c r="AJ81" s="619"/>
      <c r="AK81" s="619"/>
      <c r="AL81" s="598"/>
      <c r="AM81" s="603"/>
      <c r="AN81" s="603"/>
      <c r="AO81" s="603"/>
      <c r="AP81" s="603"/>
      <c r="AQ81" s="603"/>
      <c r="AR81" s="603"/>
      <c r="AS81" s="603"/>
      <c r="AT81" s="603"/>
      <c r="AU81" s="603"/>
      <c r="AV81" s="603"/>
      <c r="AW81" s="622"/>
      <c r="AX81" s="603"/>
      <c r="AY81" s="603"/>
      <c r="AZ81" s="603"/>
      <c r="BA81" s="603"/>
      <c r="BB81" s="603"/>
      <c r="BC81" s="603"/>
      <c r="BD81" s="603"/>
      <c r="BE81" s="603"/>
      <c r="BF81" s="603"/>
      <c r="BG81" s="623"/>
      <c r="BH81" s="603"/>
      <c r="BI81" s="621"/>
      <c r="BJ81" s="621"/>
      <c r="BK81" s="621"/>
      <c r="BL81" s="621"/>
      <c r="BM81" s="621"/>
      <c r="BN81" s="621"/>
      <c r="BO81" s="621"/>
      <c r="BP81" s="621"/>
      <c r="BQ81" s="621"/>
      <c r="BR81" s="624"/>
      <c r="BS81" s="612"/>
      <c r="BT81" s="621"/>
      <c r="BU81" s="621"/>
      <c r="BV81" s="621"/>
      <c r="BW81" s="619"/>
      <c r="BX81" s="619"/>
      <c r="BY81" s="619"/>
      <c r="BZ81" s="603"/>
      <c r="CA81" s="117"/>
      <c r="CB81" s="603"/>
      <c r="CC81" s="619"/>
      <c r="CD81" s="619"/>
      <c r="CE81" s="619"/>
    </row>
    <row r="82" spans="2:83">
      <c r="B82" s="603"/>
      <c r="C82" s="598"/>
      <c r="D82" s="598"/>
      <c r="E82" s="599"/>
      <c r="F82" s="599"/>
      <c r="G82" s="599"/>
      <c r="H82" s="599"/>
      <c r="I82" s="598"/>
      <c r="J82" s="598"/>
      <c r="K82" s="598"/>
      <c r="L82" s="598"/>
      <c r="M82" s="600"/>
      <c r="N82" s="598"/>
      <c r="O82" s="598"/>
      <c r="P82" s="620"/>
      <c r="Q82" s="601"/>
      <c r="R82" s="601"/>
      <c r="S82" s="601"/>
      <c r="T82" s="598"/>
      <c r="U82" s="602"/>
      <c r="V82" s="602"/>
      <c r="W82" s="602"/>
      <c r="X82" s="602"/>
      <c r="Y82" s="621"/>
      <c r="Z82" s="602"/>
      <c r="AA82" s="602"/>
      <c r="AB82" s="602"/>
      <c r="AC82" s="602"/>
      <c r="AD82" s="621"/>
      <c r="AE82" s="602"/>
      <c r="AF82" s="602"/>
      <c r="AG82" s="621"/>
      <c r="AH82" s="598"/>
      <c r="AI82" s="619"/>
      <c r="AJ82" s="619"/>
      <c r="AK82" s="619"/>
      <c r="AL82" s="598"/>
      <c r="AM82" s="603"/>
      <c r="AN82" s="603"/>
      <c r="AO82" s="603"/>
      <c r="AP82" s="603"/>
      <c r="AQ82" s="603"/>
      <c r="AR82" s="603"/>
      <c r="AS82" s="603"/>
      <c r="AT82" s="603"/>
      <c r="AU82" s="603"/>
      <c r="AV82" s="603"/>
      <c r="AW82" s="622"/>
      <c r="AX82" s="603"/>
      <c r="AY82" s="603"/>
      <c r="AZ82" s="603"/>
      <c r="BA82" s="603"/>
      <c r="BB82" s="603"/>
      <c r="BC82" s="603"/>
      <c r="BD82" s="603"/>
      <c r="BE82" s="603"/>
      <c r="BF82" s="603"/>
      <c r="BG82" s="623"/>
      <c r="BH82" s="603"/>
      <c r="BI82" s="621"/>
      <c r="BJ82" s="621"/>
      <c r="BK82" s="621"/>
      <c r="BL82" s="621"/>
      <c r="BM82" s="621"/>
      <c r="BN82" s="621"/>
      <c r="BO82" s="621"/>
      <c r="BP82" s="621"/>
      <c r="BQ82" s="621"/>
      <c r="BR82" s="624"/>
      <c r="BS82" s="612"/>
      <c r="BT82" s="621"/>
      <c r="BU82" s="621"/>
      <c r="BV82" s="621"/>
      <c r="BW82" s="619"/>
      <c r="BX82" s="619"/>
      <c r="BY82" s="619"/>
      <c r="BZ82" s="603"/>
      <c r="CA82" s="117"/>
      <c r="CB82" s="603"/>
      <c r="CC82" s="619"/>
      <c r="CD82" s="619"/>
      <c r="CE82" s="619"/>
    </row>
    <row r="83" spans="2:83">
      <c r="B83" s="603"/>
      <c r="C83" s="598"/>
      <c r="D83" s="598"/>
      <c r="E83" s="599"/>
      <c r="F83" s="599"/>
      <c r="G83" s="599"/>
      <c r="H83" s="599"/>
      <c r="I83" s="598"/>
      <c r="J83" s="598"/>
      <c r="K83" s="598"/>
      <c r="L83" s="598"/>
      <c r="M83" s="600"/>
      <c r="N83" s="598"/>
      <c r="O83" s="598"/>
      <c r="P83" s="620"/>
      <c r="Q83" s="601"/>
      <c r="R83" s="601"/>
      <c r="S83" s="601"/>
      <c r="T83" s="598"/>
      <c r="U83" s="602"/>
      <c r="V83" s="602"/>
      <c r="W83" s="602"/>
      <c r="X83" s="602"/>
      <c r="Y83" s="621"/>
      <c r="Z83" s="602"/>
      <c r="AA83" s="602"/>
      <c r="AB83" s="602"/>
      <c r="AC83" s="602"/>
      <c r="AD83" s="621"/>
      <c r="AE83" s="602"/>
      <c r="AF83" s="602"/>
      <c r="AG83" s="621"/>
      <c r="AH83" s="598"/>
      <c r="AI83" s="619"/>
      <c r="AJ83" s="619"/>
      <c r="AK83" s="619"/>
      <c r="AL83" s="598"/>
      <c r="AM83" s="603"/>
      <c r="AN83" s="603"/>
      <c r="AO83" s="603"/>
      <c r="AP83" s="603"/>
      <c r="AQ83" s="603"/>
      <c r="AR83" s="603"/>
      <c r="AS83" s="603"/>
      <c r="AT83" s="603"/>
      <c r="AU83" s="603"/>
      <c r="AV83" s="603"/>
      <c r="AW83" s="622"/>
      <c r="AX83" s="603"/>
      <c r="AY83" s="603"/>
      <c r="AZ83" s="603"/>
      <c r="BA83" s="603"/>
      <c r="BB83" s="603"/>
      <c r="BC83" s="603"/>
      <c r="BD83" s="603"/>
      <c r="BE83" s="603"/>
      <c r="BF83" s="603"/>
      <c r="BG83" s="623"/>
      <c r="BH83" s="603"/>
      <c r="BI83" s="621"/>
      <c r="BJ83" s="621"/>
      <c r="BK83" s="621"/>
      <c r="BL83" s="621"/>
      <c r="BM83" s="621"/>
      <c r="BN83" s="621"/>
      <c r="BO83" s="621"/>
      <c r="BP83" s="621"/>
      <c r="BQ83" s="621"/>
      <c r="BR83" s="624"/>
      <c r="BS83" s="612"/>
      <c r="BT83" s="621"/>
      <c r="BU83" s="621"/>
      <c r="BV83" s="621"/>
      <c r="BW83" s="619"/>
      <c r="BX83" s="619"/>
      <c r="BY83" s="619"/>
      <c r="BZ83" s="603"/>
      <c r="CA83" s="117"/>
      <c r="CB83" s="603"/>
      <c r="CC83" s="619"/>
      <c r="CD83" s="619"/>
      <c r="CE83" s="619"/>
    </row>
    <row r="84" spans="2:83">
      <c r="B84" s="603"/>
      <c r="C84" s="598"/>
      <c r="D84" s="598"/>
      <c r="E84" s="599"/>
      <c r="F84" s="599"/>
      <c r="G84" s="599"/>
      <c r="H84" s="599"/>
      <c r="I84" s="598"/>
      <c r="J84" s="598"/>
      <c r="K84" s="598"/>
      <c r="L84" s="598"/>
      <c r="M84" s="600"/>
      <c r="N84" s="598"/>
      <c r="O84" s="598"/>
      <c r="P84" s="620"/>
      <c r="Q84" s="601"/>
      <c r="R84" s="601"/>
      <c r="S84" s="601"/>
      <c r="T84" s="598"/>
      <c r="U84" s="602"/>
      <c r="V84" s="602"/>
      <c r="W84" s="602"/>
      <c r="X84" s="602"/>
      <c r="Y84" s="621"/>
      <c r="Z84" s="602"/>
      <c r="AA84" s="602"/>
      <c r="AB84" s="602"/>
      <c r="AC84" s="602"/>
      <c r="AD84" s="621"/>
      <c r="AE84" s="602"/>
      <c r="AF84" s="602"/>
      <c r="AG84" s="621"/>
      <c r="AH84" s="598"/>
      <c r="AI84" s="619"/>
      <c r="AJ84" s="619"/>
      <c r="AK84" s="619"/>
      <c r="AL84" s="598"/>
      <c r="AM84" s="603"/>
      <c r="AN84" s="603"/>
      <c r="AO84" s="603"/>
      <c r="AP84" s="603"/>
      <c r="AQ84" s="603"/>
      <c r="AR84" s="603"/>
      <c r="AS84" s="603"/>
      <c r="AT84" s="603"/>
      <c r="AU84" s="603"/>
      <c r="AV84" s="603"/>
      <c r="AW84" s="622"/>
      <c r="AX84" s="603"/>
      <c r="AY84" s="603"/>
      <c r="AZ84" s="603"/>
      <c r="BA84" s="603"/>
      <c r="BB84" s="603"/>
      <c r="BC84" s="603"/>
      <c r="BD84" s="603"/>
      <c r="BE84" s="603"/>
      <c r="BF84" s="603"/>
      <c r="BG84" s="623"/>
      <c r="BH84" s="603"/>
      <c r="BI84" s="621"/>
      <c r="BJ84" s="621"/>
      <c r="BK84" s="621"/>
      <c r="BL84" s="621"/>
      <c r="BM84" s="621"/>
      <c r="BN84" s="621"/>
      <c r="BO84" s="621"/>
      <c r="BP84" s="621"/>
      <c r="BQ84" s="621"/>
      <c r="BR84" s="624"/>
      <c r="BS84" s="612"/>
      <c r="BT84" s="621"/>
      <c r="BU84" s="621"/>
      <c r="BV84" s="621"/>
      <c r="BW84" s="619"/>
      <c r="BX84" s="619"/>
      <c r="BY84" s="619"/>
      <c r="BZ84" s="603"/>
      <c r="CA84" s="117"/>
      <c r="CB84" s="603"/>
      <c r="CC84" s="619"/>
      <c r="CD84" s="619"/>
      <c r="CE84" s="619"/>
    </row>
    <row r="85" spans="2:83">
      <c r="B85" s="603"/>
      <c r="C85" s="598"/>
      <c r="D85" s="598"/>
      <c r="E85" s="599"/>
      <c r="F85" s="599"/>
      <c r="G85" s="599"/>
      <c r="H85" s="599"/>
      <c r="I85" s="598"/>
      <c r="J85" s="598"/>
      <c r="K85" s="598"/>
      <c r="L85" s="598"/>
      <c r="M85" s="600"/>
      <c r="N85" s="598"/>
      <c r="O85" s="598"/>
      <c r="P85" s="620"/>
      <c r="Q85" s="601"/>
      <c r="R85" s="601"/>
      <c r="S85" s="601"/>
      <c r="T85" s="598"/>
      <c r="U85" s="602"/>
      <c r="V85" s="602"/>
      <c r="W85" s="602"/>
      <c r="X85" s="602"/>
      <c r="Y85" s="621"/>
      <c r="Z85" s="602"/>
      <c r="AA85" s="602"/>
      <c r="AB85" s="602"/>
      <c r="AC85" s="602"/>
      <c r="AD85" s="621"/>
      <c r="AE85" s="602"/>
      <c r="AF85" s="602"/>
      <c r="AG85" s="621"/>
      <c r="AH85" s="598"/>
      <c r="AI85" s="619"/>
      <c r="AJ85" s="619"/>
      <c r="AK85" s="619"/>
      <c r="AL85" s="598"/>
      <c r="AM85" s="603"/>
      <c r="AN85" s="603"/>
      <c r="AO85" s="603"/>
      <c r="AP85" s="603"/>
      <c r="AQ85" s="603"/>
      <c r="AR85" s="603"/>
      <c r="AS85" s="603"/>
      <c r="AT85" s="603"/>
      <c r="AU85" s="603"/>
      <c r="AV85" s="603"/>
      <c r="AW85" s="622"/>
      <c r="AX85" s="603"/>
      <c r="AY85" s="603"/>
      <c r="AZ85" s="603"/>
      <c r="BA85" s="603"/>
      <c r="BB85" s="603"/>
      <c r="BC85" s="603"/>
      <c r="BD85" s="603"/>
      <c r="BE85" s="603"/>
      <c r="BF85" s="603"/>
      <c r="BG85" s="623"/>
      <c r="BH85" s="603"/>
      <c r="BI85" s="621"/>
      <c r="BJ85" s="621"/>
      <c r="BK85" s="621"/>
      <c r="BL85" s="621"/>
      <c r="BM85" s="621"/>
      <c r="BN85" s="621"/>
      <c r="BO85" s="621"/>
      <c r="BP85" s="621"/>
      <c r="BQ85" s="621"/>
      <c r="BR85" s="624"/>
      <c r="BS85" s="612"/>
      <c r="BT85" s="621"/>
      <c r="BU85" s="621"/>
      <c r="BV85" s="621"/>
      <c r="BW85" s="619"/>
      <c r="BX85" s="619"/>
      <c r="BY85" s="619"/>
      <c r="BZ85" s="603"/>
      <c r="CA85" s="117"/>
      <c r="CB85" s="603"/>
      <c r="CC85" s="619"/>
      <c r="CD85" s="619"/>
      <c r="CE85" s="619"/>
    </row>
    <row r="86" spans="2:83">
      <c r="B86" s="603"/>
      <c r="C86" s="598"/>
      <c r="D86" s="598"/>
      <c r="E86" s="599"/>
      <c r="F86" s="599"/>
      <c r="G86" s="599"/>
      <c r="H86" s="599"/>
      <c r="I86" s="598"/>
      <c r="J86" s="598"/>
      <c r="K86" s="598"/>
      <c r="L86" s="598"/>
      <c r="M86" s="600"/>
      <c r="N86" s="598"/>
      <c r="O86" s="598"/>
      <c r="P86" s="620"/>
      <c r="Q86" s="601"/>
      <c r="R86" s="601"/>
      <c r="S86" s="601"/>
      <c r="T86" s="598"/>
      <c r="U86" s="602"/>
      <c r="V86" s="602"/>
      <c r="W86" s="602"/>
      <c r="X86" s="602"/>
      <c r="Y86" s="621"/>
      <c r="Z86" s="602"/>
      <c r="AA86" s="602"/>
      <c r="AB86" s="602"/>
      <c r="AC86" s="602"/>
      <c r="AD86" s="621"/>
      <c r="AE86" s="602"/>
      <c r="AF86" s="602"/>
      <c r="AG86" s="621"/>
      <c r="AH86" s="598"/>
      <c r="AI86" s="619"/>
      <c r="AJ86" s="619"/>
      <c r="AK86" s="619"/>
      <c r="AL86" s="598"/>
      <c r="AM86" s="603"/>
      <c r="AN86" s="603"/>
      <c r="AO86" s="603"/>
      <c r="AP86" s="603"/>
      <c r="AQ86" s="603"/>
      <c r="AR86" s="603"/>
      <c r="AS86" s="603"/>
      <c r="AT86" s="603"/>
      <c r="AU86" s="603"/>
      <c r="AV86" s="603"/>
      <c r="AW86" s="622"/>
      <c r="AX86" s="603"/>
      <c r="AY86" s="603"/>
      <c r="AZ86" s="603"/>
      <c r="BA86" s="603"/>
      <c r="BB86" s="603"/>
      <c r="BC86" s="603"/>
      <c r="BD86" s="603"/>
      <c r="BE86" s="603"/>
      <c r="BF86" s="603"/>
      <c r="BG86" s="623"/>
      <c r="BH86" s="603"/>
      <c r="BI86" s="621"/>
      <c r="BJ86" s="621"/>
      <c r="BK86" s="621"/>
      <c r="BL86" s="621"/>
      <c r="BM86" s="621"/>
      <c r="BN86" s="621"/>
      <c r="BO86" s="621"/>
      <c r="BP86" s="621"/>
      <c r="BQ86" s="621"/>
      <c r="BR86" s="624"/>
      <c r="BS86" s="612"/>
      <c r="BT86" s="621"/>
      <c r="BU86" s="621"/>
      <c r="BV86" s="621"/>
      <c r="BW86" s="619"/>
      <c r="BX86" s="619"/>
      <c r="BY86" s="619"/>
      <c r="BZ86" s="603"/>
      <c r="CA86" s="117"/>
      <c r="CB86" s="603"/>
      <c r="CC86" s="619"/>
      <c r="CD86" s="619"/>
      <c r="CE86" s="619"/>
    </row>
    <row r="87" spans="2:83">
      <c r="B87" s="603"/>
      <c r="C87" s="598"/>
      <c r="D87" s="598"/>
      <c r="E87" s="599"/>
      <c r="F87" s="599"/>
      <c r="G87" s="599"/>
      <c r="H87" s="599"/>
      <c r="I87" s="598"/>
      <c r="J87" s="598"/>
      <c r="K87" s="598"/>
      <c r="L87" s="598"/>
      <c r="M87" s="600"/>
      <c r="N87" s="598"/>
      <c r="O87" s="598"/>
      <c r="P87" s="620"/>
      <c r="Q87" s="601"/>
      <c r="R87" s="601"/>
      <c r="S87" s="601"/>
      <c r="T87" s="598"/>
      <c r="U87" s="602"/>
      <c r="V87" s="602"/>
      <c r="W87" s="602"/>
      <c r="X87" s="602"/>
      <c r="Y87" s="621"/>
      <c r="Z87" s="602"/>
      <c r="AA87" s="602"/>
      <c r="AB87" s="602"/>
      <c r="AC87" s="602"/>
      <c r="AD87" s="621"/>
      <c r="AE87" s="602"/>
      <c r="AF87" s="602"/>
      <c r="AG87" s="621"/>
      <c r="AH87" s="598"/>
      <c r="AI87" s="619"/>
      <c r="AJ87" s="619"/>
      <c r="AK87" s="619"/>
      <c r="AL87" s="598"/>
      <c r="AM87" s="603"/>
      <c r="AN87" s="603"/>
      <c r="AO87" s="603"/>
      <c r="AP87" s="603"/>
      <c r="AQ87" s="603"/>
      <c r="AR87" s="603"/>
      <c r="AS87" s="603"/>
      <c r="AT87" s="603"/>
      <c r="AU87" s="603"/>
      <c r="AV87" s="603"/>
      <c r="AW87" s="622"/>
      <c r="AX87" s="603"/>
      <c r="AY87" s="603"/>
      <c r="AZ87" s="603"/>
      <c r="BA87" s="603"/>
      <c r="BB87" s="603"/>
      <c r="BC87" s="603"/>
      <c r="BD87" s="603"/>
      <c r="BE87" s="603"/>
      <c r="BF87" s="603"/>
      <c r="BG87" s="623"/>
      <c r="BH87" s="603"/>
      <c r="BI87" s="621"/>
      <c r="BJ87" s="621"/>
      <c r="BK87" s="621"/>
      <c r="BL87" s="621"/>
      <c r="BM87" s="621"/>
      <c r="BN87" s="621"/>
      <c r="BO87" s="621"/>
      <c r="BP87" s="621"/>
      <c r="BQ87" s="621"/>
      <c r="BR87" s="624"/>
      <c r="BS87" s="612"/>
      <c r="BT87" s="621"/>
      <c r="BU87" s="621"/>
      <c r="BV87" s="621"/>
      <c r="BW87" s="619"/>
      <c r="BX87" s="619"/>
      <c r="BY87" s="619"/>
      <c r="BZ87" s="603"/>
      <c r="CA87" s="117"/>
      <c r="CB87" s="603"/>
      <c r="CC87" s="619"/>
      <c r="CD87" s="619"/>
      <c r="CE87" s="619"/>
    </row>
    <row r="88" spans="2:83">
      <c r="B88" s="603"/>
      <c r="C88" s="598"/>
      <c r="D88" s="598"/>
      <c r="E88" s="599"/>
      <c r="F88" s="599"/>
      <c r="G88" s="599"/>
      <c r="H88" s="599"/>
      <c r="I88" s="598"/>
      <c r="J88" s="598"/>
      <c r="K88" s="598"/>
      <c r="L88" s="598"/>
      <c r="M88" s="600"/>
      <c r="N88" s="598"/>
      <c r="O88" s="598"/>
      <c r="P88" s="620"/>
      <c r="Q88" s="601"/>
      <c r="R88" s="601"/>
      <c r="S88" s="601"/>
      <c r="T88" s="598"/>
      <c r="U88" s="602"/>
      <c r="V88" s="602"/>
      <c r="W88" s="602"/>
      <c r="X88" s="602"/>
      <c r="Y88" s="621"/>
      <c r="Z88" s="602"/>
      <c r="AA88" s="602"/>
      <c r="AB88" s="602"/>
      <c r="AC88" s="602"/>
      <c r="AD88" s="621"/>
      <c r="AE88" s="602"/>
      <c r="AF88" s="602"/>
      <c r="AG88" s="621"/>
      <c r="AH88" s="598"/>
      <c r="AI88" s="619"/>
      <c r="AJ88" s="619"/>
      <c r="AK88" s="619"/>
      <c r="AL88" s="598"/>
      <c r="AM88" s="603"/>
      <c r="AN88" s="603"/>
      <c r="AO88" s="603"/>
      <c r="AP88" s="603"/>
      <c r="AQ88" s="603"/>
      <c r="AR88" s="603"/>
      <c r="AS88" s="603"/>
      <c r="AT88" s="603"/>
      <c r="AU88" s="603"/>
      <c r="AV88" s="603"/>
      <c r="AW88" s="622"/>
      <c r="AX88" s="603"/>
      <c r="AY88" s="603"/>
      <c r="AZ88" s="603"/>
      <c r="BA88" s="603"/>
      <c r="BB88" s="603"/>
      <c r="BC88" s="603"/>
      <c r="BD88" s="603"/>
      <c r="BE88" s="603"/>
      <c r="BF88" s="603"/>
      <c r="BG88" s="623"/>
      <c r="BH88" s="603"/>
      <c r="BI88" s="621"/>
      <c r="BJ88" s="621"/>
      <c r="BK88" s="621"/>
      <c r="BL88" s="621"/>
      <c r="BM88" s="621"/>
      <c r="BN88" s="621"/>
      <c r="BO88" s="621"/>
      <c r="BP88" s="621"/>
      <c r="BQ88" s="621"/>
      <c r="BR88" s="624"/>
      <c r="BS88" s="612"/>
      <c r="BT88" s="621"/>
      <c r="BU88" s="621"/>
      <c r="BV88" s="621"/>
      <c r="BW88" s="619"/>
      <c r="BX88" s="619"/>
      <c r="BY88" s="619"/>
      <c r="BZ88" s="603"/>
      <c r="CA88" s="117"/>
      <c r="CB88" s="603"/>
      <c r="CC88" s="619"/>
      <c r="CD88" s="619"/>
      <c r="CE88" s="619"/>
    </row>
    <row r="89" spans="2:83">
      <c r="B89" s="603"/>
      <c r="C89" s="598"/>
      <c r="D89" s="598"/>
      <c r="E89" s="599"/>
      <c r="F89" s="599"/>
      <c r="G89" s="599"/>
      <c r="H89" s="599"/>
      <c r="I89" s="598"/>
      <c r="J89" s="598"/>
      <c r="K89" s="598"/>
      <c r="L89" s="598"/>
      <c r="M89" s="600"/>
      <c r="N89" s="598"/>
      <c r="O89" s="598"/>
      <c r="P89" s="620"/>
      <c r="Q89" s="601"/>
      <c r="R89" s="601"/>
      <c r="S89" s="601"/>
      <c r="T89" s="598"/>
      <c r="U89" s="602"/>
      <c r="V89" s="602"/>
      <c r="W89" s="602"/>
      <c r="X89" s="602"/>
      <c r="Y89" s="621"/>
      <c r="Z89" s="602"/>
      <c r="AA89" s="602"/>
      <c r="AB89" s="602"/>
      <c r="AC89" s="602"/>
      <c r="AD89" s="621"/>
      <c r="AE89" s="602"/>
      <c r="AF89" s="602"/>
      <c r="AG89" s="621"/>
      <c r="AH89" s="598"/>
      <c r="AI89" s="619"/>
      <c r="AJ89" s="619"/>
      <c r="AK89" s="619"/>
      <c r="AL89" s="598"/>
      <c r="AM89" s="603"/>
      <c r="AN89" s="603"/>
      <c r="AO89" s="603"/>
      <c r="AP89" s="603"/>
      <c r="AQ89" s="603"/>
      <c r="AR89" s="603"/>
      <c r="AS89" s="603"/>
      <c r="AT89" s="603"/>
      <c r="AU89" s="603"/>
      <c r="AV89" s="603"/>
      <c r="AW89" s="622"/>
      <c r="AX89" s="603"/>
      <c r="AY89" s="603"/>
      <c r="AZ89" s="603"/>
      <c r="BA89" s="603"/>
      <c r="BB89" s="603"/>
      <c r="BC89" s="603"/>
      <c r="BD89" s="603"/>
      <c r="BE89" s="603"/>
      <c r="BF89" s="603"/>
      <c r="BG89" s="623"/>
      <c r="BH89" s="603"/>
      <c r="BI89" s="621"/>
      <c r="BJ89" s="621"/>
      <c r="BK89" s="621"/>
      <c r="BL89" s="621"/>
      <c r="BM89" s="621"/>
      <c r="BN89" s="621"/>
      <c r="BO89" s="621"/>
      <c r="BP89" s="621"/>
      <c r="BQ89" s="621"/>
      <c r="BR89" s="624"/>
      <c r="BS89" s="612"/>
      <c r="BT89" s="621"/>
      <c r="BU89" s="621"/>
      <c r="BV89" s="621"/>
      <c r="BW89" s="619"/>
      <c r="BX89" s="619"/>
      <c r="BY89" s="619"/>
      <c r="BZ89" s="603"/>
      <c r="CA89" s="117"/>
      <c r="CB89" s="603"/>
      <c r="CC89" s="619"/>
      <c r="CD89" s="619"/>
      <c r="CE89" s="619"/>
    </row>
    <row r="90" spans="2:83">
      <c r="B90" s="603"/>
      <c r="C90" s="598"/>
      <c r="D90" s="598"/>
      <c r="E90" s="599"/>
      <c r="F90" s="599"/>
      <c r="G90" s="599"/>
      <c r="H90" s="599"/>
      <c r="I90" s="598"/>
      <c r="J90" s="598"/>
      <c r="K90" s="598"/>
      <c r="L90" s="598"/>
      <c r="M90" s="600"/>
      <c r="N90" s="598"/>
      <c r="O90" s="598"/>
      <c r="P90" s="620"/>
      <c r="Q90" s="601"/>
      <c r="R90" s="601"/>
      <c r="S90" s="601"/>
      <c r="T90" s="598"/>
      <c r="U90" s="602"/>
      <c r="V90" s="602"/>
      <c r="W90" s="602"/>
      <c r="X90" s="602"/>
      <c r="Y90" s="621"/>
      <c r="Z90" s="602"/>
      <c r="AA90" s="602"/>
      <c r="AB90" s="602"/>
      <c r="AC90" s="602"/>
      <c r="AD90" s="621"/>
      <c r="AE90" s="602"/>
      <c r="AF90" s="602"/>
      <c r="AG90" s="621"/>
      <c r="AH90" s="598"/>
      <c r="AI90" s="619"/>
      <c r="AJ90" s="619"/>
      <c r="AK90" s="619"/>
      <c r="AL90" s="598"/>
      <c r="AM90" s="603"/>
      <c r="AN90" s="603"/>
      <c r="AO90" s="603"/>
      <c r="AP90" s="603"/>
      <c r="AQ90" s="603"/>
      <c r="AR90" s="603"/>
      <c r="AS90" s="603"/>
      <c r="AT90" s="603"/>
      <c r="AU90" s="603"/>
      <c r="AV90" s="603"/>
      <c r="AW90" s="622"/>
      <c r="AX90" s="603"/>
      <c r="AY90" s="603"/>
      <c r="AZ90" s="603"/>
      <c r="BA90" s="603"/>
      <c r="BB90" s="603"/>
      <c r="BC90" s="603"/>
      <c r="BD90" s="603"/>
      <c r="BE90" s="603"/>
      <c r="BF90" s="603"/>
      <c r="BG90" s="623"/>
      <c r="BH90" s="603"/>
      <c r="BI90" s="621"/>
      <c r="BJ90" s="621"/>
      <c r="BK90" s="621"/>
      <c r="BL90" s="621"/>
      <c r="BM90" s="621"/>
      <c r="BN90" s="621"/>
      <c r="BO90" s="621"/>
      <c r="BP90" s="621"/>
      <c r="BQ90" s="621"/>
      <c r="BR90" s="624"/>
      <c r="BS90" s="612"/>
      <c r="BT90" s="621"/>
      <c r="BU90" s="621"/>
      <c r="BV90" s="621"/>
      <c r="BW90" s="619"/>
      <c r="BX90" s="619"/>
      <c r="BY90" s="619"/>
      <c r="BZ90" s="603"/>
      <c r="CA90" s="117"/>
      <c r="CB90" s="603"/>
      <c r="CC90" s="619"/>
      <c r="CD90" s="619"/>
      <c r="CE90" s="619"/>
    </row>
    <row r="91" spans="2:83">
      <c r="B91" s="603"/>
      <c r="C91" s="598"/>
      <c r="D91" s="598"/>
      <c r="E91" s="599"/>
      <c r="F91" s="599"/>
      <c r="G91" s="599"/>
      <c r="H91" s="599"/>
      <c r="I91" s="598"/>
      <c r="J91" s="598"/>
      <c r="K91" s="598"/>
      <c r="L91" s="598"/>
      <c r="M91" s="600"/>
      <c r="N91" s="598"/>
      <c r="O91" s="598"/>
      <c r="P91" s="620"/>
      <c r="Q91" s="601"/>
      <c r="R91" s="601"/>
      <c r="S91" s="601"/>
      <c r="T91" s="598"/>
      <c r="U91" s="602"/>
      <c r="V91" s="602"/>
      <c r="W91" s="602"/>
      <c r="X91" s="602"/>
      <c r="Y91" s="621"/>
      <c r="Z91" s="602"/>
      <c r="AA91" s="602"/>
      <c r="AB91" s="602"/>
      <c r="AC91" s="602"/>
      <c r="AD91" s="621"/>
      <c r="AE91" s="602"/>
      <c r="AF91" s="602"/>
      <c r="AG91" s="621"/>
      <c r="AH91" s="598"/>
      <c r="AI91" s="619"/>
      <c r="AJ91" s="619"/>
      <c r="AK91" s="619"/>
      <c r="AL91" s="598"/>
      <c r="AM91" s="603"/>
      <c r="AN91" s="603"/>
      <c r="AO91" s="603"/>
      <c r="AP91" s="603"/>
      <c r="AQ91" s="603"/>
      <c r="AR91" s="603"/>
      <c r="AS91" s="603"/>
      <c r="AT91" s="603"/>
      <c r="AU91" s="603"/>
      <c r="AV91" s="603"/>
      <c r="AW91" s="622"/>
      <c r="AX91" s="603"/>
      <c r="AY91" s="603"/>
      <c r="AZ91" s="603"/>
      <c r="BA91" s="603"/>
      <c r="BB91" s="603"/>
      <c r="BC91" s="603"/>
      <c r="BD91" s="603"/>
      <c r="BE91" s="603"/>
      <c r="BF91" s="603"/>
      <c r="BG91" s="623"/>
      <c r="BH91" s="603"/>
      <c r="BI91" s="621"/>
      <c r="BJ91" s="621"/>
      <c r="BK91" s="621"/>
      <c r="BL91" s="621"/>
      <c r="BM91" s="621"/>
      <c r="BN91" s="621"/>
      <c r="BO91" s="621"/>
      <c r="BP91" s="621"/>
      <c r="BQ91" s="621"/>
      <c r="BR91" s="624"/>
      <c r="BS91" s="612"/>
      <c r="BT91" s="621"/>
      <c r="BU91" s="621"/>
      <c r="BV91" s="621"/>
      <c r="BW91" s="619"/>
      <c r="BX91" s="619"/>
      <c r="BY91" s="619"/>
      <c r="BZ91" s="603"/>
      <c r="CA91" s="117"/>
      <c r="CB91" s="603"/>
      <c r="CC91" s="619"/>
      <c r="CD91" s="619"/>
      <c r="CE91" s="619"/>
    </row>
    <row r="92" spans="2:83">
      <c r="B92" s="603"/>
      <c r="C92" s="598"/>
      <c r="D92" s="598"/>
      <c r="E92" s="599"/>
      <c r="F92" s="599"/>
      <c r="G92" s="599"/>
      <c r="H92" s="599"/>
      <c r="I92" s="598"/>
      <c r="J92" s="598"/>
      <c r="K92" s="598"/>
      <c r="L92" s="598"/>
      <c r="M92" s="600"/>
      <c r="N92" s="598"/>
      <c r="O92" s="598"/>
      <c r="P92" s="620"/>
      <c r="Q92" s="601"/>
      <c r="R92" s="601"/>
      <c r="S92" s="601"/>
      <c r="T92" s="598"/>
      <c r="U92" s="602"/>
      <c r="V92" s="602"/>
      <c r="W92" s="602"/>
      <c r="X92" s="602"/>
      <c r="Y92" s="621"/>
      <c r="Z92" s="602"/>
      <c r="AA92" s="602"/>
      <c r="AB92" s="602"/>
      <c r="AC92" s="602"/>
      <c r="AD92" s="621"/>
      <c r="AE92" s="602"/>
      <c r="AF92" s="602"/>
      <c r="AG92" s="621"/>
      <c r="AH92" s="598"/>
      <c r="AI92" s="619"/>
      <c r="AJ92" s="619"/>
      <c r="AK92" s="619"/>
      <c r="AL92" s="598"/>
      <c r="AM92" s="603"/>
      <c r="AN92" s="603"/>
      <c r="AO92" s="603"/>
      <c r="AP92" s="603"/>
      <c r="AQ92" s="603"/>
      <c r="AR92" s="603"/>
      <c r="AS92" s="603"/>
      <c r="AT92" s="603"/>
      <c r="AU92" s="603"/>
      <c r="AV92" s="603"/>
      <c r="AW92" s="622"/>
      <c r="AX92" s="603"/>
      <c r="AY92" s="603"/>
      <c r="AZ92" s="603"/>
      <c r="BA92" s="603"/>
      <c r="BB92" s="603"/>
      <c r="BC92" s="603"/>
      <c r="BD92" s="603"/>
      <c r="BE92" s="603"/>
      <c r="BF92" s="603"/>
      <c r="BG92" s="623"/>
      <c r="BH92" s="603"/>
      <c r="BI92" s="621"/>
      <c r="BJ92" s="621"/>
      <c r="BK92" s="621"/>
      <c r="BL92" s="621"/>
      <c r="BM92" s="621"/>
      <c r="BN92" s="621"/>
      <c r="BO92" s="621"/>
      <c r="BP92" s="621"/>
      <c r="BQ92" s="621"/>
      <c r="BR92" s="624"/>
      <c r="BS92" s="612"/>
      <c r="BT92" s="621"/>
      <c r="BU92" s="621"/>
      <c r="BV92" s="621"/>
      <c r="BW92" s="619"/>
      <c r="BX92" s="619"/>
      <c r="BY92" s="619"/>
      <c r="BZ92" s="603"/>
      <c r="CA92" s="117"/>
      <c r="CB92" s="603"/>
      <c r="CC92" s="619"/>
      <c r="CD92" s="619"/>
      <c r="CE92" s="619"/>
    </row>
    <row r="93" spans="2:83">
      <c r="B93" s="603"/>
      <c r="C93" s="598"/>
      <c r="D93" s="598"/>
      <c r="E93" s="599"/>
      <c r="F93" s="599"/>
      <c r="G93" s="599"/>
      <c r="H93" s="599"/>
      <c r="I93" s="598"/>
      <c r="J93" s="598"/>
      <c r="K93" s="598"/>
      <c r="L93" s="598"/>
      <c r="M93" s="600"/>
      <c r="N93" s="598"/>
      <c r="O93" s="598"/>
      <c r="P93" s="620"/>
      <c r="Q93" s="601"/>
      <c r="R93" s="601"/>
      <c r="S93" s="601"/>
      <c r="T93" s="598"/>
      <c r="U93" s="602"/>
      <c r="V93" s="602"/>
      <c r="W93" s="602"/>
      <c r="X93" s="602"/>
      <c r="Y93" s="621"/>
      <c r="Z93" s="602"/>
      <c r="AA93" s="602"/>
      <c r="AB93" s="602"/>
      <c r="AC93" s="602"/>
      <c r="AD93" s="621"/>
      <c r="AE93" s="602"/>
      <c r="AF93" s="602"/>
      <c r="AG93" s="621"/>
      <c r="AH93" s="598"/>
      <c r="AI93" s="619"/>
      <c r="AJ93" s="619"/>
      <c r="AK93" s="619"/>
      <c r="AL93" s="598"/>
      <c r="AM93" s="603"/>
      <c r="AN93" s="603"/>
      <c r="AO93" s="603"/>
      <c r="AP93" s="603"/>
      <c r="AQ93" s="603"/>
      <c r="AR93" s="603"/>
      <c r="AS93" s="603"/>
      <c r="AT93" s="603"/>
      <c r="AU93" s="603"/>
      <c r="AV93" s="603"/>
      <c r="AW93" s="622"/>
      <c r="AX93" s="603"/>
      <c r="AY93" s="603"/>
      <c r="AZ93" s="603"/>
      <c r="BA93" s="603"/>
      <c r="BB93" s="603"/>
      <c r="BC93" s="603"/>
      <c r="BD93" s="603"/>
      <c r="BE93" s="603"/>
      <c r="BF93" s="603"/>
      <c r="BG93" s="623"/>
      <c r="BH93" s="603"/>
      <c r="BI93" s="621"/>
      <c r="BJ93" s="621"/>
      <c r="BK93" s="621"/>
      <c r="BL93" s="621"/>
      <c r="BM93" s="621"/>
      <c r="BN93" s="621"/>
      <c r="BO93" s="621"/>
      <c r="BP93" s="621"/>
      <c r="BQ93" s="621"/>
      <c r="BR93" s="624"/>
      <c r="BS93" s="612"/>
      <c r="BT93" s="621"/>
      <c r="BU93" s="621"/>
      <c r="BV93" s="621"/>
      <c r="BW93" s="619"/>
      <c r="BX93" s="619"/>
      <c r="BY93" s="619"/>
      <c r="BZ93" s="603"/>
      <c r="CA93" s="117"/>
      <c r="CB93" s="603"/>
      <c r="CC93" s="619"/>
      <c r="CD93" s="619"/>
      <c r="CE93" s="619"/>
    </row>
    <row r="94" spans="2:83">
      <c r="B94" s="603"/>
      <c r="C94" s="598"/>
      <c r="D94" s="598"/>
      <c r="E94" s="599"/>
      <c r="F94" s="599"/>
      <c r="G94" s="599"/>
      <c r="H94" s="599"/>
      <c r="I94" s="598"/>
      <c r="J94" s="598"/>
      <c r="K94" s="598"/>
      <c r="L94" s="598"/>
      <c r="M94" s="600"/>
      <c r="N94" s="598"/>
      <c r="O94" s="598"/>
      <c r="P94" s="620"/>
      <c r="Q94" s="601"/>
      <c r="R94" s="601"/>
      <c r="S94" s="601"/>
      <c r="T94" s="598"/>
      <c r="U94" s="602"/>
      <c r="V94" s="602"/>
      <c r="W94" s="602"/>
      <c r="X94" s="602"/>
      <c r="Y94" s="621"/>
      <c r="Z94" s="602"/>
      <c r="AA94" s="602"/>
      <c r="AB94" s="602"/>
      <c r="AC94" s="602"/>
      <c r="AD94" s="621"/>
      <c r="AE94" s="602"/>
      <c r="AF94" s="602"/>
      <c r="AG94" s="621"/>
      <c r="AH94" s="598"/>
      <c r="AI94" s="619"/>
      <c r="AJ94" s="619"/>
      <c r="AK94" s="619"/>
      <c r="AL94" s="598"/>
      <c r="AM94" s="603"/>
      <c r="AN94" s="603"/>
      <c r="AO94" s="603"/>
      <c r="AP94" s="603"/>
      <c r="AQ94" s="603"/>
      <c r="AR94" s="603"/>
      <c r="AS94" s="603"/>
      <c r="AT94" s="603"/>
      <c r="AU94" s="603"/>
      <c r="AV94" s="603"/>
      <c r="AW94" s="622"/>
      <c r="AX94" s="603"/>
      <c r="AY94" s="603"/>
      <c r="AZ94" s="603"/>
      <c r="BA94" s="603"/>
      <c r="BB94" s="603"/>
      <c r="BC94" s="603"/>
      <c r="BD94" s="603"/>
      <c r="BE94" s="603"/>
      <c r="BF94" s="603"/>
      <c r="BG94" s="623"/>
      <c r="BH94" s="603"/>
      <c r="BI94" s="621"/>
      <c r="BJ94" s="621"/>
      <c r="BK94" s="621"/>
      <c r="BL94" s="621"/>
      <c r="BM94" s="621"/>
      <c r="BN94" s="621"/>
      <c r="BO94" s="621"/>
      <c r="BP94" s="621"/>
      <c r="BQ94" s="621"/>
      <c r="BR94" s="624"/>
      <c r="BS94" s="612"/>
      <c r="BT94" s="621"/>
      <c r="BU94" s="621"/>
      <c r="BV94" s="621"/>
      <c r="BW94" s="619"/>
      <c r="BX94" s="619"/>
      <c r="BY94" s="619"/>
      <c r="BZ94" s="603"/>
      <c r="CA94" s="117"/>
      <c r="CB94" s="603"/>
      <c r="CC94" s="619"/>
      <c r="CD94" s="619"/>
      <c r="CE94" s="619"/>
    </row>
    <row r="95" spans="2:83">
      <c r="B95" s="603"/>
      <c r="C95" s="598"/>
      <c r="D95" s="598"/>
      <c r="E95" s="599"/>
      <c r="F95" s="599"/>
      <c r="G95" s="599"/>
      <c r="H95" s="599"/>
      <c r="I95" s="598"/>
      <c r="J95" s="598"/>
      <c r="K95" s="598"/>
      <c r="L95" s="598"/>
      <c r="M95" s="600"/>
      <c r="N95" s="598"/>
      <c r="O95" s="598"/>
      <c r="P95" s="620"/>
      <c r="Q95" s="601"/>
      <c r="R95" s="601"/>
      <c r="S95" s="601"/>
      <c r="T95" s="598"/>
      <c r="U95" s="602"/>
      <c r="V95" s="602"/>
      <c r="W95" s="602"/>
      <c r="X95" s="602"/>
      <c r="Y95" s="621"/>
      <c r="Z95" s="602"/>
      <c r="AA95" s="602"/>
      <c r="AB95" s="602"/>
      <c r="AC95" s="602"/>
      <c r="AD95" s="621"/>
      <c r="AE95" s="602"/>
      <c r="AF95" s="602"/>
      <c r="AG95" s="621"/>
      <c r="AH95" s="598"/>
      <c r="AI95" s="619"/>
      <c r="AJ95" s="619"/>
      <c r="AK95" s="619"/>
      <c r="AL95" s="598"/>
      <c r="AM95" s="603"/>
      <c r="AN95" s="603"/>
      <c r="AO95" s="603"/>
      <c r="AP95" s="603"/>
      <c r="AQ95" s="603"/>
      <c r="AR95" s="603"/>
      <c r="AS95" s="603"/>
      <c r="AT95" s="603"/>
      <c r="AU95" s="603"/>
      <c r="AV95" s="603"/>
      <c r="AW95" s="622"/>
      <c r="AX95" s="603"/>
      <c r="AY95" s="603"/>
      <c r="AZ95" s="603"/>
      <c r="BA95" s="603"/>
      <c r="BB95" s="603"/>
      <c r="BC95" s="603"/>
      <c r="BD95" s="603"/>
      <c r="BE95" s="603"/>
      <c r="BF95" s="603"/>
      <c r="BG95" s="623"/>
      <c r="BH95" s="603"/>
      <c r="BI95" s="621"/>
      <c r="BJ95" s="621"/>
      <c r="BK95" s="621"/>
      <c r="BL95" s="621"/>
      <c r="BM95" s="621"/>
      <c r="BN95" s="621"/>
      <c r="BO95" s="621"/>
      <c r="BP95" s="621"/>
      <c r="BQ95" s="621"/>
      <c r="BR95" s="624"/>
      <c r="BS95" s="612"/>
      <c r="BT95" s="621"/>
      <c r="BU95" s="621"/>
      <c r="BV95" s="621"/>
      <c r="BW95" s="619"/>
      <c r="BX95" s="619"/>
      <c r="BY95" s="619"/>
      <c r="BZ95" s="603"/>
      <c r="CA95" s="117"/>
      <c r="CB95" s="603"/>
      <c r="CC95" s="619"/>
      <c r="CD95" s="619"/>
      <c r="CE95" s="619"/>
    </row>
    <row r="96" spans="2:83">
      <c r="B96" s="603"/>
      <c r="C96" s="598"/>
      <c r="D96" s="598"/>
      <c r="E96" s="599"/>
      <c r="F96" s="599"/>
      <c r="G96" s="599"/>
      <c r="H96" s="599"/>
      <c r="I96" s="598"/>
      <c r="J96" s="598"/>
      <c r="K96" s="598"/>
      <c r="L96" s="598"/>
      <c r="M96" s="600"/>
      <c r="N96" s="598"/>
      <c r="O96" s="598"/>
      <c r="P96" s="620"/>
      <c r="Q96" s="601"/>
      <c r="R96" s="601"/>
      <c r="S96" s="601"/>
      <c r="T96" s="598"/>
      <c r="U96" s="602"/>
      <c r="V96" s="602"/>
      <c r="W96" s="602"/>
      <c r="X96" s="602"/>
      <c r="Y96" s="621"/>
      <c r="Z96" s="602"/>
      <c r="AA96" s="602"/>
      <c r="AB96" s="602"/>
      <c r="AC96" s="602"/>
      <c r="AD96" s="621"/>
      <c r="AE96" s="602"/>
      <c r="AF96" s="602"/>
      <c r="AG96" s="621"/>
      <c r="AH96" s="598"/>
      <c r="AI96" s="619"/>
      <c r="AJ96" s="619"/>
      <c r="AK96" s="619"/>
      <c r="AL96" s="598"/>
      <c r="AM96" s="603"/>
      <c r="AN96" s="603"/>
      <c r="AO96" s="603"/>
      <c r="AP96" s="603"/>
      <c r="AQ96" s="603"/>
      <c r="AR96" s="603"/>
      <c r="AS96" s="603"/>
      <c r="AT96" s="603"/>
      <c r="AU96" s="603"/>
      <c r="AV96" s="603"/>
      <c r="AW96" s="622"/>
      <c r="AX96" s="603"/>
      <c r="AY96" s="603"/>
      <c r="AZ96" s="603"/>
      <c r="BA96" s="603"/>
      <c r="BB96" s="603"/>
      <c r="BC96" s="603"/>
      <c r="BD96" s="603"/>
      <c r="BE96" s="603"/>
      <c r="BF96" s="603"/>
      <c r="BG96" s="623"/>
      <c r="BH96" s="603"/>
      <c r="BI96" s="621"/>
      <c r="BJ96" s="621"/>
      <c r="BK96" s="621"/>
      <c r="BL96" s="621"/>
      <c r="BM96" s="621"/>
      <c r="BN96" s="621"/>
      <c r="BO96" s="621"/>
      <c r="BP96" s="621"/>
      <c r="BQ96" s="621"/>
      <c r="BR96" s="624"/>
      <c r="BS96" s="612"/>
      <c r="BT96" s="621"/>
      <c r="BU96" s="621"/>
      <c r="BV96" s="621"/>
      <c r="BW96" s="619"/>
      <c r="BX96" s="619"/>
      <c r="BY96" s="619"/>
      <c r="BZ96" s="603"/>
      <c r="CA96" s="117"/>
      <c r="CB96" s="603"/>
      <c r="CC96" s="619"/>
      <c r="CD96" s="619"/>
      <c r="CE96" s="619"/>
    </row>
    <row r="97" spans="2:83">
      <c r="B97" s="603"/>
      <c r="C97" s="598"/>
      <c r="D97" s="598"/>
      <c r="E97" s="599"/>
      <c r="F97" s="599"/>
      <c r="G97" s="599"/>
      <c r="H97" s="599"/>
      <c r="I97" s="598"/>
      <c r="J97" s="598"/>
      <c r="K97" s="598"/>
      <c r="L97" s="598"/>
      <c r="M97" s="600"/>
      <c r="N97" s="598"/>
      <c r="O97" s="598"/>
      <c r="P97" s="620"/>
      <c r="Q97" s="601"/>
      <c r="R97" s="601"/>
      <c r="S97" s="601"/>
      <c r="T97" s="598"/>
      <c r="U97" s="602"/>
      <c r="V97" s="602"/>
      <c r="W97" s="602"/>
      <c r="X97" s="602"/>
      <c r="Y97" s="621"/>
      <c r="Z97" s="602"/>
      <c r="AA97" s="602"/>
      <c r="AB97" s="602"/>
      <c r="AC97" s="602"/>
      <c r="AD97" s="621"/>
      <c r="AE97" s="602"/>
      <c r="AF97" s="602"/>
      <c r="AG97" s="621"/>
      <c r="AH97" s="598"/>
      <c r="AI97" s="619"/>
      <c r="AJ97" s="619"/>
      <c r="AK97" s="619"/>
      <c r="AL97" s="598"/>
      <c r="AM97" s="603"/>
      <c r="AN97" s="603"/>
      <c r="AO97" s="603"/>
      <c r="AP97" s="603"/>
      <c r="AQ97" s="603"/>
      <c r="AR97" s="603"/>
      <c r="AS97" s="603"/>
      <c r="AT97" s="603"/>
      <c r="AU97" s="603"/>
      <c r="AV97" s="603"/>
      <c r="AW97" s="622"/>
      <c r="AX97" s="603"/>
      <c r="AY97" s="603"/>
      <c r="AZ97" s="603"/>
      <c r="BA97" s="603"/>
      <c r="BB97" s="603"/>
      <c r="BC97" s="603"/>
      <c r="BD97" s="603"/>
      <c r="BE97" s="603"/>
      <c r="BF97" s="603"/>
      <c r="BG97" s="623"/>
      <c r="BH97" s="603"/>
      <c r="BI97" s="621"/>
      <c r="BJ97" s="621"/>
      <c r="BK97" s="621"/>
      <c r="BL97" s="621"/>
      <c r="BM97" s="621"/>
      <c r="BN97" s="621"/>
      <c r="BO97" s="621"/>
      <c r="BP97" s="621"/>
      <c r="BQ97" s="621"/>
      <c r="BR97" s="624"/>
      <c r="BS97" s="612"/>
      <c r="BT97" s="621"/>
      <c r="BU97" s="621"/>
      <c r="BV97" s="621"/>
      <c r="BW97" s="619"/>
      <c r="BX97" s="619"/>
      <c r="BY97" s="619"/>
      <c r="BZ97" s="603"/>
      <c r="CA97" s="117"/>
      <c r="CB97" s="603"/>
      <c r="CC97" s="619"/>
      <c r="CD97" s="619"/>
      <c r="CE97" s="619"/>
    </row>
    <row r="98" spans="2:83">
      <c r="B98" s="603"/>
      <c r="C98" s="598"/>
      <c r="D98" s="598"/>
      <c r="E98" s="599"/>
      <c r="F98" s="599"/>
      <c r="G98" s="599"/>
      <c r="H98" s="599"/>
      <c r="I98" s="598"/>
      <c r="J98" s="598"/>
      <c r="K98" s="598"/>
      <c r="L98" s="598"/>
      <c r="M98" s="600"/>
      <c r="N98" s="598"/>
      <c r="O98" s="598"/>
      <c r="P98" s="620"/>
      <c r="Q98" s="601"/>
      <c r="R98" s="601"/>
      <c r="S98" s="601"/>
      <c r="T98" s="598"/>
      <c r="U98" s="602"/>
      <c r="V98" s="602"/>
      <c r="W98" s="602"/>
      <c r="X98" s="602"/>
      <c r="Y98" s="621"/>
      <c r="Z98" s="602"/>
      <c r="AA98" s="602"/>
      <c r="AB98" s="602"/>
      <c r="AC98" s="602"/>
      <c r="AD98" s="621"/>
      <c r="AE98" s="602"/>
      <c r="AF98" s="602"/>
      <c r="AG98" s="621"/>
      <c r="AH98" s="598"/>
      <c r="AI98" s="619"/>
      <c r="AJ98" s="619"/>
      <c r="AK98" s="619"/>
      <c r="AL98" s="598"/>
      <c r="AM98" s="603"/>
      <c r="AN98" s="603"/>
      <c r="AO98" s="603"/>
      <c r="AP98" s="603"/>
      <c r="AQ98" s="603"/>
      <c r="AR98" s="603"/>
      <c r="AS98" s="603"/>
      <c r="AT98" s="603"/>
      <c r="AU98" s="603"/>
      <c r="AV98" s="603"/>
      <c r="AW98" s="622"/>
      <c r="AX98" s="603"/>
      <c r="AY98" s="603"/>
      <c r="AZ98" s="603"/>
      <c r="BA98" s="603"/>
      <c r="BB98" s="603"/>
      <c r="BC98" s="603"/>
      <c r="BD98" s="603"/>
      <c r="BE98" s="603"/>
      <c r="BF98" s="603"/>
      <c r="BG98" s="623"/>
      <c r="BH98" s="603"/>
      <c r="BI98" s="621"/>
      <c r="BJ98" s="621"/>
      <c r="BK98" s="621"/>
      <c r="BL98" s="621"/>
      <c r="BM98" s="621"/>
      <c r="BN98" s="621"/>
      <c r="BO98" s="621"/>
      <c r="BP98" s="621"/>
      <c r="BQ98" s="621"/>
      <c r="BR98" s="624"/>
      <c r="BS98" s="612"/>
      <c r="BT98" s="621"/>
      <c r="BU98" s="621"/>
      <c r="BV98" s="621"/>
      <c r="BW98" s="619"/>
      <c r="BX98" s="619"/>
      <c r="BY98" s="619"/>
      <c r="BZ98" s="603"/>
      <c r="CA98" s="117"/>
      <c r="CB98" s="603"/>
      <c r="CC98" s="619"/>
      <c r="CD98" s="619"/>
      <c r="CE98" s="619"/>
    </row>
    <row r="99" spans="2:83">
      <c r="B99" s="603"/>
      <c r="C99" s="598"/>
      <c r="D99" s="598"/>
      <c r="E99" s="599"/>
      <c r="F99" s="599"/>
      <c r="G99" s="599"/>
      <c r="H99" s="599"/>
      <c r="I99" s="598"/>
      <c r="J99" s="598"/>
      <c r="K99" s="598"/>
      <c r="L99" s="598"/>
      <c r="M99" s="600"/>
      <c r="N99" s="598"/>
      <c r="O99" s="598"/>
      <c r="P99" s="620"/>
      <c r="Q99" s="601"/>
      <c r="R99" s="601"/>
      <c r="S99" s="601"/>
      <c r="T99" s="598"/>
      <c r="U99" s="602"/>
      <c r="V99" s="602"/>
      <c r="W99" s="602"/>
      <c r="X99" s="602"/>
      <c r="Y99" s="621"/>
      <c r="Z99" s="602"/>
      <c r="AA99" s="602"/>
      <c r="AB99" s="602"/>
      <c r="AC99" s="602"/>
      <c r="AD99" s="602"/>
      <c r="AE99" s="602"/>
      <c r="AF99" s="602"/>
      <c r="AG99" s="602"/>
      <c r="AH99" s="598"/>
      <c r="AI99" s="619"/>
      <c r="AJ99" s="619"/>
      <c r="AK99" s="619"/>
      <c r="AL99" s="598"/>
      <c r="AM99" s="603"/>
      <c r="AN99" s="603"/>
      <c r="AO99" s="603"/>
      <c r="AP99" s="603"/>
      <c r="AQ99" s="603"/>
      <c r="AR99" s="603"/>
      <c r="AS99" s="603"/>
      <c r="AT99" s="603"/>
      <c r="AU99" s="603"/>
      <c r="AV99" s="603"/>
      <c r="AW99" s="622"/>
      <c r="AX99" s="603"/>
      <c r="AY99" s="603"/>
      <c r="AZ99" s="603"/>
      <c r="BA99" s="603"/>
      <c r="BB99" s="603"/>
      <c r="BC99" s="603"/>
      <c r="BD99" s="603"/>
      <c r="BE99" s="603"/>
      <c r="BF99" s="603"/>
      <c r="BG99" s="623"/>
      <c r="BH99" s="603"/>
      <c r="BI99" s="621"/>
      <c r="BJ99" s="621"/>
      <c r="BK99" s="621"/>
      <c r="BL99" s="621"/>
      <c r="BM99" s="621"/>
      <c r="BN99" s="621"/>
      <c r="BO99" s="621"/>
      <c r="BP99" s="621"/>
      <c r="BQ99" s="621"/>
      <c r="BR99" s="624"/>
      <c r="BS99" s="612"/>
      <c r="BT99" s="621"/>
      <c r="BU99" s="621"/>
      <c r="BV99" s="621"/>
      <c r="BW99" s="619"/>
      <c r="BX99" s="619"/>
      <c r="BY99" s="619"/>
      <c r="BZ99" s="603"/>
      <c r="CA99" s="117"/>
      <c r="CB99" s="603"/>
      <c r="CC99" s="619"/>
      <c r="CD99" s="619"/>
      <c r="CE99" s="619"/>
    </row>
    <row r="100" spans="2:83">
      <c r="B100" s="74"/>
      <c r="C100" s="74"/>
      <c r="D100" s="117"/>
      <c r="E100" s="95"/>
      <c r="F100" s="95"/>
      <c r="G100" s="95"/>
      <c r="H100" s="95"/>
      <c r="I100" s="95"/>
      <c r="J100" s="95"/>
      <c r="K100" s="95"/>
      <c r="L100" s="95"/>
      <c r="M100" s="95"/>
      <c r="N100" s="95"/>
      <c r="O100" s="95"/>
      <c r="P100" s="95"/>
      <c r="Q100" s="95"/>
      <c r="R100" s="95"/>
      <c r="S100" s="95"/>
      <c r="T100" s="604"/>
      <c r="U100" s="625"/>
      <c r="V100" s="625"/>
      <c r="W100" s="625"/>
      <c r="X100" s="625"/>
      <c r="Y100" s="625"/>
      <c r="Z100" s="95"/>
      <c r="AA100" s="95"/>
      <c r="AB100" s="95"/>
      <c r="AC100" s="95"/>
      <c r="AD100" s="95"/>
      <c r="AE100" s="95"/>
      <c r="AF100" s="95"/>
      <c r="AG100" s="74"/>
      <c r="AH100" s="604"/>
      <c r="AI100" s="625"/>
      <c r="AJ100" s="625"/>
      <c r="AK100" s="625"/>
      <c r="AL100" s="95"/>
      <c r="AM100" s="74"/>
      <c r="AN100" s="117"/>
      <c r="AO100" s="117"/>
      <c r="AP100" s="95"/>
      <c r="AQ100" s="95"/>
      <c r="AR100" s="95"/>
      <c r="AS100" s="604"/>
      <c r="AT100" s="604"/>
      <c r="AU100" s="625"/>
      <c r="AV100" s="625"/>
      <c r="AW100" s="625"/>
      <c r="AX100" s="74"/>
      <c r="AY100" s="604"/>
      <c r="AZ100" s="604"/>
      <c r="BA100" s="604"/>
      <c r="BB100" s="625"/>
      <c r="BC100" s="625"/>
      <c r="BD100" s="625"/>
      <c r="BE100" s="625"/>
      <c r="BF100" s="625"/>
      <c r="BG100" s="625"/>
      <c r="BH100" s="625"/>
      <c r="BI100" s="74"/>
      <c r="BJ100" s="74"/>
      <c r="BK100" s="74"/>
      <c r="BL100" s="74"/>
      <c r="BM100" s="74"/>
      <c r="BN100" s="74"/>
      <c r="BO100" s="74"/>
      <c r="BP100" s="74"/>
      <c r="BQ100" s="74"/>
      <c r="BR100" s="606"/>
      <c r="BS100" s="604"/>
      <c r="BT100" s="74"/>
      <c r="BU100" s="74"/>
      <c r="BV100" s="604"/>
      <c r="BW100" s="625"/>
      <c r="BX100" s="625"/>
      <c r="BY100" s="625"/>
      <c r="BZ100" s="74"/>
      <c r="CA100" s="74"/>
      <c r="CB100" s="604"/>
      <c r="CC100" s="625"/>
      <c r="CD100" s="625"/>
      <c r="CE100" s="625"/>
    </row>
    <row r="101" spans="2:83">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c r="BN101" s="74"/>
      <c r="BO101" s="74"/>
      <c r="BP101" s="74"/>
      <c r="BQ101" s="74"/>
      <c r="BR101" s="606"/>
      <c r="BS101" s="74"/>
      <c r="BT101" s="74"/>
      <c r="BU101" s="74"/>
      <c r="BV101" s="74"/>
      <c r="BW101" s="74"/>
      <c r="BX101" s="74"/>
      <c r="BY101" s="74"/>
      <c r="BZ101" s="74"/>
      <c r="CA101" s="74"/>
      <c r="CB101" s="74"/>
      <c r="CC101" s="74"/>
      <c r="CD101" s="74"/>
      <c r="CE101" s="74"/>
    </row>
    <row r="102" spans="2:83" ht="264.95" customHeight="1">
      <c r="B102" s="1850"/>
      <c r="C102" s="1850"/>
      <c r="D102" s="1850"/>
      <c r="E102" s="1850"/>
      <c r="F102" s="1850"/>
      <c r="G102" s="1850"/>
      <c r="H102" s="1850"/>
      <c r="I102" s="1850"/>
      <c r="J102" s="1850"/>
      <c r="K102" s="1850"/>
      <c r="L102" s="1850"/>
      <c r="M102" s="1850"/>
      <c r="N102" s="1850"/>
      <c r="O102" s="307"/>
      <c r="P102" s="307"/>
      <c r="Q102" s="307"/>
      <c r="R102" s="307"/>
      <c r="S102" s="307"/>
      <c r="T102" s="307"/>
      <c r="U102" s="307"/>
      <c r="V102" s="307"/>
      <c r="W102" s="307"/>
      <c r="X102" s="307"/>
      <c r="Y102" s="307"/>
      <c r="Z102" s="307"/>
      <c r="AA102" s="307"/>
      <c r="AB102" s="307"/>
      <c r="AC102" s="307"/>
      <c r="AD102" s="307"/>
      <c r="AE102" s="307"/>
      <c r="AF102" s="307"/>
      <c r="AG102" s="307"/>
      <c r="AH102" s="307"/>
      <c r="AI102" s="307"/>
      <c r="AJ102" s="307"/>
      <c r="AK102" s="307"/>
      <c r="AL102" s="307"/>
    </row>
    <row r="104" spans="2:83">
      <c r="G104" s="591"/>
      <c r="H104" s="591"/>
      <c r="I104" s="99"/>
      <c r="J104" s="99"/>
      <c r="K104" s="99"/>
      <c r="L104" s="99"/>
      <c r="M104" s="99"/>
      <c r="N104" s="99"/>
      <c r="O104" s="99"/>
      <c r="P104" s="99"/>
      <c r="Q104" s="99"/>
      <c r="R104" s="99"/>
      <c r="S104" s="99"/>
      <c r="T104" s="99"/>
      <c r="U104" s="99"/>
      <c r="V104" s="99"/>
      <c r="W104" s="99"/>
      <c r="X104" s="99"/>
      <c r="Y104" s="99"/>
      <c r="Z104" s="99"/>
      <c r="AA104" s="99"/>
      <c r="AB104" s="99"/>
      <c r="AC104" s="99"/>
      <c r="AD104" s="99"/>
      <c r="AE104" s="99"/>
      <c r="AF104" s="99"/>
      <c r="AG104" s="99"/>
      <c r="AH104" s="99"/>
      <c r="AI104" s="99"/>
      <c r="AJ104" s="99"/>
      <c r="AK104" s="99"/>
      <c r="AL104" s="99"/>
    </row>
    <row r="105" spans="2:83">
      <c r="G105" s="591"/>
      <c r="H105" s="591"/>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row>
    <row r="106" spans="2:83" ht="14.45" customHeight="1">
      <c r="G106" s="591"/>
      <c r="H106" s="591"/>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row>
    <row r="107" spans="2:83">
      <c r="G107" s="591"/>
      <c r="H107" s="591"/>
      <c r="I107" s="99"/>
      <c r="J107" s="99"/>
      <c r="K107" s="99"/>
      <c r="L107" s="99"/>
      <c r="M107" s="99"/>
      <c r="N107" s="99"/>
      <c r="O107" s="99"/>
      <c r="P107" s="99"/>
      <c r="Q107" s="99"/>
      <c r="R107" s="99"/>
      <c r="S107" s="99"/>
      <c r="T107" s="99"/>
      <c r="U107" s="99"/>
      <c r="V107" s="99"/>
      <c r="W107" s="99"/>
      <c r="X107" s="99"/>
      <c r="Y107" s="99"/>
      <c r="Z107" s="99"/>
      <c r="AA107" s="99"/>
      <c r="AB107" s="99"/>
      <c r="AC107" s="99"/>
      <c r="AD107" s="99"/>
      <c r="AE107" s="99"/>
      <c r="AF107" s="99"/>
      <c r="AG107" s="99"/>
      <c r="AH107" s="99"/>
      <c r="AI107" s="99"/>
      <c r="AJ107" s="99"/>
      <c r="AK107" s="99"/>
      <c r="AL107" s="99"/>
    </row>
    <row r="108" spans="2:83">
      <c r="G108" s="591"/>
      <c r="H108" s="591"/>
      <c r="I108" s="99"/>
      <c r="J108" s="99"/>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99"/>
      <c r="AI108" s="99"/>
      <c r="AJ108" s="99"/>
      <c r="AK108" s="99"/>
      <c r="AL108" s="99"/>
    </row>
    <row r="109" spans="2:83">
      <c r="G109" s="591"/>
      <c r="H109" s="591"/>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99"/>
      <c r="AL109" s="99"/>
    </row>
    <row r="110" spans="2:83">
      <c r="G110" s="592"/>
      <c r="H110" s="592"/>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row>
    <row r="111" spans="2:83">
      <c r="G111" s="592"/>
      <c r="H111" s="592"/>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row>
    <row r="112" spans="2:83">
      <c r="G112" s="592"/>
      <c r="H112" s="592"/>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row>
    <row r="113" spans="7:38">
      <c r="G113" s="592"/>
      <c r="H113" s="592"/>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row>
    <row r="114" spans="7:38">
      <c r="G114" s="592"/>
      <c r="H114" s="592"/>
      <c r="I114" s="98"/>
      <c r="J114" s="98"/>
      <c r="K114" s="98"/>
      <c r="L114" s="98"/>
      <c r="M114" s="98"/>
      <c r="N114" s="98"/>
      <c r="O114" s="98"/>
      <c r="P114" s="98"/>
      <c r="Q114" s="98"/>
      <c r="R114" s="98"/>
      <c r="S114" s="98"/>
      <c r="T114" s="98"/>
      <c r="U114" s="98"/>
      <c r="V114" s="98"/>
      <c r="W114" s="98"/>
      <c r="X114" s="98"/>
      <c r="Y114" s="98"/>
      <c r="Z114" s="98"/>
      <c r="AA114" s="98"/>
      <c r="AB114" s="98"/>
      <c r="AC114" s="98"/>
      <c r="AD114" s="98"/>
      <c r="AE114" s="98"/>
      <c r="AF114" s="98"/>
      <c r="AG114" s="98"/>
      <c r="AH114" s="98"/>
      <c r="AI114" s="98"/>
      <c r="AJ114" s="98"/>
      <c r="AK114" s="98"/>
      <c r="AL114" s="98"/>
    </row>
  </sheetData>
  <sheetProtection algorithmName="SHA-512" hashValue="fA86gXq2zz4Q0d1za6O9IAOmfILrCFRnHOQJL1jn7nMH++2LbWvlg4NT5Cp7vZRIGN98R73YWmD6YRX3FjfJrQ==" saltValue="P9wWziB5ecZQ1j1aVYKfMA==" spinCount="100000" sheet="1" formatCells="0" formatColumns="0" formatRows="0" insertColumns="0" insertRows="0" insertHyperlinks="0" deleteColumns="0" deleteRows="0" sort="0" autoFilter="0" pivotTables="0"/>
  <mergeCells count="8">
    <mergeCell ref="AJ7:BY7"/>
    <mergeCell ref="B8:B9"/>
    <mergeCell ref="B54:E54"/>
    <mergeCell ref="B102:N102"/>
    <mergeCell ref="M2:AA3"/>
    <mergeCell ref="D2:K2"/>
    <mergeCell ref="D3:K3"/>
    <mergeCell ref="B7:AI7"/>
  </mergeCells>
  <conditionalFormatting sqref="AJ11:BK50">
    <cfRule type="expression" dxfId="46" priority="1">
      <formula>AJ11&lt;&gt;C11</formula>
    </cfRule>
  </conditionalFormatting>
  <conditionalFormatting sqref="BM11:BM50">
    <cfRule type="containsText" dxfId="45" priority="8" stopIfTrue="1" operator="containsText" text="Non">
      <formula>NOT(ISERROR(SEARCH("Non",BM11)))</formula>
    </cfRule>
  </conditionalFormatting>
  <conditionalFormatting sqref="BU10:BV50">
    <cfRule type="containsText" dxfId="44" priority="7" operator="containsText" text="Attention">
      <formula>NOT(ISERROR(SEARCH("Attention",BU10)))</formula>
    </cfRule>
    <cfRule type="containsText" dxfId="43" priority="9" stopIfTrue="1" operator="containsText" text="KO">
      <formula>NOT(ISERROR(SEARCH("KO",BU10)))</formula>
    </cfRule>
    <cfRule type="containsText" dxfId="42" priority="10" operator="containsText" text="OK">
      <formula>NOT(ISERROR(SEARCH("OK",BU10)))</formula>
    </cfRule>
  </conditionalFormatting>
  <dataValidations count="9">
    <dataValidation type="list" allowBlank="1" showInputMessage="1" showErrorMessage="1" sqref="AE11:AE50 AH60:AH99" xr:uid="{62B56A5F-1B41-F649-A67B-6FB8B7CB7EAB}">
      <formula1>"Devis 1,Devis 2,Devis 3"</formula1>
    </dataValidation>
    <dataValidation type="list" allowBlank="1" showInputMessage="1" showErrorMessage="1" sqref="AM59 C66:C99 AJ10 C10:C50" xr:uid="{C9A63BB2-CF95-5946-A333-2A68EB7226BF}">
      <formula1>"Chef de file,Partenaire 1,Partenaire 2, Partenaire 3,Partenaire 4, Partenaire 5,Partenaire 6,Partenaire 7"</formula1>
    </dataValidation>
    <dataValidation type="list" allowBlank="1" showInputMessage="1" showErrorMessage="1" sqref="D10:D50 D66:D99 AN59:AO59 AK10:AK50" xr:uid="{C260A3B3-4CE4-1344-B389-5B5AA459854D}">
      <formula1>"Création groupes opérationnels, Projets groupes opérationnels, Diffusion résultats"</formula1>
    </dataValidation>
    <dataValidation type="list" allowBlank="1" showInputMessage="1" showErrorMessage="1" sqref="BS59:BS99 BM10:BM50" xr:uid="{3BAC83D6-5129-FF4D-ADCA-E705366B26A0}">
      <formula1>"Oui,Non,Sans objet"</formula1>
    </dataValidation>
    <dataValidation type="list" allowBlank="1" showInputMessage="1" showErrorMessage="1" sqref="AU59 K59:K99 AR10 K10:K50" xr:uid="{3260023D-5891-274C-A295-B77984D26030}">
      <formula1>"Oui,Non,Non Concerné"</formula1>
    </dataValidation>
    <dataValidation type="list" allowBlank="1" showInputMessage="1" showErrorMessage="1" sqref="AS59:AT59 I59:J99 I10:I50 AP10" xr:uid="{D9000F55-1647-624A-8CB7-051BED5FE4CD}">
      <formula1>"Pas de marché public , Marché à procédure adaptée (MAPA) , Marché innovant , Marché à procédure formalisée"</formula1>
    </dataValidation>
    <dataValidation type="list" allowBlank="1" showInputMessage="1" showErrorMessage="1" sqref="AQ59:AR59 F59:H99 AM10:AO10 F10:H50" xr:uid="{8FCB2B14-3CBB-C244-A60D-1B72D645C8FD}">
      <formula1>"Oui,Non"</formula1>
    </dataValidation>
    <dataValidation type="list" allowBlank="1" showInputMessage="1" showErrorMessage="1" promptTitle="Sélectionnez un poste de dépense" prompt="Cliquez sur le menu déroulant" sqref="D100 D51" xr:uid="{855948C1-5D7F-C34F-BE4B-31CF8C7A88D7}">
      <formula1>"Echanges dev-perf-envir-eco , Renforcement sys-exploit , Adapt-prod-zone-contrainte , Id-protect-prod , Innov-bottom-up , Outils-num-agri-ali , Mentions-valo , Dev-gestion-risques , Fav-territ-souv-ali-écosys , Promouvoir savoir-faire-transfo-ressources"</formula1>
    </dataValidation>
    <dataValidation type="list" allowBlank="1" showInputMessage="1" showErrorMessage="1" sqref="J10:J50 AQ10" xr:uid="{03E39435-EC87-D049-B3D4-3AFF2FF48BCE}">
      <formula1>"Oui,Non,Non concerné"</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348EC-4A44-4EF8-8DCD-35F3FC6A8FF2}">
  <sheetPr codeName="Feuil6">
    <tabColor theme="8" tint="0.59999389629810485"/>
  </sheetPr>
  <dimension ref="A1:AM36"/>
  <sheetViews>
    <sheetView showGridLines="0" topLeftCell="L1" zoomScale="85" zoomScaleNormal="85" workbookViewId="0">
      <selection activeCell="AR7" sqref="AR7"/>
    </sheetView>
  </sheetViews>
  <sheetFormatPr defaultColWidth="11.42578125" defaultRowHeight="15" outlineLevelCol="1"/>
  <cols>
    <col min="1" max="1" width="5.42578125" customWidth="1"/>
    <col min="2" max="2" width="11.42578125" customWidth="1"/>
    <col min="3" max="3" width="25.85546875" style="290" customWidth="1"/>
    <col min="4" max="4" width="20.42578125" style="290" customWidth="1"/>
    <col min="5" max="5" width="20.140625" style="290" customWidth="1"/>
    <col min="6" max="6" width="47.42578125" style="290" customWidth="1"/>
    <col min="7" max="7" width="19.140625" style="290" customWidth="1"/>
    <col min="8" max="8" width="22.42578125" style="290" customWidth="1"/>
    <col min="9" max="9" width="17.42578125" style="290" customWidth="1"/>
    <col min="10" max="10" width="12.42578125" style="290" customWidth="1"/>
    <col min="11" max="11" width="18.140625" style="290" customWidth="1"/>
    <col min="12" max="13" width="17.42578125" style="290" customWidth="1"/>
    <col min="14" max="14" width="22.140625" style="290" customWidth="1"/>
    <col min="15" max="15" width="26.42578125" style="290" customWidth="1"/>
    <col min="16" max="16" width="20.140625" style="290" customWidth="1"/>
    <col min="17" max="17" width="19.140625" style="290" customWidth="1"/>
    <col min="18" max="18" width="22.42578125" style="290" hidden="1" customWidth="1" outlineLevel="1"/>
    <col min="19" max="19" width="16.85546875" style="290" hidden="1" customWidth="1" outlineLevel="1"/>
    <col min="20" max="20" width="23.42578125" style="290" hidden="1" customWidth="1" outlineLevel="1"/>
    <col min="21" max="22" width="12.42578125" style="290" hidden="1" customWidth="1" outlineLevel="1"/>
    <col min="23" max="23" width="18.140625" style="290" hidden="1" customWidth="1" outlineLevel="1"/>
    <col min="24" max="25" width="20.85546875" style="290" hidden="1" customWidth="1" outlineLevel="1"/>
    <col min="26" max="26" width="12.42578125" style="1228" hidden="1" customWidth="1" outlineLevel="1"/>
    <col min="27" max="27" width="26.42578125" style="290" hidden="1" customWidth="1" outlineLevel="1"/>
    <col min="28" max="29" width="17.42578125" style="290" hidden="1" customWidth="1" outlineLevel="1"/>
    <col min="30" max="31" width="22.140625" hidden="1" customWidth="1" outlineLevel="1"/>
    <col min="32" max="32" width="20.42578125" hidden="1" customWidth="1" outlineLevel="1"/>
    <col min="33" max="33" width="20.42578125" style="1044" hidden="1" customWidth="1" outlineLevel="1"/>
    <col min="34" max="34" width="20.42578125" hidden="1" customWidth="1" outlineLevel="1"/>
    <col min="35" max="35" width="21.42578125" hidden="1" customWidth="1" outlineLevel="1"/>
    <col min="36" max="36" width="33.42578125" hidden="1" customWidth="1" outlineLevel="1"/>
    <col min="37" max="37" width="20.42578125" hidden="1" customWidth="1" outlineLevel="1"/>
    <col min="38" max="38" width="20.42578125" customWidth="1" collapsed="1"/>
    <col min="39" max="39" width="21.42578125" customWidth="1"/>
  </cols>
  <sheetData>
    <row r="1" spans="1:39" ht="15.95" thickBot="1">
      <c r="C1"/>
      <c r="D1"/>
      <c r="E1"/>
      <c r="F1"/>
      <c r="G1"/>
      <c r="H1"/>
      <c r="I1"/>
      <c r="J1"/>
      <c r="K1"/>
      <c r="L1"/>
      <c r="M1"/>
      <c r="N1"/>
      <c r="O1"/>
      <c r="P1"/>
      <c r="Q1"/>
      <c r="R1"/>
      <c r="S1"/>
      <c r="T1"/>
      <c r="U1"/>
      <c r="V1"/>
      <c r="W1"/>
      <c r="X1"/>
      <c r="Y1"/>
      <c r="Z1" s="746"/>
      <c r="AA1"/>
      <c r="AB1"/>
      <c r="AC1"/>
    </row>
    <row r="2" spans="1:39" ht="18.95">
      <c r="D2" s="1872" t="s">
        <v>243</v>
      </c>
      <c r="E2" s="1873"/>
      <c r="F2" s="1873"/>
      <c r="G2" s="1874"/>
      <c r="H2" s="178"/>
      <c r="I2"/>
      <c r="J2"/>
      <c r="K2"/>
      <c r="L2"/>
      <c r="M2"/>
      <c r="N2"/>
      <c r="O2"/>
      <c r="P2"/>
      <c r="Q2"/>
      <c r="R2"/>
      <c r="S2"/>
      <c r="T2"/>
      <c r="U2"/>
      <c r="V2"/>
      <c r="W2"/>
      <c r="X2"/>
      <c r="Y2"/>
      <c r="Z2" s="746"/>
      <c r="AA2"/>
      <c r="AB2"/>
      <c r="AC2"/>
    </row>
    <row r="3" spans="1:39" ht="33" customHeight="1" thickBot="1">
      <c r="D3" s="1869" t="s">
        <v>244</v>
      </c>
      <c r="E3" s="1870"/>
      <c r="F3" s="1870"/>
      <c r="G3" s="1871"/>
      <c r="H3" s="337"/>
      <c r="I3"/>
      <c r="J3"/>
      <c r="K3"/>
      <c r="L3"/>
      <c r="M3"/>
      <c r="N3"/>
      <c r="O3"/>
      <c r="P3"/>
      <c r="Q3"/>
      <c r="R3"/>
      <c r="S3"/>
      <c r="T3"/>
      <c r="U3"/>
      <c r="V3"/>
      <c r="W3"/>
      <c r="X3"/>
      <c r="Y3"/>
      <c r="Z3" s="746"/>
      <c r="AA3"/>
      <c r="AB3"/>
      <c r="AC3"/>
    </row>
    <row r="4" spans="1:39" ht="15.95" thickBot="1">
      <c r="C4" s="338"/>
      <c r="D4" s="338"/>
      <c r="E4" s="339"/>
      <c r="F4" s="339"/>
      <c r="G4" s="225"/>
      <c r="H4" s="225"/>
      <c r="I4"/>
      <c r="J4"/>
      <c r="K4"/>
      <c r="L4"/>
      <c r="M4"/>
      <c r="N4"/>
      <c r="O4"/>
      <c r="P4"/>
      <c r="Q4"/>
      <c r="R4"/>
      <c r="S4"/>
      <c r="T4"/>
      <c r="U4"/>
      <c r="V4"/>
      <c r="W4"/>
      <c r="X4"/>
      <c r="Y4"/>
      <c r="Z4" s="746"/>
      <c r="AA4"/>
      <c r="AB4"/>
      <c r="AC4"/>
    </row>
    <row r="5" spans="1:39" ht="26.45" customHeight="1" thickBot="1">
      <c r="B5" s="1841" t="s">
        <v>245</v>
      </c>
      <c r="C5" s="1842"/>
      <c r="D5" s="1842"/>
      <c r="E5" s="1842"/>
      <c r="F5" s="1842"/>
      <c r="G5" s="1842"/>
      <c r="H5" s="1842"/>
      <c r="I5" s="1842"/>
      <c r="J5" s="1842"/>
      <c r="K5" s="1842"/>
      <c r="L5" s="1842"/>
      <c r="M5" s="1842"/>
      <c r="N5" s="1842"/>
      <c r="O5" s="1842"/>
      <c r="P5" s="1842"/>
      <c r="Q5" s="1842"/>
      <c r="R5" s="1842"/>
      <c r="S5" s="1842"/>
      <c r="T5" s="1866" t="s">
        <v>246</v>
      </c>
      <c r="U5" s="1867"/>
      <c r="V5" s="1867"/>
      <c r="W5" s="1867"/>
      <c r="X5" s="1867"/>
      <c r="Y5" s="1867"/>
      <c r="Z5" s="1867"/>
      <c r="AA5" s="1867"/>
      <c r="AB5" s="1867"/>
      <c r="AC5" s="1867"/>
      <c r="AD5" s="1867"/>
      <c r="AE5" s="1867"/>
      <c r="AF5" s="1867"/>
      <c r="AG5" s="1867"/>
      <c r="AH5" s="1867"/>
      <c r="AI5" s="1867"/>
      <c r="AJ5" s="1867"/>
      <c r="AK5" s="1867"/>
      <c r="AL5" s="1867"/>
      <c r="AM5" s="1868"/>
    </row>
    <row r="6" spans="1:39" ht="73.5" customHeight="1">
      <c r="A6" s="1875"/>
      <c r="B6" s="1876" t="s">
        <v>97</v>
      </c>
      <c r="C6" s="155" t="s">
        <v>98</v>
      </c>
      <c r="D6" s="113" t="s">
        <v>77</v>
      </c>
      <c r="E6" s="114" t="s">
        <v>247</v>
      </c>
      <c r="F6" s="311" t="s">
        <v>158</v>
      </c>
      <c r="G6" s="114" t="s">
        <v>248</v>
      </c>
      <c r="H6" s="114" t="s">
        <v>249</v>
      </c>
      <c r="I6" s="114" t="s">
        <v>250</v>
      </c>
      <c r="J6" s="114" t="s">
        <v>251</v>
      </c>
      <c r="K6" s="340" t="s">
        <v>252</v>
      </c>
      <c r="L6" s="114" t="s">
        <v>253</v>
      </c>
      <c r="M6" s="340" t="s">
        <v>254</v>
      </c>
      <c r="N6" s="114" t="s">
        <v>255</v>
      </c>
      <c r="O6" s="114" t="s">
        <v>256</v>
      </c>
      <c r="P6" s="114" t="s">
        <v>257</v>
      </c>
      <c r="Q6" s="114" t="s">
        <v>258</v>
      </c>
      <c r="R6" s="114" t="s">
        <v>259</v>
      </c>
      <c r="S6" s="340" t="s">
        <v>34</v>
      </c>
      <c r="T6" s="393" t="s">
        <v>98</v>
      </c>
      <c r="U6" s="326" t="s">
        <v>77</v>
      </c>
      <c r="V6" s="274" t="s">
        <v>247</v>
      </c>
      <c r="W6" s="87" t="s">
        <v>158</v>
      </c>
      <c r="X6" s="274" t="s">
        <v>248</v>
      </c>
      <c r="Y6" s="274" t="s">
        <v>249</v>
      </c>
      <c r="Z6" s="1250" t="s">
        <v>260</v>
      </c>
      <c r="AA6" s="274" t="s">
        <v>251</v>
      </c>
      <c r="AB6" s="1251" t="s">
        <v>261</v>
      </c>
      <c r="AC6" s="274" t="s">
        <v>253</v>
      </c>
      <c r="AD6" s="1251" t="s">
        <v>254</v>
      </c>
      <c r="AE6" s="274" t="s">
        <v>262</v>
      </c>
      <c r="AF6" s="274" t="s">
        <v>263</v>
      </c>
      <c r="AG6" s="1252" t="s">
        <v>264</v>
      </c>
      <c r="AH6" s="274" t="s">
        <v>259</v>
      </c>
      <c r="AI6" s="87" t="s">
        <v>114</v>
      </c>
      <c r="AJ6" s="274" t="s">
        <v>265</v>
      </c>
      <c r="AK6" s="274" t="s">
        <v>116</v>
      </c>
      <c r="AL6" s="274" t="s">
        <v>52</v>
      </c>
      <c r="AM6" s="905" t="s">
        <v>53</v>
      </c>
    </row>
    <row r="7" spans="1:39" ht="144" customHeight="1">
      <c r="A7" s="1875"/>
      <c r="B7" s="1876"/>
      <c r="C7" s="156" t="s">
        <v>117</v>
      </c>
      <c r="D7" s="53" t="s">
        <v>118</v>
      </c>
      <c r="E7" s="53" t="s">
        <v>266</v>
      </c>
      <c r="F7" s="53" t="s">
        <v>205</v>
      </c>
      <c r="G7" s="254" t="s">
        <v>267</v>
      </c>
      <c r="H7" s="53" t="s">
        <v>268</v>
      </c>
      <c r="I7" s="53" t="s">
        <v>212</v>
      </c>
      <c r="J7" s="53" t="s">
        <v>269</v>
      </c>
      <c r="K7" s="341" t="s">
        <v>270</v>
      </c>
      <c r="L7" s="342" t="s">
        <v>271</v>
      </c>
      <c r="M7" s="341" t="s">
        <v>270</v>
      </c>
      <c r="N7" s="1224" t="s">
        <v>272</v>
      </c>
      <c r="O7" s="1225" t="s">
        <v>273</v>
      </c>
      <c r="P7" s="254" t="s">
        <v>274</v>
      </c>
      <c r="Q7" s="53" t="s">
        <v>275</v>
      </c>
      <c r="R7" s="53" t="s">
        <v>276</v>
      </c>
      <c r="S7" s="122" t="s">
        <v>39</v>
      </c>
      <c r="T7" s="54" t="s">
        <v>57</v>
      </c>
      <c r="U7" s="55" t="s">
        <v>57</v>
      </c>
      <c r="V7" s="90" t="s">
        <v>54</v>
      </c>
      <c r="W7" s="90" t="s">
        <v>54</v>
      </c>
      <c r="X7" s="90" t="s">
        <v>54</v>
      </c>
      <c r="Y7" s="90" t="s">
        <v>54</v>
      </c>
      <c r="Z7" s="1175" t="s">
        <v>54</v>
      </c>
      <c r="AA7" s="90" t="s">
        <v>54</v>
      </c>
      <c r="AB7" s="90" t="s">
        <v>54</v>
      </c>
      <c r="AC7" s="90" t="s">
        <v>54</v>
      </c>
      <c r="AD7" s="90" t="s">
        <v>54</v>
      </c>
      <c r="AE7" s="1291" t="s">
        <v>272</v>
      </c>
      <c r="AF7" s="1199" t="s">
        <v>273</v>
      </c>
      <c r="AG7" s="1227" t="s">
        <v>54</v>
      </c>
      <c r="AH7" s="90" t="s">
        <v>54</v>
      </c>
      <c r="AI7" s="55" t="s">
        <v>136</v>
      </c>
      <c r="AJ7" s="55" t="s">
        <v>54</v>
      </c>
      <c r="AK7" s="55" t="s">
        <v>55</v>
      </c>
      <c r="AL7" s="55" t="s">
        <v>56</v>
      </c>
      <c r="AM7" s="56" t="s">
        <v>57</v>
      </c>
    </row>
    <row r="8" spans="1:39" s="344" customFormat="1" ht="48.95" thickBot="1">
      <c r="A8" s="1875"/>
      <c r="B8" s="380" t="s">
        <v>84</v>
      </c>
      <c r="C8" s="369" t="s">
        <v>12</v>
      </c>
      <c r="D8" s="446" t="s">
        <v>88</v>
      </c>
      <c r="E8" s="1229" t="s">
        <v>277</v>
      </c>
      <c r="F8" s="407" t="s">
        <v>141</v>
      </c>
      <c r="G8" s="1229" t="s">
        <v>278</v>
      </c>
      <c r="H8" s="1229" t="s">
        <v>279</v>
      </c>
      <c r="I8" s="1230">
        <v>0.2</v>
      </c>
      <c r="J8" s="1229" t="s">
        <v>280</v>
      </c>
      <c r="K8" s="1231" t="s">
        <v>281</v>
      </c>
      <c r="L8" s="1229" t="s">
        <v>282</v>
      </c>
      <c r="M8" s="1231" t="s">
        <v>283</v>
      </c>
      <c r="N8" s="1231"/>
      <c r="O8" s="1232"/>
      <c r="P8" s="1233">
        <v>50000</v>
      </c>
      <c r="Q8" s="157">
        <f t="shared" ref="Q8:Q23" si="0">IF(M8=0,"",((P8/M8)*O8)*I8)</f>
        <v>0</v>
      </c>
      <c r="R8" s="1234" t="s">
        <v>284</v>
      </c>
      <c r="S8" s="504"/>
      <c r="T8" s="1282" t="str">
        <f>C8</f>
        <v>Partenaire 2</v>
      </c>
      <c r="U8" s="1283" t="str">
        <f>D8</f>
        <v>Projets groupes opérationnels</v>
      </c>
      <c r="V8" s="1283" t="str">
        <f>E8</f>
        <v>Microscope électronique</v>
      </c>
      <c r="W8" s="1284" t="s">
        <v>141</v>
      </c>
      <c r="X8" s="1283" t="str">
        <f t="shared" ref="X8:AD8" si="1">G8</f>
        <v>Neuf</v>
      </c>
      <c r="Y8" s="1283" t="str">
        <f t="shared" si="1"/>
        <v>Utilisation pour le WP2 - "Analyse microscopique"</v>
      </c>
      <c r="Z8" s="1285">
        <f t="shared" si="1"/>
        <v>0.2</v>
      </c>
      <c r="AA8" s="1283" t="str">
        <f t="shared" si="1"/>
        <v>C4579</v>
      </c>
      <c r="AB8" s="1286" t="str">
        <f t="shared" si="1"/>
        <v>3</v>
      </c>
      <c r="AC8" s="1283" t="str">
        <f t="shared" si="1"/>
        <v>01/09/2025</v>
      </c>
      <c r="AD8" s="1286" t="str">
        <f t="shared" si="1"/>
        <v>10</v>
      </c>
      <c r="AE8" s="1286">
        <v>300</v>
      </c>
      <c r="AF8" s="1286">
        <f>O8</f>
        <v>0</v>
      </c>
      <c r="AG8" s="348">
        <f>P8</f>
        <v>50000</v>
      </c>
      <c r="AH8" s="1283" t="str">
        <f>R8</f>
        <v>Plan d'amortissement, attestation sur l'honneur</v>
      </c>
      <c r="AI8" s="1287" t="s">
        <v>141</v>
      </c>
      <c r="AJ8" s="1288">
        <f t="shared" ref="AJ8:AJ23" si="2">IF(AD8="","",((AG8/AD8)*AF8)*Z8)</f>
        <v>0</v>
      </c>
      <c r="AK8" s="1289"/>
      <c r="AL8" s="1289" t="str" cm="1">
        <f t="array" ref="AL8">IF(OR(AJ8="",Q8=""),"",_xlfn.IFS(
ROUND(IFERROR(VALUE(TRIM(SUBSTITUTE(AJ8,CHAR(160),""))),0),2)&gt;
ROUND(IFERROR(VALUE(TRIM(SUBSTITUTE(Q8,CHAR(160),""))),0),2),
"KO : Le montant retenu est supérieur au montant présenté. Merci de revoir la ligne de contributions ou plafonner son montant.",
ROUND(IFERROR(VALUE(TRIM(SUBSTITUTE(Q8,CHAR(160),""))),0),2)=0,
"",
ROUND(IFERROR(VALUE(TRIM(SUBSTITUTE(AJ8,CHAR(160),""))),0),2)=
ROUND(IFERROR(VALUE(TRIM(SUBSTITUTE(Q8,CHAR(160),""))),0),2),
"OK",
ROUND(IFERROR(VALUE(TRIM(SUBSTITUTE(AJ8,CHAR(160),""))),0),2)=0,
"Attention : Montant présenté entièrement rejeté.",
ROUND(IFERROR(VALUE(TRIM(SUBSTITUTE(AJ8,CHAR(160),""))),0),2)&lt;
ROUND(IFERROR(VALUE(TRIM(SUBSTITUTE(Q8,CHAR(160),""))),0),2),
"Attention : Montant présenté partiellement rejeté.",
TRUE,""
))</f>
        <v/>
      </c>
      <c r="AM8" s="1290">
        <f>IF(Q8="","",Q8-AJ8)</f>
        <v>0</v>
      </c>
    </row>
    <row r="9" spans="1:39" ht="15.95">
      <c r="A9" s="1875"/>
      <c r="B9" s="359">
        <v>1</v>
      </c>
      <c r="C9" s="10"/>
      <c r="D9" s="10"/>
      <c r="E9" s="10"/>
      <c r="F9" s="21"/>
      <c r="G9" s="10"/>
      <c r="H9" s="10"/>
      <c r="I9" s="1268"/>
      <c r="J9" s="10"/>
      <c r="K9" s="10"/>
      <c r="L9" s="1269"/>
      <c r="M9" s="10"/>
      <c r="N9" s="10"/>
      <c r="O9" s="1270" t="str">
        <f t="shared" ref="O9:O23" si="3">IF(M9="","",N9/365)</f>
        <v/>
      </c>
      <c r="P9" s="1271"/>
      <c r="Q9" s="158" t="str">
        <f t="shared" si="0"/>
        <v/>
      </c>
      <c r="R9" s="10"/>
      <c r="S9" s="1272"/>
      <c r="T9" s="1273" t="str">
        <f t="shared" ref="T9:T23" si="4">IF(C9="","",C9)</f>
        <v/>
      </c>
      <c r="U9" s="1409" t="str">
        <f t="shared" ref="U9:U23" si="5">IF(D9="","",D9)</f>
        <v/>
      </c>
      <c r="V9" s="1274" t="str">
        <f t="shared" ref="V9:V23" si="6">IF(E9="","",E9)</f>
        <v/>
      </c>
      <c r="W9" s="1274" t="str">
        <f t="shared" ref="W9:W23" si="7">IF(F9="","",F9)</f>
        <v/>
      </c>
      <c r="X9" s="1274" t="str">
        <f t="shared" ref="X9:X23" si="8">IF(G9="","",G9)</f>
        <v/>
      </c>
      <c r="Y9" s="1274" t="str">
        <f t="shared" ref="Y9:Y23" si="9">IF(H9="","",H9)</f>
        <v/>
      </c>
      <c r="Z9" s="1275" t="str">
        <f t="shared" ref="Z9:Z23" si="10">IF(I9="","",I9)</f>
        <v/>
      </c>
      <c r="AA9" s="1274" t="str">
        <f t="shared" ref="AA9:AA23" si="11">IF(J9="","",J9)</f>
        <v/>
      </c>
      <c r="AB9" s="1274" t="str">
        <f t="shared" ref="AB9:AB23" si="12">IF(K9="","",K9)</f>
        <v/>
      </c>
      <c r="AC9" s="1274" t="str">
        <f t="shared" ref="AC9:AC23" si="13">IF(L9="","",L9)</f>
        <v/>
      </c>
      <c r="AD9" s="1274" t="str">
        <f t="shared" ref="AD9:AD23" si="14">IF(M9="","",M9)</f>
        <v/>
      </c>
      <c r="AE9" s="1274" t="str">
        <f t="shared" ref="AE9:AE23" si="15">IF(N9="","",N9)</f>
        <v/>
      </c>
      <c r="AF9" s="1270" t="str">
        <f t="shared" ref="AF9:AF23" si="16">IF(AD9="","",AE9/365)</f>
        <v/>
      </c>
      <c r="AG9" s="1276" t="str">
        <f t="shared" ref="AG9:AG23" si="17">IF(P9="","",P9)</f>
        <v/>
      </c>
      <c r="AH9" s="1274" t="str">
        <f t="shared" ref="AH9:AH23" si="18">IF(R9="","",R9)</f>
        <v/>
      </c>
      <c r="AI9" s="1277"/>
      <c r="AJ9" s="1278" t="str">
        <f t="shared" si="2"/>
        <v/>
      </c>
      <c r="AK9" s="1279"/>
      <c r="AL9" s="1280" t="str" cm="1">
        <f t="array" ref="AL9">IF(OR(AJ9="",Q9=""),"",_xlfn.IFS(
ROUND(IFERROR(VALUE(TRIM(SUBSTITUTE(AJ9,CHAR(160),""))),0),2)&gt;
ROUND(IFERROR(VALUE(TRIM(SUBSTITUTE(Q9,CHAR(160),""))),0),2),
"KO : Le montant retenu est supérieur au montant présenté. Merci de revoir la ligne de contributions ou plafonner son montant.",
ROUND(IFERROR(VALUE(TRIM(SUBSTITUTE(Q9,CHAR(160),""))),0),2)=0,
"",
ROUND(IFERROR(VALUE(TRIM(SUBSTITUTE(AJ9,CHAR(160),""))),0),2)=
ROUND(IFERROR(VALUE(TRIM(SUBSTITUTE(Q9,CHAR(160),""))),0),2),
"OK",
ROUND(IFERROR(VALUE(TRIM(SUBSTITUTE(AJ9,CHAR(160),""))),0),2)=0,
"Attention : Montant présenté entièrement rejeté.",
ROUND(IFERROR(VALUE(TRIM(SUBSTITUTE(AJ9,CHAR(160),""))),0),2)&lt;
ROUND(IFERROR(VALUE(TRIM(SUBSTITUTE(Q9,CHAR(160),""))),0),2),
"Attention : Montant présenté partiellement rejeté.",
TRUE,""
))</f>
        <v/>
      </c>
      <c r="AM9" s="1281" t="str">
        <f t="shared" ref="AM9:AM23" si="19">IF(OR(Q9="",AJ9=""),"",(IFERROR(VALUE(TRIM(SUBSTITUTE(Q9,CHAR(160),""))),0))-(IFERROR(VALUE(TRIM(SUBSTITUTE(AJ9,CHAR(160),""))),0)))</f>
        <v/>
      </c>
    </row>
    <row r="10" spans="1:39" ht="12.95" customHeight="1">
      <c r="A10" s="1875"/>
      <c r="B10" s="303">
        <v>2</v>
      </c>
      <c r="C10" s="11"/>
      <c r="D10" s="11"/>
      <c r="E10" s="11"/>
      <c r="F10" s="22"/>
      <c r="G10" s="11"/>
      <c r="H10" s="11"/>
      <c r="I10" s="160"/>
      <c r="J10" s="11"/>
      <c r="K10" s="11"/>
      <c r="L10" s="163"/>
      <c r="M10" s="11"/>
      <c r="N10" s="11"/>
      <c r="O10" s="1239" t="str">
        <f t="shared" si="3"/>
        <v/>
      </c>
      <c r="P10" s="135"/>
      <c r="Q10" s="159" t="str">
        <f t="shared" si="0"/>
        <v/>
      </c>
      <c r="R10" s="11"/>
      <c r="S10" s="488"/>
      <c r="T10" s="1410" t="str">
        <f t="shared" si="4"/>
        <v/>
      </c>
      <c r="U10" s="1240" t="str">
        <f t="shared" si="5"/>
        <v/>
      </c>
      <c r="V10" s="1240" t="str">
        <f t="shared" si="6"/>
        <v/>
      </c>
      <c r="W10" s="1240" t="str">
        <f t="shared" si="7"/>
        <v/>
      </c>
      <c r="X10" s="1240" t="str">
        <f t="shared" si="8"/>
        <v/>
      </c>
      <c r="Y10" s="1240" t="str">
        <f t="shared" si="9"/>
        <v/>
      </c>
      <c r="Z10" s="1241" t="str">
        <f t="shared" si="10"/>
        <v/>
      </c>
      <c r="AA10" s="1240" t="str">
        <f t="shared" si="11"/>
        <v/>
      </c>
      <c r="AB10" s="1240" t="str">
        <f t="shared" si="12"/>
        <v/>
      </c>
      <c r="AC10" s="1240" t="str">
        <f t="shared" si="13"/>
        <v/>
      </c>
      <c r="AD10" s="1240" t="str">
        <f t="shared" si="14"/>
        <v/>
      </c>
      <c r="AE10" s="1240" t="str">
        <f t="shared" si="15"/>
        <v/>
      </c>
      <c r="AF10" s="1239" t="str">
        <f t="shared" si="16"/>
        <v/>
      </c>
      <c r="AG10" s="1242" t="str">
        <f t="shared" si="17"/>
        <v/>
      </c>
      <c r="AH10" s="1240" t="str">
        <f t="shared" si="18"/>
        <v/>
      </c>
      <c r="AI10" s="1243"/>
      <c r="AJ10" s="1226" t="str">
        <f t="shared" si="2"/>
        <v/>
      </c>
      <c r="AK10" s="1244"/>
      <c r="AL10" s="1245" t="str" cm="1">
        <f t="array" ref="AL10">IF(OR(AJ10="",Q10=""),"",_xlfn.IFS(
ROUND(IFERROR(VALUE(TRIM(SUBSTITUTE(AJ10,CHAR(160),""))),0),2)&gt;
ROUND(IFERROR(VALUE(TRIM(SUBSTITUTE(Q10,CHAR(160),""))),0),2),
"KO : Le montant retenu est supérieur au montant présenté. Merci de revoir la ligne de contributions ou plafonner son montant.",
ROUND(IFERROR(VALUE(TRIM(SUBSTITUTE(Q10,CHAR(160),""))),0),2)=0,
"",
ROUND(IFERROR(VALUE(TRIM(SUBSTITUTE(AJ10,CHAR(160),""))),0),2)=
ROUND(IFERROR(VALUE(TRIM(SUBSTITUTE(Q10,CHAR(160),""))),0),2),
"OK",
ROUND(IFERROR(VALUE(TRIM(SUBSTITUTE(AJ10,CHAR(160),""))),0),2)=0,
"Attention : Montant présenté entièrement rejeté.",
ROUND(IFERROR(VALUE(TRIM(SUBSTITUTE(AJ10,CHAR(160),""))),0),2)&lt;
ROUND(IFERROR(VALUE(TRIM(SUBSTITUTE(Q10,CHAR(160),""))),0),2),
"Attention : Montant présenté partiellement rejeté.",
TRUE,""
))</f>
        <v/>
      </c>
      <c r="AM10" s="1254" t="str">
        <f t="shared" si="19"/>
        <v/>
      </c>
    </row>
    <row r="11" spans="1:39" ht="12.95" customHeight="1">
      <c r="A11" s="1875"/>
      <c r="B11" s="303">
        <v>3</v>
      </c>
      <c r="C11" s="11"/>
      <c r="D11" s="11"/>
      <c r="E11" s="11"/>
      <c r="F11" s="22"/>
      <c r="G11" s="11"/>
      <c r="H11" s="11"/>
      <c r="I11" s="160"/>
      <c r="J11" s="11"/>
      <c r="K11" s="11"/>
      <c r="L11" s="163"/>
      <c r="M11" s="11"/>
      <c r="N11" s="11"/>
      <c r="O11" s="1239" t="str">
        <f t="shared" si="3"/>
        <v/>
      </c>
      <c r="P11" s="135"/>
      <c r="Q11" s="159" t="str">
        <f t="shared" si="0"/>
        <v/>
      </c>
      <c r="R11" s="11"/>
      <c r="S11" s="488"/>
      <c r="T11" s="1253" t="str">
        <f t="shared" si="4"/>
        <v/>
      </c>
      <c r="U11" s="1240" t="str">
        <f t="shared" si="5"/>
        <v/>
      </c>
      <c r="V11" s="1240" t="str">
        <f t="shared" si="6"/>
        <v/>
      </c>
      <c r="W11" s="1240" t="str">
        <f t="shared" si="7"/>
        <v/>
      </c>
      <c r="X11" s="1240" t="str">
        <f t="shared" si="8"/>
        <v/>
      </c>
      <c r="Y11" s="1240" t="str">
        <f t="shared" si="9"/>
        <v/>
      </c>
      <c r="Z11" s="1241" t="str">
        <f t="shared" si="10"/>
        <v/>
      </c>
      <c r="AA11" s="1240" t="str">
        <f t="shared" si="11"/>
        <v/>
      </c>
      <c r="AB11" s="1240" t="str">
        <f t="shared" si="12"/>
        <v/>
      </c>
      <c r="AC11" s="1240" t="str">
        <f t="shared" si="13"/>
        <v/>
      </c>
      <c r="AD11" s="1240" t="str">
        <f t="shared" si="14"/>
        <v/>
      </c>
      <c r="AE11" s="1240" t="str">
        <f t="shared" si="15"/>
        <v/>
      </c>
      <c r="AF11" s="1239" t="str">
        <f t="shared" si="16"/>
        <v/>
      </c>
      <c r="AG11" s="1242" t="str">
        <f t="shared" si="17"/>
        <v/>
      </c>
      <c r="AH11" s="1240" t="str">
        <f t="shared" si="18"/>
        <v/>
      </c>
      <c r="AI11" s="1243"/>
      <c r="AJ11" s="1226" t="str">
        <f t="shared" si="2"/>
        <v/>
      </c>
      <c r="AK11" s="1244"/>
      <c r="AL11" s="1245" t="str" cm="1">
        <f t="array" ref="AL11">IF(OR(AJ11="",Q11=""),"",_xlfn.IFS(
ROUND(IFERROR(VALUE(TRIM(SUBSTITUTE(AJ11,CHAR(160),""))),0),2)&gt;
ROUND(IFERROR(VALUE(TRIM(SUBSTITUTE(Q11,CHAR(160),""))),0),2),
"KO : Le montant retenu est supérieur au montant présenté. Merci de revoir la ligne de contributions ou plafonner son montant.",
ROUND(IFERROR(VALUE(TRIM(SUBSTITUTE(Q11,CHAR(160),""))),0),2)=0,
"",
ROUND(IFERROR(VALUE(TRIM(SUBSTITUTE(AJ11,CHAR(160),""))),0),2)=
ROUND(IFERROR(VALUE(TRIM(SUBSTITUTE(Q11,CHAR(160),""))),0),2),
"OK",
ROUND(IFERROR(VALUE(TRIM(SUBSTITUTE(AJ11,CHAR(160),""))),0),2)=0,
"Attention : Montant présenté entièrement rejeté.",
ROUND(IFERROR(VALUE(TRIM(SUBSTITUTE(AJ11,CHAR(160),""))),0),2)&lt;
ROUND(IFERROR(VALUE(TRIM(SUBSTITUTE(Q11,CHAR(160),""))),0),2),
"Attention : Montant présenté partiellement rejeté.",
TRUE,""
))</f>
        <v/>
      </c>
      <c r="AM11" s="1254" t="str">
        <f t="shared" si="19"/>
        <v/>
      </c>
    </row>
    <row r="12" spans="1:39" ht="12.95" customHeight="1">
      <c r="A12" s="1875"/>
      <c r="B12" s="303">
        <v>4</v>
      </c>
      <c r="C12" s="11"/>
      <c r="D12" s="11"/>
      <c r="E12" s="11"/>
      <c r="F12" s="22"/>
      <c r="G12" s="11"/>
      <c r="H12" s="11"/>
      <c r="I12" s="160"/>
      <c r="J12" s="11"/>
      <c r="K12" s="11"/>
      <c r="L12" s="163"/>
      <c r="M12" s="11"/>
      <c r="N12" s="11"/>
      <c r="O12" s="1239" t="str">
        <f t="shared" si="3"/>
        <v/>
      </c>
      <c r="P12" s="135"/>
      <c r="Q12" s="159" t="str">
        <f t="shared" si="0"/>
        <v/>
      </c>
      <c r="R12" s="11"/>
      <c r="S12" s="1249"/>
      <c r="T12" s="1253" t="str">
        <f t="shared" si="4"/>
        <v/>
      </c>
      <c r="U12" s="1240" t="str">
        <f t="shared" si="5"/>
        <v/>
      </c>
      <c r="V12" s="1240" t="str">
        <f t="shared" si="6"/>
        <v/>
      </c>
      <c r="W12" s="1240" t="str">
        <f t="shared" si="7"/>
        <v/>
      </c>
      <c r="X12" s="1240" t="str">
        <f t="shared" si="8"/>
        <v/>
      </c>
      <c r="Y12" s="1240" t="str">
        <f t="shared" si="9"/>
        <v/>
      </c>
      <c r="Z12" s="1241" t="str">
        <f t="shared" si="10"/>
        <v/>
      </c>
      <c r="AA12" s="1240" t="str">
        <f t="shared" si="11"/>
        <v/>
      </c>
      <c r="AB12" s="1240" t="str">
        <f t="shared" si="12"/>
        <v/>
      </c>
      <c r="AC12" s="1240" t="str">
        <f t="shared" si="13"/>
        <v/>
      </c>
      <c r="AD12" s="1240" t="str">
        <f t="shared" si="14"/>
        <v/>
      </c>
      <c r="AE12" s="1240" t="str">
        <f t="shared" si="15"/>
        <v/>
      </c>
      <c r="AF12" s="1239" t="str">
        <f t="shared" si="16"/>
        <v/>
      </c>
      <c r="AG12" s="1242" t="str">
        <f t="shared" si="17"/>
        <v/>
      </c>
      <c r="AH12" s="1240" t="str">
        <f t="shared" si="18"/>
        <v/>
      </c>
      <c r="AI12" s="1243"/>
      <c r="AJ12" s="1226" t="str">
        <f t="shared" si="2"/>
        <v/>
      </c>
      <c r="AK12" s="1244"/>
      <c r="AL12" s="1245" t="str" cm="1">
        <f t="array" ref="AL12">IF(OR(AJ12="",Q12=""),"",_xlfn.IFS(
ROUND(IFERROR(VALUE(TRIM(SUBSTITUTE(AJ12,CHAR(160),""))),0),2)&gt;
ROUND(IFERROR(VALUE(TRIM(SUBSTITUTE(Q12,CHAR(160),""))),0),2),
"KO : Le montant retenu est supérieur au montant présenté. Merci de revoir la ligne de contributions ou plafonner son montant.",
ROUND(IFERROR(VALUE(TRIM(SUBSTITUTE(Q12,CHAR(160),""))),0),2)=0,
"",
ROUND(IFERROR(VALUE(TRIM(SUBSTITUTE(AJ12,CHAR(160),""))),0),2)=
ROUND(IFERROR(VALUE(TRIM(SUBSTITUTE(Q12,CHAR(160),""))),0),2),
"OK",
ROUND(IFERROR(VALUE(TRIM(SUBSTITUTE(AJ12,CHAR(160),""))),0),2)=0,
"Attention : Montant présenté entièrement rejeté.",
ROUND(IFERROR(VALUE(TRIM(SUBSTITUTE(AJ12,CHAR(160),""))),0),2)&lt;
ROUND(IFERROR(VALUE(TRIM(SUBSTITUTE(Q12,CHAR(160),""))),0),2),
"Attention : Montant présenté partiellement rejeté.",
TRUE,""
))</f>
        <v/>
      </c>
      <c r="AM12" s="1254" t="str">
        <f t="shared" si="19"/>
        <v/>
      </c>
    </row>
    <row r="13" spans="1:39" ht="12.95" customHeight="1">
      <c r="A13" s="1875"/>
      <c r="B13" s="303">
        <v>5</v>
      </c>
      <c r="C13" s="11"/>
      <c r="D13" s="11"/>
      <c r="E13" s="11"/>
      <c r="F13" s="22"/>
      <c r="G13" s="11"/>
      <c r="H13" s="11"/>
      <c r="I13" s="160"/>
      <c r="J13" s="11"/>
      <c r="K13" s="11"/>
      <c r="L13" s="163"/>
      <c r="M13" s="11"/>
      <c r="N13" s="11"/>
      <c r="O13" s="1239" t="str">
        <f t="shared" si="3"/>
        <v/>
      </c>
      <c r="P13" s="135"/>
      <c r="Q13" s="159" t="str">
        <f t="shared" si="0"/>
        <v/>
      </c>
      <c r="R13" s="11"/>
      <c r="S13" s="488"/>
      <c r="T13" s="1253" t="str">
        <f t="shared" si="4"/>
        <v/>
      </c>
      <c r="U13" s="1240" t="str">
        <f t="shared" si="5"/>
        <v/>
      </c>
      <c r="V13" s="1240" t="str">
        <f t="shared" si="6"/>
        <v/>
      </c>
      <c r="W13" s="1240" t="str">
        <f t="shared" si="7"/>
        <v/>
      </c>
      <c r="X13" s="1240" t="str">
        <f t="shared" si="8"/>
        <v/>
      </c>
      <c r="Y13" s="1240" t="str">
        <f t="shared" si="9"/>
        <v/>
      </c>
      <c r="Z13" s="1241" t="str">
        <f t="shared" si="10"/>
        <v/>
      </c>
      <c r="AA13" s="1240" t="str">
        <f t="shared" si="11"/>
        <v/>
      </c>
      <c r="AB13" s="1240" t="str">
        <f t="shared" si="12"/>
        <v/>
      </c>
      <c r="AC13" s="1240" t="str">
        <f t="shared" si="13"/>
        <v/>
      </c>
      <c r="AD13" s="1240" t="str">
        <f t="shared" si="14"/>
        <v/>
      </c>
      <c r="AE13" s="1240" t="str">
        <f t="shared" si="15"/>
        <v/>
      </c>
      <c r="AF13" s="1239" t="str">
        <f t="shared" si="16"/>
        <v/>
      </c>
      <c r="AG13" s="1242" t="str">
        <f t="shared" si="17"/>
        <v/>
      </c>
      <c r="AH13" s="1240" t="str">
        <f t="shared" si="18"/>
        <v/>
      </c>
      <c r="AI13" s="1243"/>
      <c r="AJ13" s="1226" t="str">
        <f t="shared" si="2"/>
        <v/>
      </c>
      <c r="AK13" s="1244"/>
      <c r="AL13" s="1245" t="str" cm="1">
        <f t="array" ref="AL13">IF(OR(AJ13="",Q13=""),"",_xlfn.IFS(
ROUND(IFERROR(VALUE(TRIM(SUBSTITUTE(AJ13,CHAR(160),""))),0),2)&gt;
ROUND(IFERROR(VALUE(TRIM(SUBSTITUTE(Q13,CHAR(160),""))),0),2),
"KO : Le montant retenu est supérieur au montant présenté. Merci de revoir la ligne de contributions ou plafonner son montant.",
ROUND(IFERROR(VALUE(TRIM(SUBSTITUTE(Q13,CHAR(160),""))),0),2)=0,
"",
ROUND(IFERROR(VALUE(TRIM(SUBSTITUTE(AJ13,CHAR(160),""))),0),2)=
ROUND(IFERROR(VALUE(TRIM(SUBSTITUTE(Q13,CHAR(160),""))),0),2),
"OK",
ROUND(IFERROR(VALUE(TRIM(SUBSTITUTE(AJ13,CHAR(160),""))),0),2)=0,
"Attention : Montant présenté entièrement rejeté.",
ROUND(IFERROR(VALUE(TRIM(SUBSTITUTE(AJ13,CHAR(160),""))),0),2)&lt;
ROUND(IFERROR(VALUE(TRIM(SUBSTITUTE(Q13,CHAR(160),""))),0),2),
"Attention : Montant présenté partiellement rejeté.",
TRUE,""
))</f>
        <v/>
      </c>
      <c r="AM13" s="1254" t="str">
        <f t="shared" si="19"/>
        <v/>
      </c>
    </row>
    <row r="14" spans="1:39" ht="12.95" customHeight="1">
      <c r="A14" s="1875"/>
      <c r="B14" s="303">
        <v>6</v>
      </c>
      <c r="C14" s="11"/>
      <c r="D14" s="11"/>
      <c r="E14" s="11"/>
      <c r="F14" s="22"/>
      <c r="G14" s="11"/>
      <c r="H14" s="11"/>
      <c r="I14" s="160"/>
      <c r="J14" s="11"/>
      <c r="K14" s="11"/>
      <c r="L14" s="163"/>
      <c r="M14" s="11"/>
      <c r="N14" s="11"/>
      <c r="O14" s="1239" t="str">
        <f t="shared" si="3"/>
        <v/>
      </c>
      <c r="P14" s="135"/>
      <c r="Q14" s="159" t="str">
        <f t="shared" si="0"/>
        <v/>
      </c>
      <c r="R14" s="11"/>
      <c r="S14" s="488"/>
      <c r="T14" s="1253" t="str">
        <f t="shared" si="4"/>
        <v/>
      </c>
      <c r="U14" s="1240" t="str">
        <f t="shared" si="5"/>
        <v/>
      </c>
      <c r="V14" s="1240" t="str">
        <f t="shared" si="6"/>
        <v/>
      </c>
      <c r="W14" s="1240" t="str">
        <f t="shared" si="7"/>
        <v/>
      </c>
      <c r="X14" s="1240" t="str">
        <f t="shared" si="8"/>
        <v/>
      </c>
      <c r="Y14" s="1240" t="str">
        <f t="shared" si="9"/>
        <v/>
      </c>
      <c r="Z14" s="1241" t="str">
        <f t="shared" si="10"/>
        <v/>
      </c>
      <c r="AA14" s="1240" t="str">
        <f t="shared" si="11"/>
        <v/>
      </c>
      <c r="AB14" s="1240" t="str">
        <f t="shared" si="12"/>
        <v/>
      </c>
      <c r="AC14" s="1240" t="str">
        <f t="shared" si="13"/>
        <v/>
      </c>
      <c r="AD14" s="1240" t="str">
        <f t="shared" si="14"/>
        <v/>
      </c>
      <c r="AE14" s="1240" t="str">
        <f t="shared" si="15"/>
        <v/>
      </c>
      <c r="AF14" s="1239" t="str">
        <f t="shared" si="16"/>
        <v/>
      </c>
      <c r="AG14" s="1242" t="str">
        <f t="shared" si="17"/>
        <v/>
      </c>
      <c r="AH14" s="1240" t="str">
        <f t="shared" si="18"/>
        <v/>
      </c>
      <c r="AI14" s="1243"/>
      <c r="AJ14" s="1226" t="str">
        <f t="shared" si="2"/>
        <v/>
      </c>
      <c r="AK14" s="1244"/>
      <c r="AL14" s="1245" t="str" cm="1">
        <f t="array" ref="AL14">IF(OR(AJ14="",Q14=""),"",_xlfn.IFS(
ROUND(IFERROR(VALUE(TRIM(SUBSTITUTE(AJ14,CHAR(160),""))),0),2)&gt;
ROUND(IFERROR(VALUE(TRIM(SUBSTITUTE(Q14,CHAR(160),""))),0),2),
"KO : Le montant retenu est supérieur au montant présenté. Merci de revoir la ligne de contributions ou plafonner son montant.",
ROUND(IFERROR(VALUE(TRIM(SUBSTITUTE(Q14,CHAR(160),""))),0),2)=0,
"",
ROUND(IFERROR(VALUE(TRIM(SUBSTITUTE(AJ14,CHAR(160),""))),0),2)=
ROUND(IFERROR(VALUE(TRIM(SUBSTITUTE(Q14,CHAR(160),""))),0),2),
"OK",
ROUND(IFERROR(VALUE(TRIM(SUBSTITUTE(AJ14,CHAR(160),""))),0),2)=0,
"Attention : Montant présenté entièrement rejeté.",
ROUND(IFERROR(VALUE(TRIM(SUBSTITUTE(AJ14,CHAR(160),""))),0),2)&lt;
ROUND(IFERROR(VALUE(TRIM(SUBSTITUTE(Q14,CHAR(160),""))),0),2),
"Attention : Montant présenté partiellement rejeté.",
TRUE,""
))</f>
        <v/>
      </c>
      <c r="AM14" s="1254" t="str">
        <f t="shared" si="19"/>
        <v/>
      </c>
    </row>
    <row r="15" spans="1:39" ht="12.95" customHeight="1">
      <c r="A15" s="1875"/>
      <c r="B15" s="303">
        <v>7</v>
      </c>
      <c r="C15" s="11"/>
      <c r="D15" s="11"/>
      <c r="E15" s="11"/>
      <c r="F15" s="22"/>
      <c r="G15" s="11"/>
      <c r="H15" s="11"/>
      <c r="I15" s="160"/>
      <c r="J15" s="11"/>
      <c r="K15" s="11"/>
      <c r="L15" s="163"/>
      <c r="M15" s="11"/>
      <c r="N15" s="11"/>
      <c r="O15" s="1239" t="str">
        <f t="shared" si="3"/>
        <v/>
      </c>
      <c r="P15" s="135"/>
      <c r="Q15" s="159" t="str">
        <f t="shared" si="0"/>
        <v/>
      </c>
      <c r="R15" s="11"/>
      <c r="S15" s="488"/>
      <c r="T15" s="1253" t="str">
        <f t="shared" si="4"/>
        <v/>
      </c>
      <c r="U15" s="1240" t="str">
        <f t="shared" si="5"/>
        <v/>
      </c>
      <c r="V15" s="1240" t="str">
        <f t="shared" si="6"/>
        <v/>
      </c>
      <c r="W15" s="1240" t="str">
        <f t="shared" si="7"/>
        <v/>
      </c>
      <c r="X15" s="1240" t="str">
        <f t="shared" si="8"/>
        <v/>
      </c>
      <c r="Y15" s="1240" t="str">
        <f t="shared" si="9"/>
        <v/>
      </c>
      <c r="Z15" s="1241" t="str">
        <f t="shared" si="10"/>
        <v/>
      </c>
      <c r="AA15" s="1240" t="str">
        <f t="shared" si="11"/>
        <v/>
      </c>
      <c r="AB15" s="1240" t="str">
        <f t="shared" si="12"/>
        <v/>
      </c>
      <c r="AC15" s="1240" t="str">
        <f t="shared" si="13"/>
        <v/>
      </c>
      <c r="AD15" s="1240" t="str">
        <f t="shared" si="14"/>
        <v/>
      </c>
      <c r="AE15" s="1240" t="str">
        <f t="shared" si="15"/>
        <v/>
      </c>
      <c r="AF15" s="1239" t="str">
        <f t="shared" si="16"/>
        <v/>
      </c>
      <c r="AG15" s="1242" t="str">
        <f t="shared" si="17"/>
        <v/>
      </c>
      <c r="AH15" s="1240" t="str">
        <f t="shared" si="18"/>
        <v/>
      </c>
      <c r="AI15" s="1243"/>
      <c r="AJ15" s="1226" t="str">
        <f t="shared" si="2"/>
        <v/>
      </c>
      <c r="AK15" s="1244"/>
      <c r="AL15" s="1245" t="str" cm="1">
        <f t="array" ref="AL15">IF(OR(AJ15="",Q15=""),"",_xlfn.IFS(
ROUND(IFERROR(VALUE(TRIM(SUBSTITUTE(AJ15,CHAR(160),""))),0),2)&gt;
ROUND(IFERROR(VALUE(TRIM(SUBSTITUTE(Q15,CHAR(160),""))),0),2),
"KO : Le montant retenu est supérieur au montant présenté. Merci de revoir la ligne de contributions ou plafonner son montant.",
ROUND(IFERROR(VALUE(TRIM(SUBSTITUTE(Q15,CHAR(160),""))),0),2)=0,
"",
ROUND(IFERROR(VALUE(TRIM(SUBSTITUTE(AJ15,CHAR(160),""))),0),2)=
ROUND(IFERROR(VALUE(TRIM(SUBSTITUTE(Q15,CHAR(160),""))),0),2),
"OK",
ROUND(IFERROR(VALUE(TRIM(SUBSTITUTE(AJ15,CHAR(160),""))),0),2)=0,
"Attention : Montant présenté entièrement rejeté.",
ROUND(IFERROR(VALUE(TRIM(SUBSTITUTE(AJ15,CHAR(160),""))),0),2)&lt;
ROUND(IFERROR(VALUE(TRIM(SUBSTITUTE(Q15,CHAR(160),""))),0),2),
"Attention : Montant présenté partiellement rejeté.",
TRUE,""
))</f>
        <v/>
      </c>
      <c r="AM15" s="1254" t="str">
        <f t="shared" si="19"/>
        <v/>
      </c>
    </row>
    <row r="16" spans="1:39" ht="12.95" customHeight="1">
      <c r="A16" s="1875"/>
      <c r="B16" s="303">
        <v>8</v>
      </c>
      <c r="C16" s="11"/>
      <c r="D16" s="11"/>
      <c r="E16" s="11"/>
      <c r="F16" s="22"/>
      <c r="G16" s="11"/>
      <c r="H16" s="11"/>
      <c r="I16" s="160"/>
      <c r="J16" s="11"/>
      <c r="K16" s="11"/>
      <c r="L16" s="163"/>
      <c r="M16" s="11"/>
      <c r="N16" s="11"/>
      <c r="O16" s="1239" t="str">
        <f t="shared" si="3"/>
        <v/>
      </c>
      <c r="P16" s="135"/>
      <c r="Q16" s="159" t="str">
        <f t="shared" si="0"/>
        <v/>
      </c>
      <c r="R16" s="11"/>
      <c r="S16" s="488"/>
      <c r="T16" s="1253" t="str">
        <f t="shared" si="4"/>
        <v/>
      </c>
      <c r="U16" s="1240" t="str">
        <f t="shared" si="5"/>
        <v/>
      </c>
      <c r="V16" s="1240" t="str">
        <f t="shared" si="6"/>
        <v/>
      </c>
      <c r="W16" s="1240" t="str">
        <f t="shared" si="7"/>
        <v/>
      </c>
      <c r="X16" s="1240" t="str">
        <f t="shared" si="8"/>
        <v/>
      </c>
      <c r="Y16" s="1240" t="str">
        <f t="shared" si="9"/>
        <v/>
      </c>
      <c r="Z16" s="1241" t="str">
        <f t="shared" si="10"/>
        <v/>
      </c>
      <c r="AA16" s="1240" t="str">
        <f t="shared" si="11"/>
        <v/>
      </c>
      <c r="AB16" s="1240" t="str">
        <f t="shared" si="12"/>
        <v/>
      </c>
      <c r="AC16" s="1240" t="str">
        <f t="shared" si="13"/>
        <v/>
      </c>
      <c r="AD16" s="1240" t="str">
        <f t="shared" si="14"/>
        <v/>
      </c>
      <c r="AE16" s="1240" t="str">
        <f t="shared" si="15"/>
        <v/>
      </c>
      <c r="AF16" s="1239" t="str">
        <f t="shared" si="16"/>
        <v/>
      </c>
      <c r="AG16" s="1242" t="str">
        <f t="shared" si="17"/>
        <v/>
      </c>
      <c r="AH16" s="1240" t="str">
        <f t="shared" si="18"/>
        <v/>
      </c>
      <c r="AI16" s="1243"/>
      <c r="AJ16" s="1226" t="str">
        <f t="shared" si="2"/>
        <v/>
      </c>
      <c r="AK16" s="1244"/>
      <c r="AL16" s="1245" t="str" cm="1">
        <f t="array" ref="AL16">IF(OR(AJ16="",Q16=""),"",_xlfn.IFS(
ROUND(IFERROR(VALUE(TRIM(SUBSTITUTE(AJ16,CHAR(160),""))),0),2)&gt;
ROUND(IFERROR(VALUE(TRIM(SUBSTITUTE(Q16,CHAR(160),""))),0),2),
"KO : Le montant retenu est supérieur au montant présenté. Merci de revoir la ligne de contributions ou plafonner son montant.",
ROUND(IFERROR(VALUE(TRIM(SUBSTITUTE(Q16,CHAR(160),""))),0),2)=0,
"",
ROUND(IFERROR(VALUE(TRIM(SUBSTITUTE(AJ16,CHAR(160),""))),0),2)=
ROUND(IFERROR(VALUE(TRIM(SUBSTITUTE(Q16,CHAR(160),""))),0),2),
"OK",
ROUND(IFERROR(VALUE(TRIM(SUBSTITUTE(AJ16,CHAR(160),""))),0),2)=0,
"Attention : Montant présenté entièrement rejeté.",
ROUND(IFERROR(VALUE(TRIM(SUBSTITUTE(AJ16,CHAR(160),""))),0),2)&lt;
ROUND(IFERROR(VALUE(TRIM(SUBSTITUTE(Q16,CHAR(160),""))),0),2),
"Attention : Montant présenté partiellement rejeté.",
TRUE,""
))</f>
        <v/>
      </c>
      <c r="AM16" s="1254" t="str">
        <f t="shared" si="19"/>
        <v/>
      </c>
    </row>
    <row r="17" spans="2:39" ht="12.95" customHeight="1">
      <c r="B17" s="303">
        <v>9</v>
      </c>
      <c r="C17" s="11"/>
      <c r="D17" s="11"/>
      <c r="E17" s="136"/>
      <c r="F17" s="22"/>
      <c r="G17" s="136"/>
      <c r="H17" s="136"/>
      <c r="I17" s="161"/>
      <c r="J17" s="136"/>
      <c r="K17" s="136"/>
      <c r="L17" s="137"/>
      <c r="M17" s="136"/>
      <c r="N17" s="136"/>
      <c r="O17" s="1239" t="str">
        <f t="shared" si="3"/>
        <v/>
      </c>
      <c r="P17" s="138"/>
      <c r="Q17" s="159" t="str">
        <f t="shared" si="0"/>
        <v/>
      </c>
      <c r="R17" s="1246"/>
      <c r="S17" s="488"/>
      <c r="T17" s="1253" t="str">
        <f t="shared" si="4"/>
        <v/>
      </c>
      <c r="U17" s="1240" t="str">
        <f t="shared" si="5"/>
        <v/>
      </c>
      <c r="V17" s="1240" t="str">
        <f t="shared" si="6"/>
        <v/>
      </c>
      <c r="W17" s="1240" t="str">
        <f t="shared" si="7"/>
        <v/>
      </c>
      <c r="X17" s="1240" t="str">
        <f t="shared" si="8"/>
        <v/>
      </c>
      <c r="Y17" s="1240" t="str">
        <f t="shared" si="9"/>
        <v/>
      </c>
      <c r="Z17" s="1241" t="str">
        <f t="shared" si="10"/>
        <v/>
      </c>
      <c r="AA17" s="1240" t="str">
        <f t="shared" si="11"/>
        <v/>
      </c>
      <c r="AB17" s="1240" t="str">
        <f t="shared" si="12"/>
        <v/>
      </c>
      <c r="AC17" s="1240" t="str">
        <f t="shared" si="13"/>
        <v/>
      </c>
      <c r="AD17" s="1240" t="str">
        <f t="shared" si="14"/>
        <v/>
      </c>
      <c r="AE17" s="1240" t="str">
        <f t="shared" si="15"/>
        <v/>
      </c>
      <c r="AF17" s="1239" t="str">
        <f t="shared" si="16"/>
        <v/>
      </c>
      <c r="AG17" s="1242" t="str">
        <f t="shared" si="17"/>
        <v/>
      </c>
      <c r="AH17" s="1240" t="str">
        <f t="shared" si="18"/>
        <v/>
      </c>
      <c r="AI17" s="1243"/>
      <c r="AJ17" s="1226" t="str">
        <f t="shared" si="2"/>
        <v/>
      </c>
      <c r="AK17" s="1244"/>
      <c r="AL17" s="1245" t="str" cm="1">
        <f t="array" ref="AL17">IF(OR(AJ17="",Q17=""),"",_xlfn.IFS(
ROUND(IFERROR(VALUE(TRIM(SUBSTITUTE(AJ17,CHAR(160),""))),0),2)&gt;
ROUND(IFERROR(VALUE(TRIM(SUBSTITUTE(Q17,CHAR(160),""))),0),2),
"KO : Le montant retenu est supérieur au montant présenté. Merci de revoir la ligne de contributions ou plafonner son montant.",
ROUND(IFERROR(VALUE(TRIM(SUBSTITUTE(Q17,CHAR(160),""))),0),2)=0,
"",
ROUND(IFERROR(VALUE(TRIM(SUBSTITUTE(AJ17,CHAR(160),""))),0),2)=
ROUND(IFERROR(VALUE(TRIM(SUBSTITUTE(Q17,CHAR(160),""))),0),2),
"OK",
ROUND(IFERROR(VALUE(TRIM(SUBSTITUTE(AJ17,CHAR(160),""))),0),2)=0,
"Attention : Montant présenté entièrement rejeté.",
ROUND(IFERROR(VALUE(TRIM(SUBSTITUTE(AJ17,CHAR(160),""))),0),2)&lt;
ROUND(IFERROR(VALUE(TRIM(SUBSTITUTE(Q17,CHAR(160),""))),0),2),
"Attention : Montant présenté partiellement rejeté.",
TRUE,""
))</f>
        <v/>
      </c>
      <c r="AM17" s="1254" t="str">
        <f t="shared" si="19"/>
        <v/>
      </c>
    </row>
    <row r="18" spans="2:39" ht="12.95" customHeight="1">
      <c r="B18" s="303">
        <v>10</v>
      </c>
      <c r="C18" s="11"/>
      <c r="D18" s="11"/>
      <c r="E18" s="136"/>
      <c r="F18" s="22"/>
      <c r="G18" s="136"/>
      <c r="H18" s="136"/>
      <c r="I18" s="161"/>
      <c r="J18" s="136"/>
      <c r="K18" s="136"/>
      <c r="L18" s="137"/>
      <c r="M18" s="136"/>
      <c r="N18" s="136"/>
      <c r="O18" s="1239" t="str">
        <f t="shared" si="3"/>
        <v/>
      </c>
      <c r="P18" s="138"/>
      <c r="Q18" s="159" t="str">
        <f t="shared" si="0"/>
        <v/>
      </c>
      <c r="R18" s="1246"/>
      <c r="S18" s="488"/>
      <c r="T18" s="1253" t="str">
        <f t="shared" si="4"/>
        <v/>
      </c>
      <c r="U18" s="1240" t="str">
        <f t="shared" si="5"/>
        <v/>
      </c>
      <c r="V18" s="1240" t="str">
        <f t="shared" si="6"/>
        <v/>
      </c>
      <c r="W18" s="1240" t="str">
        <f t="shared" si="7"/>
        <v/>
      </c>
      <c r="X18" s="1240" t="str">
        <f t="shared" si="8"/>
        <v/>
      </c>
      <c r="Y18" s="1240" t="str">
        <f t="shared" si="9"/>
        <v/>
      </c>
      <c r="Z18" s="1241" t="str">
        <f t="shared" si="10"/>
        <v/>
      </c>
      <c r="AA18" s="1240" t="str">
        <f t="shared" si="11"/>
        <v/>
      </c>
      <c r="AB18" s="1240" t="str">
        <f t="shared" si="12"/>
        <v/>
      </c>
      <c r="AC18" s="1240" t="str">
        <f t="shared" si="13"/>
        <v/>
      </c>
      <c r="AD18" s="1240" t="str">
        <f t="shared" si="14"/>
        <v/>
      </c>
      <c r="AE18" s="1240" t="str">
        <f t="shared" si="15"/>
        <v/>
      </c>
      <c r="AF18" s="1239" t="str">
        <f t="shared" si="16"/>
        <v/>
      </c>
      <c r="AG18" s="1242" t="str">
        <f t="shared" si="17"/>
        <v/>
      </c>
      <c r="AH18" s="1240" t="str">
        <f t="shared" si="18"/>
        <v/>
      </c>
      <c r="AI18" s="1243"/>
      <c r="AJ18" s="1226" t="str">
        <f t="shared" si="2"/>
        <v/>
      </c>
      <c r="AK18" s="1244"/>
      <c r="AL18" s="1245" t="str" cm="1">
        <f t="array" ref="AL18">IF(OR(AJ18="",Q18=""),"",_xlfn.IFS(
ROUND(IFERROR(VALUE(TRIM(SUBSTITUTE(AJ18,CHAR(160),""))),0),2)&gt;
ROUND(IFERROR(VALUE(TRIM(SUBSTITUTE(Q18,CHAR(160),""))),0),2),
"KO : Le montant retenu est supérieur au montant présenté. Merci de revoir la ligne de contributions ou plafonner son montant.",
ROUND(IFERROR(VALUE(TRIM(SUBSTITUTE(Q18,CHAR(160),""))),0),2)=0,
"",
ROUND(IFERROR(VALUE(TRIM(SUBSTITUTE(AJ18,CHAR(160),""))),0),2)=
ROUND(IFERROR(VALUE(TRIM(SUBSTITUTE(Q18,CHAR(160),""))),0),2),
"OK",
ROUND(IFERROR(VALUE(TRIM(SUBSTITUTE(AJ18,CHAR(160),""))),0),2)=0,
"Attention : Montant présenté entièrement rejeté.",
ROUND(IFERROR(VALUE(TRIM(SUBSTITUTE(AJ18,CHAR(160),""))),0),2)&lt;
ROUND(IFERROR(VALUE(TRIM(SUBSTITUTE(Q18,CHAR(160),""))),0),2),
"Attention : Montant présenté partiellement rejeté.",
TRUE,""
))</f>
        <v/>
      </c>
      <c r="AM18" s="1254" t="str">
        <f t="shared" si="19"/>
        <v/>
      </c>
    </row>
    <row r="19" spans="2:39" ht="12.95" customHeight="1">
      <c r="B19" s="303">
        <v>11</v>
      </c>
      <c r="C19" s="11"/>
      <c r="D19" s="11"/>
      <c r="E19" s="136"/>
      <c r="F19" s="22"/>
      <c r="G19" s="136"/>
      <c r="H19" s="136"/>
      <c r="I19" s="161"/>
      <c r="J19" s="136"/>
      <c r="K19" s="136"/>
      <c r="L19" s="137"/>
      <c r="M19" s="136"/>
      <c r="N19" s="136"/>
      <c r="O19" s="1239" t="str">
        <f t="shared" si="3"/>
        <v/>
      </c>
      <c r="P19" s="138"/>
      <c r="Q19" s="159" t="str">
        <f t="shared" si="0"/>
        <v/>
      </c>
      <c r="R19" s="1246"/>
      <c r="S19" s="488"/>
      <c r="T19" s="1253" t="str">
        <f t="shared" si="4"/>
        <v/>
      </c>
      <c r="U19" s="1240" t="str">
        <f t="shared" si="5"/>
        <v/>
      </c>
      <c r="V19" s="1240" t="str">
        <f t="shared" si="6"/>
        <v/>
      </c>
      <c r="W19" s="1240" t="str">
        <f t="shared" si="7"/>
        <v/>
      </c>
      <c r="X19" s="1240" t="str">
        <f t="shared" si="8"/>
        <v/>
      </c>
      <c r="Y19" s="1240" t="str">
        <f t="shared" si="9"/>
        <v/>
      </c>
      <c r="Z19" s="1241" t="str">
        <f t="shared" si="10"/>
        <v/>
      </c>
      <c r="AA19" s="1240" t="str">
        <f t="shared" si="11"/>
        <v/>
      </c>
      <c r="AB19" s="1240" t="str">
        <f t="shared" si="12"/>
        <v/>
      </c>
      <c r="AC19" s="1240" t="str">
        <f t="shared" si="13"/>
        <v/>
      </c>
      <c r="AD19" s="1240" t="str">
        <f t="shared" si="14"/>
        <v/>
      </c>
      <c r="AE19" s="1240" t="str">
        <f t="shared" si="15"/>
        <v/>
      </c>
      <c r="AF19" s="1239" t="str">
        <f t="shared" si="16"/>
        <v/>
      </c>
      <c r="AG19" s="1242" t="str">
        <f t="shared" si="17"/>
        <v/>
      </c>
      <c r="AH19" s="1240" t="str">
        <f t="shared" si="18"/>
        <v/>
      </c>
      <c r="AI19" s="1243"/>
      <c r="AJ19" s="1226" t="str">
        <f t="shared" si="2"/>
        <v/>
      </c>
      <c r="AK19" s="1244"/>
      <c r="AL19" s="1245" t="str" cm="1">
        <f t="array" ref="AL19">IF(OR(AJ19="",Q19=""),"",_xlfn.IFS(
ROUND(IFERROR(VALUE(TRIM(SUBSTITUTE(AJ19,CHAR(160),""))),0),2)&gt;
ROUND(IFERROR(VALUE(TRIM(SUBSTITUTE(Q19,CHAR(160),""))),0),2),
"KO : Le montant retenu est supérieur au montant présenté. Merci de revoir la ligne de contributions ou plafonner son montant.",
ROUND(IFERROR(VALUE(TRIM(SUBSTITUTE(Q19,CHAR(160),""))),0),2)=0,
"",
ROUND(IFERROR(VALUE(TRIM(SUBSTITUTE(AJ19,CHAR(160),""))),0),2)=
ROUND(IFERROR(VALUE(TRIM(SUBSTITUTE(Q19,CHAR(160),""))),0),2),
"OK",
ROUND(IFERROR(VALUE(TRIM(SUBSTITUTE(AJ19,CHAR(160),""))),0),2)=0,
"Attention : Montant présenté entièrement rejeté.",
ROUND(IFERROR(VALUE(TRIM(SUBSTITUTE(AJ19,CHAR(160),""))),0),2)&lt;
ROUND(IFERROR(VALUE(TRIM(SUBSTITUTE(Q19,CHAR(160),""))),0),2),
"Attention : Montant présenté partiellement rejeté.",
TRUE,""
))</f>
        <v/>
      </c>
      <c r="AM19" s="1254" t="str">
        <f t="shared" si="19"/>
        <v/>
      </c>
    </row>
    <row r="20" spans="2:39" ht="12.95" customHeight="1">
      <c r="B20" s="303">
        <v>12</v>
      </c>
      <c r="C20" s="11"/>
      <c r="D20" s="11"/>
      <c r="E20" s="136"/>
      <c r="F20" s="22"/>
      <c r="G20" s="136"/>
      <c r="H20" s="136"/>
      <c r="I20" s="161"/>
      <c r="J20" s="136"/>
      <c r="K20" s="136"/>
      <c r="L20" s="137"/>
      <c r="M20" s="136"/>
      <c r="N20" s="136"/>
      <c r="O20" s="1239" t="str">
        <f t="shared" si="3"/>
        <v/>
      </c>
      <c r="P20" s="138"/>
      <c r="Q20" s="159" t="str">
        <f t="shared" si="0"/>
        <v/>
      </c>
      <c r="R20" s="1246"/>
      <c r="S20" s="488"/>
      <c r="T20" s="1253" t="str">
        <f t="shared" si="4"/>
        <v/>
      </c>
      <c r="U20" s="1240" t="str">
        <f t="shared" si="5"/>
        <v/>
      </c>
      <c r="V20" s="1240" t="str">
        <f t="shared" si="6"/>
        <v/>
      </c>
      <c r="W20" s="1240" t="str">
        <f t="shared" si="7"/>
        <v/>
      </c>
      <c r="X20" s="1240" t="str">
        <f t="shared" si="8"/>
        <v/>
      </c>
      <c r="Y20" s="1240" t="str">
        <f t="shared" si="9"/>
        <v/>
      </c>
      <c r="Z20" s="1241" t="str">
        <f t="shared" si="10"/>
        <v/>
      </c>
      <c r="AA20" s="1240" t="str">
        <f t="shared" si="11"/>
        <v/>
      </c>
      <c r="AB20" s="1240" t="str">
        <f t="shared" si="12"/>
        <v/>
      </c>
      <c r="AC20" s="1240" t="str">
        <f t="shared" si="13"/>
        <v/>
      </c>
      <c r="AD20" s="1240" t="str">
        <f t="shared" si="14"/>
        <v/>
      </c>
      <c r="AE20" s="1240" t="str">
        <f t="shared" si="15"/>
        <v/>
      </c>
      <c r="AF20" s="1239" t="str">
        <f t="shared" si="16"/>
        <v/>
      </c>
      <c r="AG20" s="1242" t="str">
        <f t="shared" si="17"/>
        <v/>
      </c>
      <c r="AH20" s="1240" t="str">
        <f t="shared" si="18"/>
        <v/>
      </c>
      <c r="AI20" s="1243"/>
      <c r="AJ20" s="1226" t="str">
        <f t="shared" si="2"/>
        <v/>
      </c>
      <c r="AK20" s="1244"/>
      <c r="AL20" s="1245" t="str" cm="1">
        <f t="array" ref="AL20">IF(OR(AJ20="",Q20=""),"",_xlfn.IFS(
ROUND(IFERROR(VALUE(TRIM(SUBSTITUTE(AJ20,CHAR(160),""))),0),2)&gt;
ROUND(IFERROR(VALUE(TRIM(SUBSTITUTE(Q20,CHAR(160),""))),0),2),
"KO : Le montant retenu est supérieur au montant présenté. Merci de revoir la ligne de contributions ou plafonner son montant.",
ROUND(IFERROR(VALUE(TRIM(SUBSTITUTE(Q20,CHAR(160),""))),0),2)=0,
"",
ROUND(IFERROR(VALUE(TRIM(SUBSTITUTE(AJ20,CHAR(160),""))),0),2)=
ROUND(IFERROR(VALUE(TRIM(SUBSTITUTE(Q20,CHAR(160),""))),0),2),
"OK",
ROUND(IFERROR(VALUE(TRIM(SUBSTITUTE(AJ20,CHAR(160),""))),0),2)=0,
"Attention : Montant présenté entièrement rejeté.",
ROUND(IFERROR(VALUE(TRIM(SUBSTITUTE(AJ20,CHAR(160),""))),0),2)&lt;
ROUND(IFERROR(VALUE(TRIM(SUBSTITUTE(Q20,CHAR(160),""))),0),2),
"Attention : Montant présenté partiellement rejeté.",
TRUE,""
))</f>
        <v/>
      </c>
      <c r="AM20" s="1254" t="str">
        <f t="shared" si="19"/>
        <v/>
      </c>
    </row>
    <row r="21" spans="2:39" ht="12.95" customHeight="1">
      <c r="B21" s="360">
        <v>13</v>
      </c>
      <c r="C21" s="11"/>
      <c r="D21" s="11"/>
      <c r="E21" s="136"/>
      <c r="F21" s="22"/>
      <c r="G21" s="136"/>
      <c r="H21" s="136"/>
      <c r="I21" s="161"/>
      <c r="J21" s="136"/>
      <c r="K21" s="136"/>
      <c r="L21" s="137"/>
      <c r="M21" s="136"/>
      <c r="N21" s="136"/>
      <c r="O21" s="1239" t="str">
        <f t="shared" si="3"/>
        <v/>
      </c>
      <c r="P21" s="138"/>
      <c r="Q21" s="159" t="str">
        <f t="shared" si="0"/>
        <v/>
      </c>
      <c r="R21" s="1246"/>
      <c r="S21" s="488"/>
      <c r="T21" s="1253" t="str">
        <f t="shared" si="4"/>
        <v/>
      </c>
      <c r="U21" s="1240" t="str">
        <f t="shared" si="5"/>
        <v/>
      </c>
      <c r="V21" s="1240" t="str">
        <f t="shared" si="6"/>
        <v/>
      </c>
      <c r="W21" s="1240" t="str">
        <f t="shared" si="7"/>
        <v/>
      </c>
      <c r="X21" s="1240" t="str">
        <f t="shared" si="8"/>
        <v/>
      </c>
      <c r="Y21" s="1240" t="str">
        <f t="shared" si="9"/>
        <v/>
      </c>
      <c r="Z21" s="1241" t="str">
        <f t="shared" si="10"/>
        <v/>
      </c>
      <c r="AA21" s="1240" t="str">
        <f t="shared" si="11"/>
        <v/>
      </c>
      <c r="AB21" s="1240" t="str">
        <f t="shared" si="12"/>
        <v/>
      </c>
      <c r="AC21" s="1240" t="str">
        <f t="shared" si="13"/>
        <v/>
      </c>
      <c r="AD21" s="1240" t="str">
        <f t="shared" si="14"/>
        <v/>
      </c>
      <c r="AE21" s="1240" t="str">
        <f t="shared" si="15"/>
        <v/>
      </c>
      <c r="AF21" s="1239" t="str">
        <f t="shared" si="16"/>
        <v/>
      </c>
      <c r="AG21" s="1242" t="str">
        <f t="shared" si="17"/>
        <v/>
      </c>
      <c r="AH21" s="1240" t="str">
        <f t="shared" si="18"/>
        <v/>
      </c>
      <c r="AI21" s="1243"/>
      <c r="AJ21" s="1226" t="str">
        <f t="shared" si="2"/>
        <v/>
      </c>
      <c r="AK21" s="1244"/>
      <c r="AL21" s="1245" t="str" cm="1">
        <f t="array" ref="AL21">IF(OR(AJ21="",Q21=""),"",_xlfn.IFS(
ROUND(IFERROR(VALUE(TRIM(SUBSTITUTE(AJ21,CHAR(160),""))),0),2)&gt;
ROUND(IFERROR(VALUE(TRIM(SUBSTITUTE(Q21,CHAR(160),""))),0),2),
"KO : Le montant retenu est supérieur au montant présenté. Merci de revoir la ligne de contributions ou plafonner son montant.",
ROUND(IFERROR(VALUE(TRIM(SUBSTITUTE(Q21,CHAR(160),""))),0),2)=0,
"",
ROUND(IFERROR(VALUE(TRIM(SUBSTITUTE(AJ21,CHAR(160),""))),0),2)=
ROUND(IFERROR(VALUE(TRIM(SUBSTITUTE(Q21,CHAR(160),""))),0),2),
"OK",
ROUND(IFERROR(VALUE(TRIM(SUBSTITUTE(AJ21,CHAR(160),""))),0),2)=0,
"Attention : Montant présenté entièrement rejeté.",
ROUND(IFERROR(VALUE(TRIM(SUBSTITUTE(AJ21,CHAR(160),""))),0),2)&lt;
ROUND(IFERROR(VALUE(TRIM(SUBSTITUTE(Q21,CHAR(160),""))),0),2),
"Attention : Montant présenté partiellement rejeté.",
TRUE,""
))</f>
        <v/>
      </c>
      <c r="AM21" s="1254" t="str">
        <f t="shared" si="19"/>
        <v/>
      </c>
    </row>
    <row r="22" spans="2:39" ht="12.95" customHeight="1">
      <c r="B22" s="303">
        <v>14</v>
      </c>
      <c r="C22" s="11"/>
      <c r="D22" s="11"/>
      <c r="E22" s="136"/>
      <c r="F22" s="22"/>
      <c r="G22" s="136"/>
      <c r="H22" s="136"/>
      <c r="I22" s="161"/>
      <c r="J22" s="136"/>
      <c r="K22" s="136"/>
      <c r="L22" s="137"/>
      <c r="M22" s="136"/>
      <c r="N22" s="136"/>
      <c r="O22" s="1239" t="str">
        <f t="shared" si="3"/>
        <v/>
      </c>
      <c r="P22" s="138"/>
      <c r="Q22" s="159" t="str">
        <f t="shared" si="0"/>
        <v/>
      </c>
      <c r="R22" s="1246"/>
      <c r="S22" s="488"/>
      <c r="T22" s="1253" t="str">
        <f t="shared" si="4"/>
        <v/>
      </c>
      <c r="U22" s="1240" t="str">
        <f t="shared" si="5"/>
        <v/>
      </c>
      <c r="V22" s="1240" t="str">
        <f t="shared" si="6"/>
        <v/>
      </c>
      <c r="W22" s="1240" t="str">
        <f t="shared" si="7"/>
        <v/>
      </c>
      <c r="X22" s="1240" t="str">
        <f t="shared" si="8"/>
        <v/>
      </c>
      <c r="Y22" s="1240" t="str">
        <f t="shared" si="9"/>
        <v/>
      </c>
      <c r="Z22" s="1241" t="str">
        <f t="shared" si="10"/>
        <v/>
      </c>
      <c r="AA22" s="1240" t="str">
        <f t="shared" si="11"/>
        <v/>
      </c>
      <c r="AB22" s="1240" t="str">
        <f t="shared" si="12"/>
        <v/>
      </c>
      <c r="AC22" s="1240" t="str">
        <f t="shared" si="13"/>
        <v/>
      </c>
      <c r="AD22" s="1240" t="str">
        <f t="shared" si="14"/>
        <v/>
      </c>
      <c r="AE22" s="1240" t="str">
        <f t="shared" si="15"/>
        <v/>
      </c>
      <c r="AF22" s="1239" t="str">
        <f t="shared" si="16"/>
        <v/>
      </c>
      <c r="AG22" s="1242" t="str">
        <f t="shared" si="17"/>
        <v/>
      </c>
      <c r="AH22" s="1240" t="str">
        <f t="shared" si="18"/>
        <v/>
      </c>
      <c r="AI22" s="1243"/>
      <c r="AJ22" s="1226" t="str">
        <f t="shared" si="2"/>
        <v/>
      </c>
      <c r="AK22" s="1244"/>
      <c r="AL22" s="1245" t="str" cm="1">
        <f t="array" ref="AL22">IF(OR(AJ22="",Q22=""),"",_xlfn.IFS(
ROUND(IFERROR(VALUE(TRIM(SUBSTITUTE(AJ22,CHAR(160),""))),0),2)&gt;
ROUND(IFERROR(VALUE(TRIM(SUBSTITUTE(Q22,CHAR(160),""))),0),2),
"KO : Le montant retenu est supérieur au montant présenté. Merci de revoir la ligne de contributions ou plafonner son montant.",
ROUND(IFERROR(VALUE(TRIM(SUBSTITUTE(Q22,CHAR(160),""))),0),2)=0,
"",
ROUND(IFERROR(VALUE(TRIM(SUBSTITUTE(AJ22,CHAR(160),""))),0),2)=
ROUND(IFERROR(VALUE(TRIM(SUBSTITUTE(Q22,CHAR(160),""))),0),2),
"OK",
ROUND(IFERROR(VALUE(TRIM(SUBSTITUTE(AJ22,CHAR(160),""))),0),2)=0,
"Attention : Montant présenté entièrement rejeté.",
ROUND(IFERROR(VALUE(TRIM(SUBSTITUTE(AJ22,CHAR(160),""))),0),2)&lt;
ROUND(IFERROR(VALUE(TRIM(SUBSTITUTE(Q22,CHAR(160),""))),0),2),
"Attention : Montant présenté partiellement rejeté.",
TRUE,""
))</f>
        <v/>
      </c>
      <c r="AM22" s="1254" t="str">
        <f t="shared" si="19"/>
        <v/>
      </c>
    </row>
    <row r="23" spans="2:39" ht="12.95" customHeight="1" thickBot="1">
      <c r="B23" s="1207">
        <v>15</v>
      </c>
      <c r="C23" s="12"/>
      <c r="D23" s="12"/>
      <c r="E23" s="139"/>
      <c r="F23" s="927"/>
      <c r="G23" s="139"/>
      <c r="H23" s="139"/>
      <c r="I23" s="162"/>
      <c r="J23" s="139"/>
      <c r="K23" s="139"/>
      <c r="L23" s="140"/>
      <c r="M23" s="139"/>
      <c r="N23" s="139"/>
      <c r="O23" s="1247" t="str">
        <f t="shared" si="3"/>
        <v/>
      </c>
      <c r="P23" s="928"/>
      <c r="Q23" s="929" t="str">
        <f t="shared" si="0"/>
        <v/>
      </c>
      <c r="R23" s="1248"/>
      <c r="S23" s="1214"/>
      <c r="T23" s="1255" t="str">
        <f t="shared" si="4"/>
        <v/>
      </c>
      <c r="U23" s="1240" t="str">
        <f t="shared" si="5"/>
        <v/>
      </c>
      <c r="V23" s="1256" t="str">
        <f t="shared" si="6"/>
        <v/>
      </c>
      <c r="W23" s="1256" t="str">
        <f t="shared" si="7"/>
        <v/>
      </c>
      <c r="X23" s="1256" t="str">
        <f t="shared" si="8"/>
        <v/>
      </c>
      <c r="Y23" s="1256" t="str">
        <f t="shared" si="9"/>
        <v/>
      </c>
      <c r="Z23" s="1257" t="str">
        <f t="shared" si="10"/>
        <v/>
      </c>
      <c r="AA23" s="1256" t="str">
        <f t="shared" si="11"/>
        <v/>
      </c>
      <c r="AB23" s="1256" t="str">
        <f t="shared" si="12"/>
        <v/>
      </c>
      <c r="AC23" s="1256" t="str">
        <f t="shared" si="13"/>
        <v/>
      </c>
      <c r="AD23" s="1256" t="str">
        <f t="shared" si="14"/>
        <v/>
      </c>
      <c r="AE23" s="1256" t="str">
        <f t="shared" si="15"/>
        <v/>
      </c>
      <c r="AF23" s="1247" t="str">
        <f t="shared" si="16"/>
        <v/>
      </c>
      <c r="AG23" s="1258" t="str">
        <f t="shared" si="17"/>
        <v/>
      </c>
      <c r="AH23" s="1256" t="str">
        <f t="shared" si="18"/>
        <v/>
      </c>
      <c r="AI23" s="1259"/>
      <c r="AJ23" s="1260" t="str">
        <f t="shared" si="2"/>
        <v/>
      </c>
      <c r="AK23" s="1261"/>
      <c r="AL23" s="1262" t="str" cm="1">
        <f t="array" ref="AL23">IF(OR(AJ23="",Q23=""),"",_xlfn.IFS(
ROUND(IFERROR(VALUE(TRIM(SUBSTITUTE(AJ23,CHAR(160),""))),0),2)&gt;
ROUND(IFERROR(VALUE(TRIM(SUBSTITUTE(Q23,CHAR(160),""))),0),2),
"KO : Le montant retenu est supérieur au montant présenté. Merci de revoir la ligne de contributions ou plafonner son montant.",
ROUND(IFERROR(VALUE(TRIM(SUBSTITUTE(Q23,CHAR(160),""))),0),2)=0,
"",
ROUND(IFERROR(VALUE(TRIM(SUBSTITUTE(AJ23,CHAR(160),""))),0),2)=
ROUND(IFERROR(VALUE(TRIM(SUBSTITUTE(Q23,CHAR(160),""))),0),2),
"OK",
ROUND(IFERROR(VALUE(TRIM(SUBSTITUTE(AJ23,CHAR(160),""))),0),2)=0,
"Attention : Montant présenté entièrement rejeté.",
ROUND(IFERROR(VALUE(TRIM(SUBSTITUTE(AJ23,CHAR(160),""))),0),2)&lt;
ROUND(IFERROR(VALUE(TRIM(SUBSTITUTE(Q23,CHAR(160),""))),0),2),
"Attention : Montant présenté partiellement rejeté.",
TRUE,""
))</f>
        <v/>
      </c>
      <c r="AM23" s="1263" t="str">
        <f t="shared" si="19"/>
        <v/>
      </c>
    </row>
    <row r="24" spans="2:39" ht="15.95" thickBot="1">
      <c r="C24"/>
      <c r="D24"/>
      <c r="E24"/>
      <c r="F24"/>
      <c r="G24"/>
      <c r="H24"/>
      <c r="I24"/>
      <c r="M24"/>
      <c r="N24"/>
      <c r="P24" s="925" t="s">
        <v>146</v>
      </c>
      <c r="Q24" s="926">
        <f>SUM(Q9:Q23)</f>
        <v>0</v>
      </c>
      <c r="R24"/>
      <c r="S24"/>
      <c r="T24"/>
      <c r="U24"/>
      <c r="V24"/>
      <c r="W24"/>
      <c r="X24"/>
      <c r="Y24"/>
      <c r="Z24" s="746"/>
      <c r="AF24" s="571"/>
      <c r="AG24" s="572"/>
      <c r="AI24" s="925" t="s">
        <v>147</v>
      </c>
      <c r="AJ24" s="1236">
        <f>SUM(AJ9:AJ23)</f>
        <v>0</v>
      </c>
      <c r="AL24" s="1237" t="s">
        <v>285</v>
      </c>
      <c r="AM24" s="1238">
        <f>SUM(AM9:AM23)</f>
        <v>0</v>
      </c>
    </row>
    <row r="25" spans="2:39" ht="15.95" thickBot="1"/>
    <row r="26" spans="2:39">
      <c r="D26" s="142"/>
      <c r="E26" s="143"/>
      <c r="F26" s="143"/>
      <c r="G26" s="144"/>
    </row>
    <row r="27" spans="2:39">
      <c r="D27" s="145"/>
      <c r="E27" s="146"/>
      <c r="F27" s="146"/>
      <c r="G27" s="147"/>
    </row>
    <row r="28" spans="2:39">
      <c r="D28" s="148"/>
      <c r="E28" s="146"/>
      <c r="F28" s="146"/>
      <c r="G28" s="147"/>
    </row>
    <row r="29" spans="2:39">
      <c r="D29" s="149"/>
      <c r="E29" s="146"/>
      <c r="F29" s="146"/>
      <c r="G29" s="147"/>
    </row>
    <row r="30" spans="2:39">
      <c r="D30" s="149"/>
      <c r="E30" s="146"/>
      <c r="F30" s="146"/>
      <c r="G30" s="147"/>
    </row>
    <row r="31" spans="2:39">
      <c r="D31" s="150"/>
      <c r="E31" s="146"/>
      <c r="F31" s="146"/>
      <c r="G31" s="147"/>
    </row>
    <row r="32" spans="2:39">
      <c r="D32" s="151"/>
      <c r="E32" s="146"/>
      <c r="F32" s="146"/>
      <c r="G32" s="147"/>
    </row>
    <row r="33" spans="4:7">
      <c r="D33" s="151"/>
      <c r="E33" s="146"/>
      <c r="F33" s="146"/>
      <c r="G33" s="147"/>
    </row>
    <row r="34" spans="4:7">
      <c r="D34" s="151"/>
      <c r="E34" s="146"/>
      <c r="F34" s="146"/>
      <c r="G34" s="147"/>
    </row>
    <row r="35" spans="4:7">
      <c r="D35" s="151"/>
      <c r="E35" s="146"/>
      <c r="F35" s="146"/>
      <c r="G35" s="147"/>
    </row>
    <row r="36" spans="4:7" ht="15.95" thickBot="1">
      <c r="D36" s="152"/>
      <c r="E36" s="153"/>
      <c r="F36" s="153"/>
      <c r="G36" s="154"/>
    </row>
  </sheetData>
  <sheetProtection algorithmName="SHA-512" hashValue="kj/lYa/JISQu+AJpAPSGzxpoHskGVx90vvwYo2Hyuz7oMXozXoEHlyrQuzvKWpH/M+2UCyQvsYGLlU8gFZPFdw==" saltValue="/LewPpmqCvmwa2U7WHjlDQ==" spinCount="100000" sheet="1" formatCells="0" formatColumns="0" formatRows="0" insertColumns="0" insertRows="0" insertHyperlinks="0" deleteColumns="0" deleteRows="0" sort="0" autoFilter="0" pivotTables="0"/>
  <mergeCells count="9">
    <mergeCell ref="T5:AM5"/>
    <mergeCell ref="B5:S5"/>
    <mergeCell ref="D3:G3"/>
    <mergeCell ref="D2:G2"/>
    <mergeCell ref="A14:A16"/>
    <mergeCell ref="A6:A7"/>
    <mergeCell ref="A8:A10"/>
    <mergeCell ref="A11:A13"/>
    <mergeCell ref="B6:B7"/>
  </mergeCells>
  <conditionalFormatting sqref="O9:O23">
    <cfRule type="expression" dxfId="41" priority="2">
      <formula>O9&gt;K9</formula>
    </cfRule>
  </conditionalFormatting>
  <conditionalFormatting sqref="T9:AG23">
    <cfRule type="expression" dxfId="40" priority="86">
      <formula>T9&lt;&gt;C9</formula>
    </cfRule>
  </conditionalFormatting>
  <conditionalFormatting sqref="AF9:AF23">
    <cfRule type="expression" dxfId="39" priority="1">
      <formula>AF9&gt;AB9</formula>
    </cfRule>
  </conditionalFormatting>
  <conditionalFormatting sqref="AI9:AI23">
    <cfRule type="containsText" dxfId="38" priority="5" operator="containsText" text="Non">
      <formula>NOT(ISERROR(SEARCH("Non",AI9)))</formula>
    </cfRule>
  </conditionalFormatting>
  <conditionalFormatting sqref="AL8:AL23">
    <cfRule type="containsText" dxfId="37" priority="6" operator="containsText" text="Attention">
      <formula>NOT(ISERROR(SEARCH("Attention",AL8)))</formula>
    </cfRule>
    <cfRule type="containsText" dxfId="36" priority="8" stopIfTrue="1" operator="containsText" text="KO">
      <formula>NOT(ISERROR(SEARCH("KO",AL8)))</formula>
    </cfRule>
    <cfRule type="containsText" dxfId="35" priority="9" operator="containsText" text="OK">
      <formula>NOT(ISERROR(SEARCH("OK",AL8)))</formula>
    </cfRule>
  </conditionalFormatting>
  <dataValidations count="5">
    <dataValidation type="list" allowBlank="1" showInputMessage="1" showErrorMessage="1" sqref="D8:D23 U9:U23" xr:uid="{C0BF1C24-53CA-4C43-B5C6-8EB5CE004405}">
      <formula1>"Création groupes opérationnels, Projets groupes opérationnels, Diffusion résultats"</formula1>
    </dataValidation>
    <dataValidation type="list" allowBlank="1" showInputMessage="1" showErrorMessage="1" sqref="G8:G23" xr:uid="{BBA5E832-777B-48DC-B3A2-092C231F6044}">
      <formula1>"Neuf,Occasion"</formula1>
    </dataValidation>
    <dataValidation type="list" allowBlank="1" showInputMessage="1" showErrorMessage="1" sqref="AI8:AI23" xr:uid="{3D287B8C-C389-43C0-9823-82BF00C21C27}">
      <formula1>"Oui,Non,Sans objet"</formula1>
    </dataValidation>
    <dataValidation type="list" allowBlank="1" showInputMessage="1" showErrorMessage="1" sqref="C8:C23" xr:uid="{36663B3D-557E-4779-86B5-17B3C935ECB5}">
      <formula1>"Chef de file,Partenaire 1,Partenaire 2, Partenaire 3,Partenaire 4, Partenaire 5,Partenaire 6,Partenaire 7"</formula1>
    </dataValidation>
    <dataValidation type="list" allowBlank="1" showInputMessage="1" showErrorMessage="1" sqref="F8:F23 W8" xr:uid="{1DF7B8F2-0365-3745-8CA9-1BE7B72A4F5B}">
      <formula1>"Oui,Non"</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tabColor theme="8" tint="0.59999389629810485"/>
  </sheetPr>
  <dimension ref="B1:BV103"/>
  <sheetViews>
    <sheetView showGridLines="0" topLeftCell="BV3" zoomScale="89" zoomScaleNormal="70" workbookViewId="0">
      <selection activeCell="CL9" sqref="CL9"/>
    </sheetView>
  </sheetViews>
  <sheetFormatPr defaultColWidth="11.42578125" defaultRowHeight="15" outlineLevelCol="1"/>
  <cols>
    <col min="1" max="1" width="5.42578125" style="185" customWidth="1"/>
    <col min="2" max="2" width="10.42578125" style="185" customWidth="1"/>
    <col min="3" max="3" width="20.42578125" style="185" customWidth="1"/>
    <col min="4" max="4" width="21.85546875" style="185" customWidth="1"/>
    <col min="5" max="5" width="32" style="185" customWidth="1"/>
    <col min="6" max="7" width="21.140625" style="185" customWidth="1"/>
    <col min="8" max="9" width="19.42578125" style="185" customWidth="1"/>
    <col min="10" max="10" width="18.42578125" style="185" customWidth="1"/>
    <col min="11" max="11" width="20.85546875" style="185" customWidth="1"/>
    <col min="12" max="12" width="14.42578125" style="185" customWidth="1"/>
    <col min="13" max="15" width="18.85546875" style="185" customWidth="1"/>
    <col min="16" max="16" width="16.42578125" style="185" customWidth="1"/>
    <col min="17" max="17" width="20.85546875" style="185" customWidth="1"/>
    <col min="18" max="21" width="16.42578125" style="185" customWidth="1"/>
    <col min="22" max="22" width="21.42578125" style="185" customWidth="1"/>
    <col min="23" max="25" width="17.42578125" style="185" customWidth="1"/>
    <col min="26" max="26" width="18.42578125" style="185" customWidth="1"/>
    <col min="27" max="27" width="21.42578125" style="185" customWidth="1"/>
    <col min="28" max="32" width="19" style="185" customWidth="1"/>
    <col min="33" max="33" width="68.42578125" style="185" customWidth="1"/>
    <col min="34" max="34" width="18.42578125" style="185" hidden="1" customWidth="1" outlineLevel="1"/>
    <col min="35" max="35" width="16.85546875" style="185" hidden="1" customWidth="1" outlineLevel="1"/>
    <col min="36" max="36" width="18" style="185" hidden="1" customWidth="1" outlineLevel="1"/>
    <col min="37" max="38" width="20.42578125" style="185" hidden="1" customWidth="1" outlineLevel="1"/>
    <col min="39" max="40" width="19.42578125" style="185" hidden="1" customWidth="1" outlineLevel="1"/>
    <col min="41" max="41" width="18.42578125" style="185" hidden="1" customWidth="1" outlineLevel="1"/>
    <col min="42" max="42" width="16.85546875" style="185" hidden="1" customWidth="1" outlineLevel="1"/>
    <col min="43" max="43" width="14.42578125" style="185" hidden="1" customWidth="1" outlineLevel="1"/>
    <col min="44" max="46" width="18.85546875" style="185" hidden="1" customWidth="1" outlineLevel="1"/>
    <col min="47" max="47" width="16.42578125" style="185" hidden="1" customWidth="1" outlineLevel="1"/>
    <col min="48" max="48" width="14.85546875" style="185" hidden="1" customWidth="1" outlineLevel="1"/>
    <col min="49" max="51" width="16" style="185" hidden="1" customWidth="1" outlineLevel="1"/>
    <col min="52" max="52" width="15.140625" style="185" hidden="1" customWidth="1" outlineLevel="1"/>
    <col min="53" max="53" width="15.42578125" style="185" hidden="1" customWidth="1" outlineLevel="1"/>
    <col min="54" max="56" width="15.85546875" style="185" hidden="1" customWidth="1" outlineLevel="1"/>
    <col min="57" max="57" width="15" style="185" hidden="1" customWidth="1" outlineLevel="1"/>
    <col min="58" max="58" width="15.42578125" style="185" hidden="1" customWidth="1" outlineLevel="1"/>
    <col min="59" max="59" width="16" style="185" hidden="1" customWidth="1" outlineLevel="1"/>
    <col min="60" max="60" width="16" style="405" hidden="1" customWidth="1" outlineLevel="1"/>
    <col min="61" max="61" width="18.85546875" style="185" hidden="1" customWidth="1" outlineLevel="1"/>
    <col min="62" max="67" width="16" style="185" hidden="1" customWidth="1" outlineLevel="1"/>
    <col min="68" max="68" width="41.42578125" style="185" hidden="1" customWidth="1" outlineLevel="1"/>
    <col min="69" max="69" width="33.140625" style="185" hidden="1" customWidth="1" outlineLevel="1"/>
    <col min="70" max="70" width="22.85546875" style="185" hidden="1" customWidth="1" outlineLevel="1"/>
    <col min="71" max="73" width="16" style="185" hidden="1" customWidth="1" outlineLevel="1"/>
    <col min="74" max="74" width="11.42578125" collapsed="1"/>
    <col min="75" max="16384" width="11.42578125" style="185"/>
  </cols>
  <sheetData>
    <row r="1" spans="2:74" ht="15.95" thickBot="1"/>
    <row r="2" spans="2:74" ht="233.1" customHeight="1" thickBot="1">
      <c r="D2" s="1879" t="s">
        <v>286</v>
      </c>
      <c r="E2" s="1880"/>
      <c r="F2" s="1880"/>
      <c r="G2" s="1880"/>
      <c r="H2" s="1880"/>
      <c r="I2" s="1881"/>
      <c r="J2" s="269"/>
      <c r="K2" s="1851" t="s">
        <v>153</v>
      </c>
      <c r="L2" s="1852"/>
      <c r="M2" s="1852"/>
      <c r="N2" s="1852"/>
      <c r="O2" s="1852"/>
      <c r="P2" s="1852"/>
      <c r="Q2" s="1852"/>
      <c r="R2" s="1852"/>
      <c r="S2" s="1852"/>
      <c r="T2" s="1852"/>
      <c r="U2" s="1852"/>
      <c r="V2" s="1852"/>
      <c r="W2" s="1852"/>
      <c r="X2" s="1852"/>
      <c r="Y2" s="1852"/>
      <c r="Z2" s="1852"/>
      <c r="AA2" s="1853"/>
      <c r="AC2" s="269"/>
      <c r="AD2" s="269"/>
      <c r="AE2" s="269"/>
      <c r="AF2" s="269"/>
      <c r="AG2" s="269"/>
    </row>
    <row r="3" spans="2:74" ht="219.95" customHeight="1" thickBot="1">
      <c r="D3" s="1878"/>
      <c r="E3" s="1878"/>
      <c r="F3" s="1878"/>
      <c r="G3" s="1878"/>
      <c r="H3" s="1878"/>
      <c r="I3" s="699"/>
      <c r="J3" s="271"/>
      <c r="K3" s="1854"/>
      <c r="L3" s="1855"/>
      <c r="M3" s="1855"/>
      <c r="N3" s="1855"/>
      <c r="O3" s="1855"/>
      <c r="P3" s="1855"/>
      <c r="Q3" s="1855"/>
      <c r="R3" s="1855"/>
      <c r="S3" s="1855"/>
      <c r="T3" s="1855"/>
      <c r="U3" s="1855"/>
      <c r="V3" s="1855"/>
      <c r="W3" s="1855"/>
      <c r="X3" s="1855"/>
      <c r="Y3" s="1855"/>
      <c r="Z3" s="1855"/>
      <c r="AA3" s="1856"/>
      <c r="AC3" s="271"/>
      <c r="AD3" s="271"/>
      <c r="AE3" s="271"/>
      <c r="AF3" s="271"/>
      <c r="AG3" s="271"/>
      <c r="BJ3" s="272"/>
    </row>
    <row r="4" spans="2:7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row>
    <row r="5" spans="2:74" ht="56.1" customHeight="1" thickBot="1">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Q5" s="75"/>
      <c r="AR5" s="75"/>
      <c r="AS5" s="75"/>
      <c r="AT5" s="75"/>
      <c r="AU5" s="75"/>
    </row>
    <row r="6" spans="2:74" s="291" customFormat="1" ht="63" customHeight="1" thickBot="1">
      <c r="B6" s="1863" t="s">
        <v>287</v>
      </c>
      <c r="C6" s="1864"/>
      <c r="D6" s="1864"/>
      <c r="E6" s="1864"/>
      <c r="F6" s="1864"/>
      <c r="G6" s="1864"/>
      <c r="H6" s="1864"/>
      <c r="I6" s="1864"/>
      <c r="J6" s="1864"/>
      <c r="K6" s="1864"/>
      <c r="L6" s="1864"/>
      <c r="M6" s="1864"/>
      <c r="N6" s="1864"/>
      <c r="O6" s="1864"/>
      <c r="P6" s="1864"/>
      <c r="Q6" s="1864"/>
      <c r="R6" s="1864"/>
      <c r="S6" s="1864"/>
      <c r="T6" s="1864"/>
      <c r="U6" s="1864"/>
      <c r="V6" s="1864"/>
      <c r="W6" s="1864"/>
      <c r="X6" s="1864"/>
      <c r="Y6" s="1864"/>
      <c r="Z6" s="1864"/>
      <c r="AA6" s="1864"/>
      <c r="AB6" s="1864"/>
      <c r="AC6" s="1864"/>
      <c r="AD6" s="1864"/>
      <c r="AE6" s="1864"/>
      <c r="AF6" s="1864"/>
      <c r="AG6" s="1864"/>
      <c r="AH6" s="1798" t="s">
        <v>288</v>
      </c>
      <c r="AI6" s="1799"/>
      <c r="AJ6" s="1799"/>
      <c r="AK6" s="1799"/>
      <c r="AL6" s="1799"/>
      <c r="AM6" s="1799"/>
      <c r="AN6" s="1799"/>
      <c r="AO6" s="1799"/>
      <c r="AP6" s="1799"/>
      <c r="AQ6" s="1799"/>
      <c r="AR6" s="1799"/>
      <c r="AS6" s="1799"/>
      <c r="AT6" s="1799"/>
      <c r="AU6" s="1799"/>
      <c r="AV6" s="1799"/>
      <c r="AW6" s="1799"/>
      <c r="AX6" s="1799"/>
      <c r="AY6" s="1799"/>
      <c r="AZ6" s="1799"/>
      <c r="BA6" s="1799"/>
      <c r="BB6" s="1799"/>
      <c r="BC6" s="1799"/>
      <c r="BD6" s="1799"/>
      <c r="BE6" s="1799"/>
      <c r="BF6" s="1799"/>
      <c r="BG6" s="1799"/>
      <c r="BH6" s="1799"/>
      <c r="BI6" s="1799"/>
      <c r="BJ6" s="1799"/>
      <c r="BK6" s="1799"/>
      <c r="BL6" s="1799"/>
      <c r="BM6" s="1799"/>
      <c r="BN6" s="1799"/>
      <c r="BO6" s="1799"/>
      <c r="BP6" s="1799"/>
      <c r="BQ6" s="1799"/>
      <c r="BR6" s="1799"/>
      <c r="BS6" s="1799"/>
      <c r="BT6" s="1799"/>
      <c r="BU6" s="1800"/>
      <c r="BV6" s="290"/>
    </row>
    <row r="7" spans="2:74" s="295" customFormat="1" ht="66" customHeight="1">
      <c r="B7" s="1848" t="s">
        <v>97</v>
      </c>
      <c r="C7" s="311" t="s">
        <v>98</v>
      </c>
      <c r="D7" s="311" t="s">
        <v>77</v>
      </c>
      <c r="E7" s="340" t="s">
        <v>289</v>
      </c>
      <c r="F7" s="114" t="s">
        <v>161</v>
      </c>
      <c r="G7" s="114" t="s">
        <v>162</v>
      </c>
      <c r="H7" s="114" t="s">
        <v>163</v>
      </c>
      <c r="I7" s="114" t="s">
        <v>159</v>
      </c>
      <c r="J7" s="114" t="s">
        <v>164</v>
      </c>
      <c r="K7" s="114" t="s">
        <v>165</v>
      </c>
      <c r="L7" s="114" t="s">
        <v>166</v>
      </c>
      <c r="M7" s="114" t="s">
        <v>167</v>
      </c>
      <c r="N7" s="114" t="s">
        <v>290</v>
      </c>
      <c r="O7" s="114" t="s">
        <v>291</v>
      </c>
      <c r="P7" s="114" t="s">
        <v>170</v>
      </c>
      <c r="Q7" s="114" t="s">
        <v>171</v>
      </c>
      <c r="R7" s="114" t="s">
        <v>172</v>
      </c>
      <c r="S7" s="114" t="s">
        <v>292</v>
      </c>
      <c r="T7" s="114" t="s">
        <v>293</v>
      </c>
      <c r="U7" s="114" t="s">
        <v>175</v>
      </c>
      <c r="V7" s="114" t="s">
        <v>294</v>
      </c>
      <c r="W7" s="114" t="s">
        <v>177</v>
      </c>
      <c r="X7" s="114" t="s">
        <v>292</v>
      </c>
      <c r="Y7" s="114" t="s">
        <v>293</v>
      </c>
      <c r="Z7" s="114" t="s">
        <v>180</v>
      </c>
      <c r="AA7" s="114" t="s">
        <v>181</v>
      </c>
      <c r="AB7" s="114" t="s">
        <v>182</v>
      </c>
      <c r="AC7" s="114" t="s">
        <v>183</v>
      </c>
      <c r="AD7" s="114" t="s">
        <v>32</v>
      </c>
      <c r="AE7" s="114" t="s">
        <v>184</v>
      </c>
      <c r="AF7" s="114" t="s">
        <v>33</v>
      </c>
      <c r="AG7" s="340" t="s">
        <v>34</v>
      </c>
      <c r="AH7" s="1215" t="s">
        <v>98</v>
      </c>
      <c r="AI7" s="274" t="s">
        <v>77</v>
      </c>
      <c r="AJ7" s="274" t="s">
        <v>185</v>
      </c>
      <c r="AK7" s="274" t="s">
        <v>161</v>
      </c>
      <c r="AL7" s="274" t="s">
        <v>162</v>
      </c>
      <c r="AM7" s="274" t="s">
        <v>163</v>
      </c>
      <c r="AN7" s="274" t="s">
        <v>159</v>
      </c>
      <c r="AO7" s="274" t="s">
        <v>164</v>
      </c>
      <c r="AP7" s="274" t="s">
        <v>165</v>
      </c>
      <c r="AQ7" s="274" t="s">
        <v>166</v>
      </c>
      <c r="AR7" s="274" t="s">
        <v>167</v>
      </c>
      <c r="AS7" s="274" t="s">
        <v>290</v>
      </c>
      <c r="AT7" s="274" t="s">
        <v>291</v>
      </c>
      <c r="AU7" s="274" t="s">
        <v>295</v>
      </c>
      <c r="AV7" s="274" t="s">
        <v>296</v>
      </c>
      <c r="AW7" s="274" t="s">
        <v>297</v>
      </c>
      <c r="AX7" s="274" t="s">
        <v>292</v>
      </c>
      <c r="AY7" s="274" t="s">
        <v>293</v>
      </c>
      <c r="AZ7" s="274" t="s">
        <v>298</v>
      </c>
      <c r="BA7" s="274" t="s">
        <v>299</v>
      </c>
      <c r="BB7" s="274" t="s">
        <v>300</v>
      </c>
      <c r="BC7" s="274" t="s">
        <v>292</v>
      </c>
      <c r="BD7" s="274" t="s">
        <v>293</v>
      </c>
      <c r="BE7" s="274" t="s">
        <v>301</v>
      </c>
      <c r="BF7" s="274" t="s">
        <v>302</v>
      </c>
      <c r="BG7" s="274" t="s">
        <v>303</v>
      </c>
      <c r="BH7" s="274" t="s">
        <v>193</v>
      </c>
      <c r="BI7" s="274" t="s">
        <v>114</v>
      </c>
      <c r="BJ7" s="274" t="s">
        <v>194</v>
      </c>
      <c r="BK7" s="274" t="s">
        <v>195</v>
      </c>
      <c r="BL7" s="274" t="s">
        <v>196</v>
      </c>
      <c r="BM7" s="274" t="s">
        <v>197</v>
      </c>
      <c r="BN7" s="1251" t="s">
        <v>304</v>
      </c>
      <c r="BO7" s="1251" t="s">
        <v>199</v>
      </c>
      <c r="BP7" s="1251" t="s">
        <v>116</v>
      </c>
      <c r="BQ7" s="274" t="s">
        <v>200</v>
      </c>
      <c r="BR7" s="1251" t="s">
        <v>52</v>
      </c>
      <c r="BS7" s="1251" t="s">
        <v>201</v>
      </c>
      <c r="BT7" s="1251" t="s">
        <v>202</v>
      </c>
      <c r="BU7" s="905" t="s">
        <v>203</v>
      </c>
    </row>
    <row r="8" spans="2:74" ht="177" customHeight="1" thickBot="1">
      <c r="B8" s="1848"/>
      <c r="C8" s="1299" t="s">
        <v>117</v>
      </c>
      <c r="D8" s="328" t="s">
        <v>118</v>
      </c>
      <c r="E8" s="1300" t="s">
        <v>305</v>
      </c>
      <c r="F8" s="1293" t="s">
        <v>208</v>
      </c>
      <c r="G8" s="1302" t="s">
        <v>306</v>
      </c>
      <c r="H8" s="1293" t="s">
        <v>208</v>
      </c>
      <c r="I8" s="328" t="s">
        <v>206</v>
      </c>
      <c r="J8" s="1303" t="s">
        <v>211</v>
      </c>
      <c r="K8" s="1303" t="s">
        <v>212</v>
      </c>
      <c r="L8" s="1301" t="s">
        <v>213</v>
      </c>
      <c r="M8" s="1301" t="s">
        <v>214</v>
      </c>
      <c r="N8" s="1301" t="s">
        <v>216</v>
      </c>
      <c r="O8" s="1303" t="s">
        <v>215</v>
      </c>
      <c r="P8" s="1301" t="s">
        <v>217</v>
      </c>
      <c r="Q8" s="1304" t="s">
        <v>218</v>
      </c>
      <c r="R8" s="1304" t="s">
        <v>219</v>
      </c>
      <c r="S8" s="1301" t="s">
        <v>216</v>
      </c>
      <c r="T8" s="1303" t="s">
        <v>215</v>
      </c>
      <c r="U8" s="1301" t="s">
        <v>217</v>
      </c>
      <c r="V8" s="1304" t="s">
        <v>218</v>
      </c>
      <c r="W8" s="1304" t="s">
        <v>219</v>
      </c>
      <c r="X8" s="1301" t="s">
        <v>216</v>
      </c>
      <c r="Y8" s="1303" t="s">
        <v>215</v>
      </c>
      <c r="Z8" s="1301" t="s">
        <v>217</v>
      </c>
      <c r="AA8" s="1304" t="s">
        <v>218</v>
      </c>
      <c r="AB8" s="1304" t="s">
        <v>219</v>
      </c>
      <c r="AC8" s="1303" t="s">
        <v>220</v>
      </c>
      <c r="AD8" s="1301" t="s">
        <v>57</v>
      </c>
      <c r="AE8" s="1303" t="s">
        <v>57</v>
      </c>
      <c r="AF8" s="1303" t="s">
        <v>57</v>
      </c>
      <c r="AG8" s="1318" t="s">
        <v>221</v>
      </c>
      <c r="AH8" s="1264" t="s">
        <v>57</v>
      </c>
      <c r="AI8" s="288" t="s">
        <v>57</v>
      </c>
      <c r="AJ8" s="1321" t="s">
        <v>54</v>
      </c>
      <c r="AK8" s="1294" t="s">
        <v>224</v>
      </c>
      <c r="AL8" s="1322" t="s">
        <v>223</v>
      </c>
      <c r="AM8" s="288" t="s">
        <v>54</v>
      </c>
      <c r="AN8" s="288" t="s">
        <v>206</v>
      </c>
      <c r="AO8" s="288" t="s">
        <v>54</v>
      </c>
      <c r="AP8" s="288" t="s">
        <v>54</v>
      </c>
      <c r="AQ8" s="1321" t="s">
        <v>213</v>
      </c>
      <c r="AR8" s="1321" t="s">
        <v>214</v>
      </c>
      <c r="AS8" s="1321" t="s">
        <v>216</v>
      </c>
      <c r="AT8" s="288" t="s">
        <v>215</v>
      </c>
      <c r="AU8" s="288" t="s">
        <v>54</v>
      </c>
      <c r="AV8" s="1322" t="s">
        <v>218</v>
      </c>
      <c r="AW8" s="1322" t="s">
        <v>219</v>
      </c>
      <c r="AX8" s="1321" t="s">
        <v>216</v>
      </c>
      <c r="AY8" s="288" t="s">
        <v>215</v>
      </c>
      <c r="AZ8" s="288" t="s">
        <v>54</v>
      </c>
      <c r="BA8" s="1322" t="s">
        <v>218</v>
      </c>
      <c r="BB8" s="1322" t="s">
        <v>219</v>
      </c>
      <c r="BC8" s="1321" t="s">
        <v>216</v>
      </c>
      <c r="BD8" s="288" t="s">
        <v>215</v>
      </c>
      <c r="BE8" s="288" t="s">
        <v>54</v>
      </c>
      <c r="BF8" s="1322" t="s">
        <v>218</v>
      </c>
      <c r="BG8" s="1322" t="s">
        <v>219</v>
      </c>
      <c r="BH8" s="1321" t="s">
        <v>223</v>
      </c>
      <c r="BI8" s="288" t="s">
        <v>226</v>
      </c>
      <c r="BJ8" s="288" t="s">
        <v>54</v>
      </c>
      <c r="BK8" s="288" t="s">
        <v>54</v>
      </c>
      <c r="BL8" s="288" t="s">
        <v>54</v>
      </c>
      <c r="BM8" s="288" t="s">
        <v>54</v>
      </c>
      <c r="BN8" s="288" t="s">
        <v>54</v>
      </c>
      <c r="BO8" s="1294" t="s">
        <v>227</v>
      </c>
      <c r="BP8" s="288" t="s">
        <v>228</v>
      </c>
      <c r="BQ8" s="1265" t="s">
        <v>229</v>
      </c>
      <c r="BR8" s="288" t="s">
        <v>230</v>
      </c>
      <c r="BS8" s="288" t="s">
        <v>54</v>
      </c>
      <c r="BT8" s="1323" t="s">
        <v>54</v>
      </c>
      <c r="BU8" s="1266" t="s">
        <v>54</v>
      </c>
    </row>
    <row r="9" spans="2:74" ht="23.1" customHeight="1" thickBot="1">
      <c r="B9" s="1305" t="s">
        <v>84</v>
      </c>
      <c r="C9" s="1267" t="s">
        <v>12</v>
      </c>
      <c r="D9" s="1267" t="s">
        <v>85</v>
      </c>
      <c r="E9" s="1306" t="s">
        <v>307</v>
      </c>
      <c r="F9" s="1307" t="s">
        <v>232</v>
      </c>
      <c r="G9" s="1308" t="s">
        <v>233</v>
      </c>
      <c r="H9" s="1307" t="s">
        <v>242</v>
      </c>
      <c r="I9" s="1309" t="s">
        <v>139</v>
      </c>
      <c r="J9" s="1307">
        <v>2</v>
      </c>
      <c r="K9" s="1310">
        <v>1</v>
      </c>
      <c r="L9" s="1311">
        <v>8</v>
      </c>
      <c r="M9" s="1307" t="s">
        <v>308</v>
      </c>
      <c r="N9" s="1307" t="s">
        <v>309</v>
      </c>
      <c r="O9" s="1307" t="s">
        <v>310</v>
      </c>
      <c r="P9" s="1312">
        <v>4800</v>
      </c>
      <c r="Q9" s="1312">
        <v>408</v>
      </c>
      <c r="R9" s="1313">
        <v>5208</v>
      </c>
      <c r="S9" s="1313"/>
      <c r="T9" s="1313"/>
      <c r="U9" s="1312">
        <v>5200</v>
      </c>
      <c r="V9" s="1312">
        <v>442</v>
      </c>
      <c r="W9" s="1312">
        <v>5642</v>
      </c>
      <c r="X9" s="1312"/>
      <c r="Y9" s="1312"/>
      <c r="Z9" s="1312"/>
      <c r="AA9" s="1312"/>
      <c r="AB9" s="1312"/>
      <c r="AC9" s="1314" t="s">
        <v>241</v>
      </c>
      <c r="AD9" s="1315">
        <v>4800</v>
      </c>
      <c r="AE9" s="1315">
        <v>408</v>
      </c>
      <c r="AF9" s="1315">
        <v>5208</v>
      </c>
      <c r="AG9" s="1319"/>
      <c r="AH9" s="1324" t="s">
        <v>12</v>
      </c>
      <c r="AI9" s="1309" t="s">
        <v>85</v>
      </c>
      <c r="AJ9" s="1309" t="s">
        <v>307</v>
      </c>
      <c r="AK9" s="1307" t="s">
        <v>232</v>
      </c>
      <c r="AL9" s="1307"/>
      <c r="AM9" s="1307" t="s">
        <v>242</v>
      </c>
      <c r="AN9" s="1307"/>
      <c r="AO9" s="1307">
        <v>2</v>
      </c>
      <c r="AP9" s="1310">
        <v>1</v>
      </c>
      <c r="AQ9" s="1311">
        <v>8</v>
      </c>
      <c r="AR9" s="1307" t="s">
        <v>308</v>
      </c>
      <c r="AS9" s="1307"/>
      <c r="AT9" s="1307"/>
      <c r="AU9" s="1312">
        <v>4800</v>
      </c>
      <c r="AV9" s="1312">
        <v>408</v>
      </c>
      <c r="AW9" s="1313">
        <v>5208</v>
      </c>
      <c r="AX9" s="1313"/>
      <c r="AY9" s="1313"/>
      <c r="AZ9" s="1312">
        <v>5200</v>
      </c>
      <c r="BA9" s="1312">
        <v>442</v>
      </c>
      <c r="BB9" s="1312">
        <v>5642</v>
      </c>
      <c r="BC9" s="1312"/>
      <c r="BD9" s="1312"/>
      <c r="BE9" s="1312"/>
      <c r="BF9" s="1312"/>
      <c r="BG9" s="1312"/>
      <c r="BH9" s="1314" t="s">
        <v>241</v>
      </c>
      <c r="BI9" s="1325" t="s">
        <v>141</v>
      </c>
      <c r="BJ9" s="1312">
        <v>5200</v>
      </c>
      <c r="BK9" s="1312">
        <v>496.2</v>
      </c>
      <c r="BL9" s="1312">
        <v>5989.2</v>
      </c>
      <c r="BM9" s="1315">
        <v>4800</v>
      </c>
      <c r="BN9" s="1326">
        <v>408</v>
      </c>
      <c r="BO9" s="1326">
        <v>5208</v>
      </c>
      <c r="BP9" s="1327"/>
      <c r="BQ9" s="1328" t="str" cm="1">
        <f t="array" ref="BQ9">IF(OR(BO9="",BL9="",BM9="",BJ9="",BN9="",BK9=""),"",_xlfn.IFS(
ROUND(IFERROR(VALUE(TRIM(SUBSTITUTE(BO9,CHAR(160),""))),0),2)&gt;
ROUND(IFERROR(VALUE(TRIM(SUBSTITUTE(BL9,CHAR(160),""))),0),2),
"KO : Le montant retenu TTC est supérieur au montant raisonnable TTC. Merci de revoir la ligne de dépense ou plafonner son montant.",
ROUND(IFERROR(VALUE(TRIM(SUBSTITUTE(BM9,CHAR(160),""))),0),2)&gt;
ROUND(IFERROR(VALUE(TRIM(SUBSTITUTE(BJ9,CHAR(160),""))),0),2),
"Attention : Le montant retenu HT est supérieur au montant HT raisonnable. Merci de revoir la ligne de dépense, plafonner son montant, ou justifier la reventillation HT / TVA.",
ROUND(IFERROR(VALUE(TRIM(SUBSTITUTE(BN9,CHAR(160),""))),0),2)&gt;
ROUND(IFERROR(VALUE(TRIM(SUBSTITUTE(BK9,CHAR(160),""))),0),2),
"Attention : Le montant TVA retenu est supérieur au montant TVA raisonnable. Merci de revoir la ligne de dépense, plafonner son montant, ou justifier la reventillation HT / TVA.",
ROUND(IFERROR(VALUE(TRIM(SUBSTITUTE(BO9,CHAR(160),""))),0),2)&gt;
ROUND(IFERROR(VALUE(TRIM(SUBSTITUTE(MIN(R9,W9,AB9),CHAR(160),""))),0),2),
"Attention : Le devis retenu n'est pas le moins cher. Une justification de la part du porteur est nécessaire.",
ROUND(IFERROR(VALUE(TRIM(SUBSTITUTE(BO9,CHAR(160),""))),0),2)=0,
"Attention : montant présenté entièrement écarté",
ROUND(IFERROR(VALUE(TRIM(SUBSTITUTE(BL9,CHAR(160),""))),0),2)=
ROUND(IFERROR(VALUE(TRIM(SUBSTITUTE(BO9,CHAR(160),""))),0),2),
"OK",
ROUND(IFERROR(VALUE(TRIM(SUBSTITUTE(BL9,CHAR(160),""))),0),2)&gt;
ROUND(IFERROR(VALUE(TRIM(SUBSTITUTE(BO9,CHAR(160),""))),0),2),
" OK : Montant instruit inférieur au montant raisonnable.",
TRUE,""
))</f>
        <v xml:space="preserve"> OK : Montant instruit inférieur au montant raisonnable.</v>
      </c>
      <c r="BR9" s="1328" t="str" cm="1">
        <f t="array" ref="BR9">IF(OR(BO9="",AF9="",BM9="",AD9="",BN9="",AE9=""),"",_xlfn.IFS(
ROUND(IFERROR(VALUE(TRIM(SUBSTITUTE(BO9,CHAR(160),""))),0),2)&gt;
ROUND(IFERROR(VALUE(TRIM(SUBSTITUTE(AF9,CHAR(160),""))),0),2),
"KO : Le montant retenu TTC est supérieur au montant présenté TTC. Merci de revoir la ligne de dépense ou plafonner son montant.",
ROUND(IFERROR(VALUE(TRIM(SUBSTITUTE(BM9,CHAR(160),""))),0),2)&gt;
ROUND(IFERROR(VALUE(TRIM(SUBSTITUTE(AD9,CHAR(160),""))),0),2),
"Attention : Le montant retenu HT est supérieur au montant HT présenté. Merci de revoir la ligne de dépense, plafonner son montant, ou justifier la reventillation HT / TVA.",
ROUND(IFERROR(VALUE(TRIM(SUBSTITUTE(BN9,CHAR(160),""))),0),2)&gt;
ROUND(IFERROR(VALUE(TRIM(SUBSTITUTE(AE9,CHAR(160),""))),0),2),
"Attention : Le montant TVA retenu est supérieur au montant TVA présenté. Merci de revoir la ligne de dépense, plafonner son montant, ou justifier la reventillation HT / TVA.",
ROUND(IFERROR(VALUE(TRIM(SUBSTITUTE(AF9,CHAR(160),""))),0),2)=0,
"",
ROUND(IFERROR(VALUE(TRIM(SUBSTITUTE(BO9,CHAR(160),""))),0),2)=
ROUND(IFERROR(VALUE(TRIM(SUBSTITUTE(AF9,CHAR(160),""))),0),2),
"OK",
ROUND(IFERROR(VALUE(TRIM(SUBSTITUTE(BO9,CHAR(160),""))),0),2)=0,
"Attention : Montant présenté entièrement rejeté.",
ROUND(IFERROR(VALUE(TRIM(SUBSTITUTE(BO9,CHAR(160),""))),0),2)&lt;
ROUND(IFERROR(VALUE(TRIM(SUBSTITUTE(AF9,CHAR(160),""))),0),2),
"Attention : Montant présenté partiellement rejeté.",
TRUE,""
))</f>
        <v>OK</v>
      </c>
      <c r="BS9" s="1326">
        <v>0</v>
      </c>
      <c r="BT9" s="1326">
        <v>0</v>
      </c>
      <c r="BU9" s="1329">
        <v>0</v>
      </c>
    </row>
    <row r="10" spans="2:74" ht="15.95" customHeight="1">
      <c r="B10" s="303">
        <v>1</v>
      </c>
      <c r="C10" s="11"/>
      <c r="D10" s="11"/>
      <c r="E10" s="511"/>
      <c r="F10" s="11"/>
      <c r="G10" s="1201"/>
      <c r="H10" s="11"/>
      <c r="I10" s="22"/>
      <c r="J10" s="11"/>
      <c r="K10" s="2"/>
      <c r="L10" s="23"/>
      <c r="M10" s="11"/>
      <c r="N10" s="11"/>
      <c r="O10" s="1298"/>
      <c r="P10" s="24"/>
      <c r="Q10" s="24"/>
      <c r="R10" s="300" t="str">
        <f>IF(OR(P10="", Q10=""), "", IFERROR(VALUE(TRIM(SUBSTITUTE(P10,CHAR(160),""))),0) + IFERROR(VALUE(TRIM(SUBSTITUTE(Q10,CHAR(160),""))),0))</f>
        <v/>
      </c>
      <c r="S10" s="1205"/>
      <c r="T10" s="1205"/>
      <c r="U10" s="24"/>
      <c r="V10" s="24"/>
      <c r="W10" s="300" t="str">
        <f>IF(OR(U10="", V10=""), "", IFERROR(VALUE(TRIM(SUBSTITUTE(U10,CHAR(160),""))),0) + IFERROR(VALUE(TRIM(SUBSTITUTE(V10,CHAR(160),""))),0))</f>
        <v/>
      </c>
      <c r="X10" s="1205"/>
      <c r="Y10" s="1205"/>
      <c r="Z10" s="24"/>
      <c r="AA10" s="24"/>
      <c r="AB10" s="300" t="str">
        <f>IF(OR(Z10="", AA10=""), "", IFERROR(VALUE(TRIM(SUBSTITUTE(Z10,CHAR(160),""))),0) + IFERROR(VALUE(TRIM(SUBSTITUTE(AA10,CHAR(160),""))),0))</f>
        <v/>
      </c>
      <c r="AC10" s="11"/>
      <c r="AD10" s="1202" t="str" cm="1">
        <f t="array" ref="AD10">IF((_xlfn.IFS(TRIM(SUBSTITUTE(AC10,CHAR(160),""))="Devis 1",IFERROR(VALUE(TRIM(SUBSTITUTE(P10,CHAR(160),""))),0),TRIM(SUBSTITUTE(AC10,CHAR(160),""))="Devis 2",IFERROR(VALUE(TRIM(SUBSTITUTE(U10,CHAR(160),""))),0),TRIM(SUBSTITUTE(AC10,CHAR(160),""))="Devis 3",IFERROR(VALUE(TRIM(SUBSTITUTE(Z10,CHAR(160),""))),0),TRUE,0)*IFERROR(VALUE(TRIM(SUBSTITUTE(K10,CHAR(160),""))),0))=0,"",_xlfn.IFS(TRIM(SUBSTITUTE(AC10,CHAR(160),""))="Devis 1",IFERROR(VALUE(TRIM(SUBSTITUTE(P10,CHAR(160),""))),0),TRIM(SUBSTITUTE(AC10,CHAR(160),""))="Devis 2",IFERROR(VALUE(TRIM(SUBSTITUTE(U10,CHAR(160),""))),0),TRIM(SUBSTITUTE(AC10,CHAR(160),""))="Devis 3",IFERROR(VALUE(TRIM(SUBSTITUTE(Z10,CHAR(160),""))),0),TRUE,0)*IFERROR(VALUE(TRIM(SUBSTITUTE(K10,CHAR(160),""))),0))</f>
        <v/>
      </c>
      <c r="AE10" s="1202" t="str" cm="1">
        <f t="array" ref="AE10">IF((_xlfn.IFS(TRIM(SUBSTITUTE(AC10,CHAR(160),""))="Devis 1",IFERROR(VALUE(TRIM(SUBSTITUTE(Q10,CHAR(160),""))),0),TRIM(SUBSTITUTE(AC10,CHAR(160),""))="Devis 2",IFERROR(VALUE(TRIM(SUBSTITUTE(V10,CHAR(160),""))),0),TRIM(SUBSTITUTE(AC10,CHAR(160),""))="Devis 3",IFERROR(VALUE(TRIM(SUBSTITUTE(AA10,CHAR(160),""))),0),TRUE,0)*IFERROR(VALUE(TRIM(SUBSTITUTE(K10,CHAR(160),""))),0))=0,"",_xlfn.IFS(TRIM(SUBSTITUTE(AC10,CHAR(160),""))="Devis 1",IFERROR(VALUE(TRIM(SUBSTITUTE(Q10,CHAR(160),""))),0),TRIM(SUBSTITUTE(AD10,CHAR(160),""))="Devis 2",IFERROR(VALUE(TRIM(SUBSTITUTE(V10,CHAR(160),""))),0),TRIM(SUBSTITUTE(AD10,CHAR(160),""))="Devis 3",IFERROR(VALUE(TRIM(SUBSTITUTE(AA10,CHAR(160),""))),0),TRUE,0)*IFERROR(VALUE(TRIM(SUBSTITUTE(K10,CHAR(160),""))),0))</f>
        <v/>
      </c>
      <c r="AF10" s="1202" t="str" cm="1">
        <f t="array" ref="AF10">IF((_xlfn.IFS(TRIM(SUBSTITUTE(AC10,CHAR(160),""))="Devis 1",IFERROR(VALUE(TRIM(SUBSTITUTE(R10,CHAR(160),""))),0),TRIM(SUBSTITUTE(AC10,CHAR(160),""))="Devis 2",IFERROR(VALUE(TRIM(SUBSTITUTE(W10,CHAR(160),""))),0),TRIM(SUBSTITUTE(AC10,CHAR(160),""))="Devis 3",IFERROR(VALUE(TRIM(SUBSTITUTE(AB10,CHAR(160),""))),0),TRUE,0)*IFERROR(VALUE(TRIM(SUBSTITUTE(K10,CHAR(160),""))),0))=0,"",_xlfn.IFS(TRIM(SUBSTITUTE(AC10,CHAR(160),""))="Devis 1",IFERROR(VALUE(TRIM(SUBSTITUTE(R10,CHAR(160),""))),0),TRIM(SUBSTITUTE(AC10,CHAR(160),""))="Devis 2",IFERROR(VALUE(TRIM(SUBSTITUTE(W10,CHAR(160),""))),0),TRIM(SUBSTITUTE(AC10,CHAR(160),""))="Devis 3",IFERROR(VALUE(TRIM(SUBSTITUTE(AB10,CHAR(160),""))),0),TRUE,0)*IFERROR(VALUE(TRIM(SUBSTITUTE(K10,CHAR(160),""))),0))</f>
        <v/>
      </c>
      <c r="AG10" s="1320"/>
      <c r="AH10" s="215" t="str">
        <f t="shared" ref="AH10:AH49" si="0">IF(C10="","",C10)</f>
        <v/>
      </c>
      <c r="AI10" s="57" t="str">
        <f t="shared" ref="AI10:AI49" si="1">IF(D10="","",D10)</f>
        <v/>
      </c>
      <c r="AJ10" s="57" t="str">
        <f t="shared" ref="AJ10:AJ49" si="2">IF(E10="","",E10)</f>
        <v/>
      </c>
      <c r="AK10" s="57" t="str">
        <f t="shared" ref="AK10:AK49" si="3">IF(F10="","",F10)</f>
        <v/>
      </c>
      <c r="AL10" s="57" t="str">
        <f t="shared" ref="AL10:AL49" si="4">IF(G10="","",G10)</f>
        <v/>
      </c>
      <c r="AM10" s="57" t="str">
        <f t="shared" ref="AM10:AM49" si="5">IF(H10="","",H10)</f>
        <v/>
      </c>
      <c r="AN10" s="57" t="str">
        <f t="shared" ref="AN10:AN49" si="6">IF(I10="","",I10)</f>
        <v/>
      </c>
      <c r="AO10" s="57" t="str">
        <f t="shared" ref="AO10:AO49" si="7">IF(J10="","",J10)</f>
        <v/>
      </c>
      <c r="AP10" s="57" t="str">
        <f t="shared" ref="AP10:AP49" si="8">IF(K10="","",K10)</f>
        <v/>
      </c>
      <c r="AQ10" s="57" t="str">
        <f t="shared" ref="AQ10:AQ49" si="9">IF(L10="","",L10)</f>
        <v/>
      </c>
      <c r="AR10" s="57" t="str">
        <f t="shared" ref="AR10:AR49" si="10">IF(M10="","",M10)</f>
        <v/>
      </c>
      <c r="AS10" s="57" t="str">
        <f t="shared" ref="AS10:AS49" si="11">IF(N10="","",N10)</f>
        <v/>
      </c>
      <c r="AT10" s="57" t="str">
        <f t="shared" ref="AT10:AT49" si="12">IF(O10="","",O10)</f>
        <v/>
      </c>
      <c r="AU10" s="57" t="str">
        <f t="shared" ref="AU10:AU49" si="13">IF(P10="","",P10)</f>
        <v/>
      </c>
      <c r="AV10" s="57" t="str">
        <f t="shared" ref="AV10:AV49" si="14">IF(Q10="","",Q10)</f>
        <v/>
      </c>
      <c r="AW10" s="300" t="str">
        <f t="shared" ref="AW10:AW49" si="15">IF(OR(AU10="", AV10=""), "", IFERROR(VALUE(TRIM(SUBSTITUTE(AU10,CHAR(160),""))),0) + IFERROR(VALUE(TRIM(SUBSTITUTE(AV10,CHAR(160),""))),0))</f>
        <v/>
      </c>
      <c r="AX10" s="57" t="str">
        <f t="shared" ref="AX10:AX49" si="16">IF(S10="","",S10)</f>
        <v/>
      </c>
      <c r="AY10" s="57" t="str">
        <f t="shared" ref="AY10:AY49" si="17">IF(T10="","",T10)</f>
        <v/>
      </c>
      <c r="AZ10" s="57" t="str">
        <f t="shared" ref="AZ10:AZ49" si="18">IF(U10="","",U10)</f>
        <v/>
      </c>
      <c r="BA10" s="57" t="str">
        <f t="shared" ref="BA10:BA49" si="19">IF(V10="","",V10)</f>
        <v/>
      </c>
      <c r="BB10" s="300" t="str">
        <f t="shared" ref="BB10:BB49" si="20">IF(OR(AZ10="",BA10=""),"",IFERROR(VALUE(TRIM(SUBSTITUTE(AZ10,CHAR(160),""))),0)+IFERROR(VALUE(TRIM(SUBSTITUTE(BA10,CHAR(160),""))),0))</f>
        <v/>
      </c>
      <c r="BC10" s="57" t="str">
        <f t="shared" ref="BC10:BC49" si="21">IF(X10="","",X10)</f>
        <v/>
      </c>
      <c r="BD10" s="57" t="str">
        <f t="shared" ref="BD10:BD49" si="22">IF(Y10="","",Y10)</f>
        <v/>
      </c>
      <c r="BE10" s="57" t="str">
        <f t="shared" ref="BE10:BE49" si="23">IF(Z10="","",Z10)</f>
        <v/>
      </c>
      <c r="BF10" s="57" t="str">
        <f t="shared" ref="BF10:BF49" si="24">IF(AA10="","",AA10)</f>
        <v/>
      </c>
      <c r="BG10" s="300" t="str">
        <f t="shared" ref="BG10:BG49" si="25">IF(OR(BE10="",BF10=""),"",IFERROR(VALUE(TRIM(SUBSTITUTE(BE10,CHAR(160),""))),0)+IFERROR(VALUE(TRIM(SUBSTITUTE(BF10,CHAR(160),""))),0))</f>
        <v/>
      </c>
      <c r="BH10" s="1203" t="str">
        <f t="shared" ref="BH10:BH49" si="26">IF(AC10="","",AC10)</f>
        <v/>
      </c>
      <c r="BI10" s="260"/>
      <c r="BJ10" s="300" t="str">
        <f t="shared" ref="BJ10:BJ49" si="27">IF((1.15*MIN(IF((IFERROR(VALUE(TRIM(SUBSTITUTE(AU10,CHAR(160),""))),0))=0,1E+30,(IFERROR(VALUE(TRIM(SUBSTITUTE(AU10,CHAR(160),""))),0))),IF((IFERROR(VALUE(TRIM(SUBSTITUTE(AZ10,CHAR(160),""))),0))=0,1E+30,(IFERROR(VALUE(TRIM(SUBSTITUTE(AZ10,CHAR(160),""))),0))),IF((IFERROR(VALUE(TRIM(SUBSTITUTE(BE10,CHAR(160),""))),0))=0,1E+30,(IFERROR(VALUE(TRIM(SUBSTITUTE(BE10,CHAR(160),""))),0))))*(IFERROR(VALUE(TRIM(SUBSTITUTE(AP10,CHAR(160),""))),0)))=0,"",(1.15*MIN(IF((IFERROR(VALUE(TRIM(SUBSTITUTE(AU10,CHAR(160),""))),0))=0,1E+30,(IFERROR(VALUE(TRIM(SUBSTITUTE(AU10,CHAR(160),""))),0))),IF((IFERROR(VALUE(TRIM(SUBSTITUTE(AZ10,CHAR(160),""))),0))=0,1E+30,(IFERROR(VALUE(TRIM(SUBSTITUTE(AZ10,CHAR(160),""))),0))),IF((IFERROR(VALUE(TRIM(SUBSTITUTE(BE10,CHAR(160),""))),0))=0,1E+30,(IFERROR(VALUE(TRIM(SUBSTITUTE(BE10,CHAR(160),""))),0))))*(IFERROR(VALUE(TRIM(SUBSTITUTE(AP10,CHAR(160),""))),0))))</f>
        <v/>
      </c>
      <c r="BK10" s="300" t="str">
        <f t="shared" ref="BK10:BK49" si="28">IF((1.15*MIN(IF((IFERROR(VALUE(TRIM(SUBSTITUTE(AV10,CHAR(160),""))),0))=0,1E+30,(IFERROR(VALUE(TRIM(SUBSTITUTE(AV10,CHAR(160),""))),0))),IF((IFERROR(VALUE(TRIM(SUBSTITUTE(BA10,CHAR(160),""))),0))=0,1E+30,(IFERROR(VALUE(TRIM(SUBSTITUTE(BA10,CHAR(160),""))),0))),IF((IFERROR(VALUE(TRIM(SUBSTITUTE(BF10,CHAR(160),""))),0))=0,1E+30,(IFERROR(VALUE(TRIM(SUBSTITUTE(BF10,CHAR(160),""))),0))))*(IFERROR(VALUE(TRIM(SUBSTITUTE(AP10,CHAR(160),""))),0)))=0,"",(1.15*MIN(IF((IFERROR(VALUE(TRIM(SUBSTITUTE(AV10,CHAR(160),""))),0))=0,1E+30,(IFERROR(VALUE(TRIM(SUBSTITUTE(AV10,CHAR(160),""))),0))),IF((IFERROR(VALUE(TRIM(SUBSTITUTE(BA10,CHAR(160),""))),0))=0,1E+30,(IFERROR(VALUE(TRIM(SUBSTITUTE(BA10,CHAR(160),""))),0))),IF((IFERROR(VALUE(TRIM(SUBSTITUTE(BF10,CHAR(160),""))),0))=0,1E+30,(IFERROR(VALUE(TRIM(SUBSTITUTE(BF10,CHAR(160),""))),0))))*(IFERROR(VALUE(TRIM(SUBSTITUTE(AP10,CHAR(160),""))),0))))</f>
        <v/>
      </c>
      <c r="BL10" s="300" t="str">
        <f t="shared" ref="BL10:BL49" si="29">IF(BJ10="","",BJ10+BK10)</f>
        <v/>
      </c>
      <c r="BM10" s="1202" t="str" cm="1">
        <f t="array" ref="BM10">IF($AP10="","",IF((IFERROR(_xlfn.IFS($BH10="Devis 1",(IFERROR(VALUE(TRIM(SUBSTITUTE(AU10,CHAR(160),""))),0)),$BH10="Devis 2",(IFERROR(VALUE(TRIM(SUBSTITUTE(AZ10,CHAR(160),""))),0)),$BH10="Devis 3",(IFERROR(VALUE(TRIM(SUBSTITUTE(BE10,CHAR(160),""))),0))),0))*(IFERROR(VALUE(TRIM(SUBSTITUTE($AP10,CHAR(160),""))),0))=0,"",(IFERROR(_xlfn.IFS($BH10="Devis 1",(IFERROR(VALUE(TRIM(SUBSTITUTE(AU10,CHAR(160),""))),0)),$BH10="Devis 2",(IFERROR(VALUE(TRIM(SUBSTITUTE(AZ10,CHAR(160),""))),0)),$BH10="Devis 3",(IFERROR(VALUE(TRIM(SUBSTITUTE(BE10,CHAR(160),""))),0))),0))*(IFERROR(VALUE(TRIM(SUBSTITUTE($AP10,CHAR(160),""))),0))))</f>
        <v/>
      </c>
      <c r="BN10" s="1202" t="str" cm="1">
        <f t="array" ref="BN10">IF($AP10="","",IF((IFERROR(_xlfn.IFS(TRIM(SUBSTITUTE($BH10,CHAR(160),""))="Devis 1", IFERROR(VALUE(TRIM(SUBSTITUTE(AV10,CHAR(160),""))),0),TRIM(SUBSTITUTE($BH10,CHAR(160),""))="Devis 2", IFERROR(VALUE(TRIM(SUBSTITUTE(BA10,CHAR(160),""))),0),TRIM(SUBSTITUTE($BH10,CHAR(160),""))="Devis 3", IFERROR(VALUE(TRIM(SUBSTITUTE(BF10,CHAR(160),""))),0)),0) * IFERROR(VALUE(TRIM(SUBSTITUTE($AP10,CHAR(160),""))),0)) = 0,IF(BM10&lt;&gt;"",0,""),(IFERROR(_xlfn.IFS(TRIM(SUBSTITUTE($BH10,CHAR(160),""))="Devis 1", IFERROR(VALUE(TRIM(SUBSTITUTE(AV10,CHAR(160),""))),0),TRIM(SUBSTITUTE($BH10,CHAR(160),""))="Devis 2", IFERROR(VALUE(TRIM(SUBSTITUTE(BA10,CHAR(160),""))),0),TRIM(SUBSTITUTE($BH10,CHAR(160),""))="Devis 3", IFERROR(VALUE(TRIM(SUBSTITUTE(BF10,CHAR(160),""))),0)),0) * IFERROR(VALUE(TRIM(SUBSTITUTE($AP10,CHAR(160),""))),0))))</f>
        <v/>
      </c>
      <c r="BO10" s="1202" t="str" cm="1">
        <f t="array" ref="BO10">IF($AP10="","",IF(IFERROR(_xlfn.IFS($BH10="Devis 1",IFERROR(VALUE(TRIM(SUBSTITUTE(AW10,CHAR(160),""))),0),$BH10="Devis 2",IFERROR(VALUE(TRIM(SUBSTITUTE(BB10,CHAR(160),""))),0),$BH10="Devis 3",IFERROR(VALUE(TRIM(SUBSTITUTE(BG10,CHAR(160),""))),0)),0)*IFERROR(VALUE(TRIM(SUBSTITUTE($AP10,CHAR(160),""))),0)=0,"",IFERROR(_xlfn.IFS($BH10="Devis 1",IFERROR(VALUE(TRIM(SUBSTITUTE(AW10,CHAR(160),""))),0),$BH10="Devis 2",IFERROR(VALUE(TRIM(SUBSTITUTE(BB10,CHAR(160),""))),0),$BH10="Devis 3",IFERROR(VALUE(TRIM(SUBSTITUTE(BG10,CHAR(160),""))),0)),0)*IFERROR(VALUE(TRIM(SUBSTITUTE($AP10,CHAR(160),""))),0)))</f>
        <v/>
      </c>
      <c r="BP10" s="194"/>
      <c r="BQ10" s="219" t="str" cm="1">
        <f t="array" ref="BQ10">IF(OR(BO10="",BL10="",BM10="",BJ10="",BN10="",BK10=""),"",_xlfn.IFS(
ROUND(IFERROR(VALUE(TRIM(SUBSTITUTE(BO10,CHAR(160),""))),0),2)&gt;
ROUND(IFERROR(VALUE(TRIM(SUBSTITUTE(BL10,CHAR(160),""))),0),2),
"KO : Le montant retenu TTC est supérieur au montant raisonnable TTC. Merci de revoir la ligne de dépense ou plafonner son montant.",
ROUND(IFERROR(VALUE(TRIM(SUBSTITUTE(BM10,CHAR(160),""))),0),2)&gt;
ROUND(IFERROR(VALUE(TRIM(SUBSTITUTE(BJ10,CHAR(160),""))),0),2),
"Attention : Le montant retenu HT est supérieur au montant HT raisonnable. Merci de revoir la ligne de dépense, plafonner son montant, ou justifier la reventillation HT / TVA.",
ROUND(IFERROR(VALUE(TRIM(SUBSTITUTE(BN10,CHAR(160),""))),0),2)&gt;
ROUND(IFERROR(VALUE(TRIM(SUBSTITUTE(BK10,CHAR(160),""))),0),2),
"Attention : Le montant TVA retenu est supérieur au montant TVA raisonnable. Merci de revoir la ligne de dépense, plafonner son montant, ou justifier la reventillation HT / TVA.",
ROUND(IFERROR(VALUE(TRIM(SUBSTITUTE(BO10,CHAR(160),""))),0),2)&gt;
ROUND(IFERROR(VALUE(TRIM(SUBSTITUTE(MIN(R10,W10,AB10),CHAR(160),""))),0),2),
"Attention : Le devis retenu n'est pas le moins cher. Une justification de la part du porteur est nécessaire.",
ROUND(IFERROR(VALUE(TRIM(SUBSTITUTE(BO10,CHAR(160),""))),0),2)=0,
"Attention : montant présenté entièrement écarté",
ROUND(IFERROR(VALUE(TRIM(SUBSTITUTE(BL10,CHAR(160),""))),0),2)=
ROUND(IFERROR(VALUE(TRIM(SUBSTITUTE(BO10,CHAR(160),""))),0),2),
"OK",
ROUND(IFERROR(VALUE(TRIM(SUBSTITUTE(BL10,CHAR(160),""))),0),2)&gt;
ROUND(IFERROR(VALUE(TRIM(SUBSTITUTE(BO10,CHAR(160),""))),0),2),
" OK : Montant instruit inférieur au montant raisonnable.",
TRUE,""
))</f>
        <v/>
      </c>
      <c r="BR10" s="216" t="str" cm="1">
        <f t="array" ref="BR10">IF(OR(BO10="",AF10="",BM10="",AD10="",BN10="",AE10=""),"",_xlfn.IFS(
ROUND(IFERROR(VALUE(TRIM(SUBSTITUTE(BO10,CHAR(160),""))),0),2)&gt;
ROUND(IFERROR(VALUE(TRIM(SUBSTITUTE(AF10,CHAR(160),""))),0),2),
"KO : Le montant retenu TTC est supérieur au montant présenté TTC. Merci de revoir la ligne de dépense ou plafonner son montant.",
ROUND(IFERROR(VALUE(TRIM(SUBSTITUTE(BM10,CHAR(160),""))),0),2)&gt;
ROUND(IFERROR(VALUE(TRIM(SUBSTITUTE(AD10,CHAR(160),""))),0),2),
"Attention : Le montant retenu HT est supérieur au montant HT présenté. Merci de revoir la ligne de dépense, plafonner son montant, ou justifier la reventillation HT / TVA.",
ROUND(IFERROR(VALUE(TRIM(SUBSTITUTE(BN10,CHAR(160),""))),0),2)&gt;
ROUND(IFERROR(VALUE(TRIM(SUBSTITUTE(AE10,CHAR(160),""))),0),2),
"Attention : Le montant TVA retenu est supérieur au montant TVA présenté. Merci de revoir la ligne de dépense, plafonner son montant, ou justifier la reventillation HT / TVA.",
ROUND(IFERROR(VALUE(TRIM(SUBSTITUTE(AF10,CHAR(160),""))),0),2)=0,
"",
ROUND(IFERROR(VALUE(TRIM(SUBSTITUTE(BO10,CHAR(160),""))),0),2)=
ROUND(IFERROR(VALUE(TRIM(SUBSTITUTE(AF10,CHAR(160),""))),0),2),
"OK",
ROUND(IFERROR(VALUE(TRIM(SUBSTITUTE(BO10,CHAR(160),""))),0),2)=0,
"Attention : Montant présenté entièrement rejeté.",
ROUND(IFERROR(VALUE(TRIM(SUBSTITUTE(BO10,CHAR(160),""))),0),2)&lt;
ROUND(IFERROR(VALUE(TRIM(SUBSTITUTE(AF10,CHAR(160),""))),0),2),
"Attention : Montant présenté partiellement rejeté.",
TRUE,""
))</f>
        <v/>
      </c>
      <c r="BS10" s="1202" t="str">
        <f t="shared" ref="BS10:BS49" si="30">IF(OR(AD10="",BM10=""),"",(IFERROR(VALUE(TRIM(SUBSTITUTE(AD10,CHAR(160),""))),0))-(IFERROR(VALUE(TRIM(SUBSTITUTE(BM10,CHAR(160),""))),0)))</f>
        <v/>
      </c>
      <c r="BT10" s="1202" t="str">
        <f t="shared" ref="BT10:BT49" si="31">IF(OR(AE10="",BN10=""),"",(IFERROR(VALUE(TRIM(SUBSTITUTE(AE10,CHAR(160),""))),0))-(IFERROR(VALUE(TRIM(SUBSTITUTE(BN10,CHAR(160),""))),0)))</f>
        <v/>
      </c>
      <c r="BU10" s="1216" t="str">
        <f t="shared" ref="BU10:BU49" si="32">IF(OR(AF10="",BO10=""),"",(IFERROR(VALUE(TRIM(SUBSTITUTE(AF10,CHAR(160),""))),0))-(IFERROR(VALUE(TRIM(SUBSTITUTE(BO10,CHAR(160),""))),0)))</f>
        <v/>
      </c>
    </row>
    <row r="11" spans="2:74" ht="15.95" customHeight="1">
      <c r="B11" s="303">
        <v>2</v>
      </c>
      <c r="C11" s="11"/>
      <c r="D11" s="11"/>
      <c r="E11" s="511"/>
      <c r="F11" s="11"/>
      <c r="G11" s="11"/>
      <c r="H11" s="11"/>
      <c r="I11" s="22"/>
      <c r="J11" s="11"/>
      <c r="K11" s="2"/>
      <c r="L11" s="23"/>
      <c r="M11" s="11"/>
      <c r="N11" s="11"/>
      <c r="O11" s="11"/>
      <c r="P11" s="24"/>
      <c r="Q11" s="24"/>
      <c r="R11" s="300" t="str">
        <f>IF(OR(P11="", Q11=""), "", IFERROR(VALUE(TRIM(SUBSTITUTE(P11,CHAR(160),""))),0) + IFERROR(VALUE(TRIM(SUBSTITUTE(Q11,CHAR(160),""))),0))</f>
        <v/>
      </c>
      <c r="S11" s="1205"/>
      <c r="T11" s="1205"/>
      <c r="U11" s="24"/>
      <c r="V11" s="24"/>
      <c r="W11" s="300" t="str">
        <f t="shared" ref="W11:W49" si="33">IF(OR(U11="", V11=""), "", IFERROR(VALUE(TRIM(SUBSTITUTE(U11,CHAR(160),""))),0) + IFERROR(VALUE(TRIM(SUBSTITUTE(V11,CHAR(160),""))),0))</f>
        <v/>
      </c>
      <c r="X11" s="1205"/>
      <c r="Y11" s="1205"/>
      <c r="Z11" s="24"/>
      <c r="AA11" s="24"/>
      <c r="AB11" s="300" t="str">
        <f t="shared" ref="AB11:AB49" si="34">IF(OR(Z11="", AA11=""), "", IFERROR(VALUE(TRIM(SUBSTITUTE(Z11,CHAR(160),""))),0) + IFERROR(VALUE(TRIM(SUBSTITUTE(AA11,CHAR(160),""))),0))</f>
        <v/>
      </c>
      <c r="AC11" s="11"/>
      <c r="AD11" s="1202" t="str" cm="1">
        <f t="array" ref="AD11">IF((_xlfn.IFS(TRIM(SUBSTITUTE(AC11,CHAR(160),""))="Devis 1",IFERROR(VALUE(TRIM(SUBSTITUTE(P11,CHAR(160),""))),0),TRIM(SUBSTITUTE(AC11,CHAR(160),""))="Devis 2",IFERROR(VALUE(TRIM(SUBSTITUTE(U11,CHAR(160),""))),0),TRIM(SUBSTITUTE(AC11,CHAR(160),""))="Devis 3",IFERROR(VALUE(TRIM(SUBSTITUTE(Z11,CHAR(160),""))),0),TRUE,0)*IFERROR(VALUE(TRIM(SUBSTITUTE(K11,CHAR(160),""))),0))=0,"",_xlfn.IFS(TRIM(SUBSTITUTE(AC11,CHAR(160),""))="Devis 1",IFERROR(VALUE(TRIM(SUBSTITUTE(P11,CHAR(160),""))),0),TRIM(SUBSTITUTE(AC11,CHAR(160),""))="Devis 2",IFERROR(VALUE(TRIM(SUBSTITUTE(U11,CHAR(160),""))),0),TRIM(SUBSTITUTE(AC11,CHAR(160),""))="Devis 3",IFERROR(VALUE(TRIM(SUBSTITUTE(Z11,CHAR(160),""))),0),TRUE,0)*IFERROR(VALUE(TRIM(SUBSTITUTE(K11,CHAR(160),""))),0))</f>
        <v/>
      </c>
      <c r="AE11" s="1202" t="str" cm="1">
        <f t="array" ref="AE11">IF((_xlfn.IFS(TRIM(SUBSTITUTE(AC11,CHAR(160),""))="Devis 1",IFERROR(VALUE(TRIM(SUBSTITUTE(Q11,CHAR(160),""))),0),TRIM(SUBSTITUTE(AC11,CHAR(160),""))="Devis 2",IFERROR(VALUE(TRIM(SUBSTITUTE(V11,CHAR(160),""))),0),TRIM(SUBSTITUTE(AC11,CHAR(160),""))="Devis 3",IFERROR(VALUE(TRIM(SUBSTITUTE(AA11,CHAR(160),""))),0),TRUE,0)*IFERROR(VALUE(TRIM(SUBSTITUTE(K11,CHAR(160),""))),0))=0,"",_xlfn.IFS(TRIM(SUBSTITUTE(AC11,CHAR(160),""))="Devis 1",IFERROR(VALUE(TRIM(SUBSTITUTE(Q11,CHAR(160),""))),0),TRIM(SUBSTITUTE(AD11,CHAR(160),""))="Devis 2",IFERROR(VALUE(TRIM(SUBSTITUTE(V11,CHAR(160),""))),0),TRIM(SUBSTITUTE(AD11,CHAR(160),""))="Devis 3",IFERROR(VALUE(TRIM(SUBSTITUTE(AA11,CHAR(160),""))),0),TRUE,0)*IFERROR(VALUE(TRIM(SUBSTITUTE(K11,CHAR(160),""))),0))</f>
        <v/>
      </c>
      <c r="AF11" s="1202" t="str" cm="1">
        <f t="array" ref="AF11">IF((_xlfn.IFS(TRIM(SUBSTITUTE(AC11,CHAR(160),""))="Devis 1",IFERROR(VALUE(TRIM(SUBSTITUTE(R11,CHAR(160),""))),0),TRIM(SUBSTITUTE(AC11,CHAR(160),""))="Devis 2",IFERROR(VALUE(TRIM(SUBSTITUTE(W11,CHAR(160),""))),0),TRIM(SUBSTITUTE(AC11,CHAR(160),""))="Devis 3",IFERROR(VALUE(TRIM(SUBSTITUTE(AB11,CHAR(160),""))),0),TRUE,0)*IFERROR(VALUE(TRIM(SUBSTITUTE(K11,CHAR(160),""))),0))=0,"",_xlfn.IFS(TRIM(SUBSTITUTE(AC11,CHAR(160),""))="Devis 1",IFERROR(VALUE(TRIM(SUBSTITUTE(R11,CHAR(160),""))),0),TRIM(SUBSTITUTE(AC11,CHAR(160),""))="Devis 2",IFERROR(VALUE(TRIM(SUBSTITUTE(W11,CHAR(160),""))),0),TRIM(SUBSTITUTE(AC11,CHAR(160),""))="Devis 3",IFERROR(VALUE(TRIM(SUBSTITUTE(AB11,CHAR(160),""))),0),TRUE,0)*IFERROR(VALUE(TRIM(SUBSTITUTE(K11,CHAR(160),""))),0))</f>
        <v/>
      </c>
      <c r="AG11" s="488"/>
      <c r="AH11" s="215" t="str">
        <f t="shared" si="0"/>
        <v/>
      </c>
      <c r="AI11" s="57" t="str">
        <f t="shared" si="1"/>
        <v/>
      </c>
      <c r="AJ11" s="57" t="str">
        <f t="shared" si="2"/>
        <v/>
      </c>
      <c r="AK11" s="57" t="str">
        <f t="shared" si="3"/>
        <v/>
      </c>
      <c r="AL11" s="57" t="str">
        <f t="shared" si="4"/>
        <v/>
      </c>
      <c r="AM11" s="57" t="str">
        <f t="shared" si="5"/>
        <v/>
      </c>
      <c r="AN11" s="57" t="str">
        <f t="shared" si="6"/>
        <v/>
      </c>
      <c r="AO11" s="57" t="str">
        <f t="shared" si="7"/>
        <v/>
      </c>
      <c r="AP11" s="57" t="str">
        <f t="shared" si="8"/>
        <v/>
      </c>
      <c r="AQ11" s="57" t="str">
        <f t="shared" si="9"/>
        <v/>
      </c>
      <c r="AR11" s="57" t="str">
        <f t="shared" si="10"/>
        <v/>
      </c>
      <c r="AS11" s="57" t="str">
        <f t="shared" si="11"/>
        <v/>
      </c>
      <c r="AT11" s="57" t="str">
        <f t="shared" si="12"/>
        <v/>
      </c>
      <c r="AU11" s="57" t="str">
        <f t="shared" si="13"/>
        <v/>
      </c>
      <c r="AV11" s="57" t="str">
        <f t="shared" si="14"/>
        <v/>
      </c>
      <c r="AW11" s="300" t="str">
        <f t="shared" si="15"/>
        <v/>
      </c>
      <c r="AX11" s="57" t="str">
        <f t="shared" si="16"/>
        <v/>
      </c>
      <c r="AY11" s="57" t="str">
        <f t="shared" si="17"/>
        <v/>
      </c>
      <c r="AZ11" s="57" t="str">
        <f t="shared" si="18"/>
        <v/>
      </c>
      <c r="BA11" s="57" t="str">
        <f t="shared" si="19"/>
        <v/>
      </c>
      <c r="BB11" s="300" t="str">
        <f t="shared" si="20"/>
        <v/>
      </c>
      <c r="BC11" s="57" t="str">
        <f t="shared" si="21"/>
        <v/>
      </c>
      <c r="BD11" s="57" t="str">
        <f t="shared" si="22"/>
        <v/>
      </c>
      <c r="BE11" s="57" t="str">
        <f t="shared" si="23"/>
        <v/>
      </c>
      <c r="BF11" s="57" t="str">
        <f t="shared" si="24"/>
        <v/>
      </c>
      <c r="BG11" s="300" t="str">
        <f t="shared" si="25"/>
        <v/>
      </c>
      <c r="BH11" s="1203" t="str">
        <f t="shared" si="26"/>
        <v/>
      </c>
      <c r="BI11" s="260"/>
      <c r="BJ11" s="300" t="str">
        <f t="shared" si="27"/>
        <v/>
      </c>
      <c r="BK11" s="300" t="str">
        <f t="shared" si="28"/>
        <v/>
      </c>
      <c r="BL11" s="300" t="str">
        <f t="shared" si="29"/>
        <v/>
      </c>
      <c r="BM11" s="1202" t="str" cm="1">
        <f t="array" ref="BM11">IF($AP11="","",IF((IFERROR(_xlfn.IFS($BH11="Devis 1",(IFERROR(VALUE(TRIM(SUBSTITUTE(AU11,CHAR(160),""))),0)),$BH11="Devis 2",(IFERROR(VALUE(TRIM(SUBSTITUTE(AZ11,CHAR(160),""))),0)),$BH11="Devis 3",(IFERROR(VALUE(TRIM(SUBSTITUTE(BE11,CHAR(160),""))),0))),0))*(IFERROR(VALUE(TRIM(SUBSTITUTE($AP11,CHAR(160),""))),0))=0,"",(IFERROR(_xlfn.IFS($BH11="Devis 1",(IFERROR(VALUE(TRIM(SUBSTITUTE(AU11,CHAR(160),""))),0)),$BH11="Devis 2",(IFERROR(VALUE(TRIM(SUBSTITUTE(AZ11,CHAR(160),""))),0)),$BH11="Devis 3",(IFERROR(VALUE(TRIM(SUBSTITUTE(BE11,CHAR(160),""))),0))),0))*(IFERROR(VALUE(TRIM(SUBSTITUTE($AP11,CHAR(160),""))),0))))</f>
        <v/>
      </c>
      <c r="BN11" s="1202" t="str" cm="1">
        <f t="array" ref="BN11">IF($AP11="","",IF((IFERROR(_xlfn.IFS(TRIM(SUBSTITUTE($BH11,CHAR(160),""))="Devis 1", IFERROR(VALUE(TRIM(SUBSTITUTE(AV11,CHAR(160),""))),0),TRIM(SUBSTITUTE($BH11,CHAR(160),""))="Devis 2", IFERROR(VALUE(TRIM(SUBSTITUTE(BA11,CHAR(160),""))),0),TRIM(SUBSTITUTE($BH11,CHAR(160),""))="Devis 3", IFERROR(VALUE(TRIM(SUBSTITUTE(BF11,CHAR(160),""))),0)),0) * IFERROR(VALUE(TRIM(SUBSTITUTE($AP11,CHAR(160),""))),0)) = 0,IF(BM11&lt;&gt;"",0,""),(IFERROR(_xlfn.IFS(TRIM(SUBSTITUTE($BH11,CHAR(160),""))="Devis 1", IFERROR(VALUE(TRIM(SUBSTITUTE(AV11,CHAR(160),""))),0),TRIM(SUBSTITUTE($BH11,CHAR(160),""))="Devis 2", IFERROR(VALUE(TRIM(SUBSTITUTE(BA11,CHAR(160),""))),0),TRIM(SUBSTITUTE($BH11,CHAR(160),""))="Devis 3", IFERROR(VALUE(TRIM(SUBSTITUTE(BF11,CHAR(160),""))),0)),0) * IFERROR(VALUE(TRIM(SUBSTITUTE($AP11,CHAR(160),""))),0))))</f>
        <v/>
      </c>
      <c r="BO11" s="1202" t="str" cm="1">
        <f t="array" ref="BO11">IF($AP11="","",IF(IFERROR(_xlfn.IFS($BH11="Devis 1",IFERROR(VALUE(TRIM(SUBSTITUTE(AW11,CHAR(160),""))),0),$BH11="Devis 2",IFERROR(VALUE(TRIM(SUBSTITUTE(BB11,CHAR(160),""))),0),$BH11="Devis 3",IFERROR(VALUE(TRIM(SUBSTITUTE(BG11,CHAR(160),""))),0)),0)*IFERROR(VALUE(TRIM(SUBSTITUTE($AP11,CHAR(160),""))),0)=0,"",IFERROR(_xlfn.IFS($BH11="Devis 1",IFERROR(VALUE(TRIM(SUBSTITUTE(AW11,CHAR(160),""))),0),$BH11="Devis 2",IFERROR(VALUE(TRIM(SUBSTITUTE(BB11,CHAR(160),""))),0),$BH11="Devis 3",IFERROR(VALUE(TRIM(SUBSTITUTE(BG11,CHAR(160),""))),0)),0)*IFERROR(VALUE(TRIM(SUBSTITUTE($AP11,CHAR(160),""))),0)))</f>
        <v/>
      </c>
      <c r="BP11" s="194"/>
      <c r="BQ11" s="219" t="str" cm="1">
        <f t="array" ref="BQ11">IF(OR(BO11="",BL11="",BM11="",BJ11="",BN11="",BK11=""),"",_xlfn.IFS(
ROUND(IFERROR(VALUE(TRIM(SUBSTITUTE(BO11,CHAR(160),""))),0),2)&gt;
ROUND(IFERROR(VALUE(TRIM(SUBSTITUTE(BL11,CHAR(160),""))),0),2),
"KO : Le montant retenu TTC est supérieur au montant raisonnable TTC. Merci de revoir la ligne de dépense ou plafonner son montant.",
ROUND(IFERROR(VALUE(TRIM(SUBSTITUTE(BM11,CHAR(160),""))),0),2)&gt;
ROUND(IFERROR(VALUE(TRIM(SUBSTITUTE(BJ11,CHAR(160),""))),0),2),
"Attention : Le montant retenu HT est supérieur au montant HT raisonnable. Merci de revoir la ligne de dépense, plafonner son montant, ou justifier la reventillation HT / TVA.",
ROUND(IFERROR(VALUE(TRIM(SUBSTITUTE(BN11,CHAR(160),""))),0),2)&gt;
ROUND(IFERROR(VALUE(TRIM(SUBSTITUTE(BK11,CHAR(160),""))),0),2),
"Attention : Le montant TVA retenu est supérieur au montant TVA raisonnable. Merci de revoir la ligne de dépense, plafonner son montant, ou justifier la reventillation HT / TVA.",
ROUND(IFERROR(VALUE(TRIM(SUBSTITUTE(BO11,CHAR(160),""))),0),2)&gt;
ROUND(IFERROR(VALUE(TRIM(SUBSTITUTE(MIN(R11,W11,AB11),CHAR(160),""))),0),2),
"Attention : Le devis retenu n'est pas le moins cher. Une justification de la part du porteur est nécessaire.",
ROUND(IFERROR(VALUE(TRIM(SUBSTITUTE(BO11,CHAR(160),""))),0),2)=0,
"Attention : montant présenté entièrement écarté",
ROUND(IFERROR(VALUE(TRIM(SUBSTITUTE(BL11,CHAR(160),""))),0),2)=
ROUND(IFERROR(VALUE(TRIM(SUBSTITUTE(BO11,CHAR(160),""))),0),2),
"OK",
ROUND(IFERROR(VALUE(TRIM(SUBSTITUTE(BL11,CHAR(160),""))),0),2)&gt;
ROUND(IFERROR(VALUE(TRIM(SUBSTITUTE(BO11,CHAR(160),""))),0),2),
" OK : Montant instruit inférieur au montant raisonnable.",
TRUE,""
))</f>
        <v/>
      </c>
      <c r="BR11" s="216" t="str" cm="1">
        <f t="array" ref="BR11">IF(OR(BO11="",AF11="",BM11="",AD11="",BN11="",AE11=""),"",_xlfn.IFS(
ROUND(IFERROR(VALUE(TRIM(SUBSTITUTE(BO11,CHAR(160),""))),0),2)&gt;
ROUND(IFERROR(VALUE(TRIM(SUBSTITUTE(AF11,CHAR(160),""))),0),2),
"KO : Le montant retenu TTC est supérieur au montant présenté TTC. Merci de revoir la ligne de dépense ou plafonner son montant.",
ROUND(IFERROR(VALUE(TRIM(SUBSTITUTE(BM11,CHAR(160),""))),0),2)&gt;
ROUND(IFERROR(VALUE(TRIM(SUBSTITUTE(AD11,CHAR(160),""))),0),2),
"Attention : Le montant retenu HT est supérieur au montant HT présenté. Merci de revoir la ligne de dépense, plafonner son montant, ou justifier la reventillation HT / TVA.",
ROUND(IFERROR(VALUE(TRIM(SUBSTITUTE(BN11,CHAR(160),""))),0),2)&gt;
ROUND(IFERROR(VALUE(TRIM(SUBSTITUTE(AE11,CHAR(160),""))),0),2),
"Attention : Le montant TVA retenu est supérieur au montant TVA présenté. Merci de revoir la ligne de dépense, plafonner son montant, ou justifier la reventillation HT / TVA.",
ROUND(IFERROR(VALUE(TRIM(SUBSTITUTE(AF11,CHAR(160),""))),0),2)=0,
"",
ROUND(IFERROR(VALUE(TRIM(SUBSTITUTE(BO11,CHAR(160),""))),0),2)=
ROUND(IFERROR(VALUE(TRIM(SUBSTITUTE(AF11,CHAR(160),""))),0),2),
"OK",
ROUND(IFERROR(VALUE(TRIM(SUBSTITUTE(BO11,CHAR(160),""))),0),2)=0,
"Attention : Montant présenté entièrement rejeté.",
ROUND(IFERROR(VALUE(TRIM(SUBSTITUTE(BO11,CHAR(160),""))),0),2)&lt;
ROUND(IFERROR(VALUE(TRIM(SUBSTITUTE(AF11,CHAR(160),""))),0),2),
"Attention : Montant présenté partiellement rejeté.",
TRUE,""
))</f>
        <v/>
      </c>
      <c r="BS11" s="1202" t="str">
        <f t="shared" si="30"/>
        <v/>
      </c>
      <c r="BT11" s="1202" t="str">
        <f t="shared" si="31"/>
        <v/>
      </c>
      <c r="BU11" s="1216" t="str">
        <f t="shared" si="32"/>
        <v/>
      </c>
    </row>
    <row r="12" spans="2:74" ht="15.95" customHeight="1">
      <c r="B12" s="303">
        <v>3</v>
      </c>
      <c r="C12" s="11"/>
      <c r="D12" s="11"/>
      <c r="E12" s="511"/>
      <c r="F12" s="11"/>
      <c r="G12" s="11"/>
      <c r="H12" s="11"/>
      <c r="I12" s="22"/>
      <c r="J12" s="11"/>
      <c r="K12" s="2"/>
      <c r="L12" s="23"/>
      <c r="M12" s="11"/>
      <c r="N12" s="11"/>
      <c r="O12" s="11"/>
      <c r="P12" s="24"/>
      <c r="Q12" s="24"/>
      <c r="R12" s="300" t="str">
        <f t="shared" ref="R12:R49" si="35">IF(OR(P12="", Q12=""), "", IFERROR(VALUE(TRIM(SUBSTITUTE(P12,CHAR(160),""))),0) + IFERROR(VALUE(TRIM(SUBSTITUTE(Q12,CHAR(160),""))),0))</f>
        <v/>
      </c>
      <c r="S12" s="1205"/>
      <c r="T12" s="1205"/>
      <c r="U12" s="24"/>
      <c r="V12" s="24"/>
      <c r="W12" s="300" t="str">
        <f t="shared" si="33"/>
        <v/>
      </c>
      <c r="X12" s="1205"/>
      <c r="Y12" s="1205"/>
      <c r="Z12" s="24"/>
      <c r="AA12" s="24"/>
      <c r="AB12" s="300" t="str">
        <f t="shared" si="34"/>
        <v/>
      </c>
      <c r="AC12" s="11"/>
      <c r="AD12" s="1202" t="str" cm="1">
        <f t="array" ref="AD12">IF((_xlfn.IFS(TRIM(SUBSTITUTE(AC12,CHAR(160),""))="Devis 1",IFERROR(VALUE(TRIM(SUBSTITUTE(P12,CHAR(160),""))),0),TRIM(SUBSTITUTE(AC12,CHAR(160),""))="Devis 2",IFERROR(VALUE(TRIM(SUBSTITUTE(U12,CHAR(160),""))),0),TRIM(SUBSTITUTE(AC12,CHAR(160),""))="Devis 3",IFERROR(VALUE(TRIM(SUBSTITUTE(Z12,CHAR(160),""))),0),TRUE,0)*IFERROR(VALUE(TRIM(SUBSTITUTE(K12,CHAR(160),""))),0))=0,"",_xlfn.IFS(TRIM(SUBSTITUTE(AC12,CHAR(160),""))="Devis 1",IFERROR(VALUE(TRIM(SUBSTITUTE(P12,CHAR(160),""))),0),TRIM(SUBSTITUTE(AC12,CHAR(160),""))="Devis 2",IFERROR(VALUE(TRIM(SUBSTITUTE(U12,CHAR(160),""))),0),TRIM(SUBSTITUTE(AC12,CHAR(160),""))="Devis 3",IFERROR(VALUE(TRIM(SUBSTITUTE(Z12,CHAR(160),""))),0),TRUE,0)*IFERROR(VALUE(TRIM(SUBSTITUTE(K12,CHAR(160),""))),0))</f>
        <v/>
      </c>
      <c r="AE12" s="1202" t="str" cm="1">
        <f t="array" ref="AE12">IF((_xlfn.IFS(TRIM(SUBSTITUTE(AC12,CHAR(160),""))="Devis 1",IFERROR(VALUE(TRIM(SUBSTITUTE(Q12,CHAR(160),""))),0),TRIM(SUBSTITUTE(AC12,CHAR(160),""))="Devis 2",IFERROR(VALUE(TRIM(SUBSTITUTE(V12,CHAR(160),""))),0),TRIM(SUBSTITUTE(AC12,CHAR(160),""))="Devis 3",IFERROR(VALUE(TRIM(SUBSTITUTE(AA12,CHAR(160),""))),0),TRUE,0)*IFERROR(VALUE(TRIM(SUBSTITUTE(K12,CHAR(160),""))),0))=0,"",_xlfn.IFS(TRIM(SUBSTITUTE(AC12,CHAR(160),""))="Devis 1",IFERROR(VALUE(TRIM(SUBSTITUTE(Q12,CHAR(160),""))),0),TRIM(SUBSTITUTE(AD12,CHAR(160),""))="Devis 2",IFERROR(VALUE(TRIM(SUBSTITUTE(V12,CHAR(160),""))),0),TRIM(SUBSTITUTE(AD12,CHAR(160),""))="Devis 3",IFERROR(VALUE(TRIM(SUBSTITUTE(AA12,CHAR(160),""))),0),TRUE,0)*IFERROR(VALUE(TRIM(SUBSTITUTE(K12,CHAR(160),""))),0))</f>
        <v/>
      </c>
      <c r="AF12" s="1202" t="str" cm="1">
        <f t="array" ref="AF12">IF((_xlfn.IFS(TRIM(SUBSTITUTE(AC12,CHAR(160),""))="Devis 1",IFERROR(VALUE(TRIM(SUBSTITUTE(R12,CHAR(160),""))),0),TRIM(SUBSTITUTE(AC12,CHAR(160),""))="Devis 2",IFERROR(VALUE(TRIM(SUBSTITUTE(W12,CHAR(160),""))),0),TRIM(SUBSTITUTE(AC12,CHAR(160),""))="Devis 3",IFERROR(VALUE(TRIM(SUBSTITUTE(AB12,CHAR(160),""))),0),TRUE,0)*IFERROR(VALUE(TRIM(SUBSTITUTE(K12,CHAR(160),""))),0))=0,"",_xlfn.IFS(TRIM(SUBSTITUTE(AC12,CHAR(160),""))="Devis 1",IFERROR(VALUE(TRIM(SUBSTITUTE(R12,CHAR(160),""))),0),TRIM(SUBSTITUTE(AC12,CHAR(160),""))="Devis 2",IFERROR(VALUE(TRIM(SUBSTITUTE(W12,CHAR(160),""))),0),TRIM(SUBSTITUTE(AC12,CHAR(160),""))="Devis 3",IFERROR(VALUE(TRIM(SUBSTITUTE(AB12,CHAR(160),""))),0),TRUE,0)*IFERROR(VALUE(TRIM(SUBSTITUTE(K12,CHAR(160),""))),0))</f>
        <v/>
      </c>
      <c r="AG12" s="488"/>
      <c r="AH12" s="215" t="str">
        <f t="shared" si="0"/>
        <v/>
      </c>
      <c r="AI12" s="57" t="str">
        <f t="shared" si="1"/>
        <v/>
      </c>
      <c r="AJ12" s="57" t="str">
        <f t="shared" si="2"/>
        <v/>
      </c>
      <c r="AK12" s="57" t="str">
        <f t="shared" si="3"/>
        <v/>
      </c>
      <c r="AL12" s="57" t="str">
        <f t="shared" si="4"/>
        <v/>
      </c>
      <c r="AM12" s="57" t="str">
        <f t="shared" si="5"/>
        <v/>
      </c>
      <c r="AN12" s="57" t="str">
        <f t="shared" si="6"/>
        <v/>
      </c>
      <c r="AO12" s="57" t="str">
        <f t="shared" si="7"/>
        <v/>
      </c>
      <c r="AP12" s="57" t="str">
        <f t="shared" si="8"/>
        <v/>
      </c>
      <c r="AQ12" s="57" t="str">
        <f t="shared" si="9"/>
        <v/>
      </c>
      <c r="AR12" s="57" t="str">
        <f t="shared" si="10"/>
        <v/>
      </c>
      <c r="AS12" s="57" t="str">
        <f t="shared" si="11"/>
        <v/>
      </c>
      <c r="AT12" s="57" t="str">
        <f t="shared" si="12"/>
        <v/>
      </c>
      <c r="AU12" s="57" t="str">
        <f t="shared" si="13"/>
        <v/>
      </c>
      <c r="AV12" s="57" t="str">
        <f t="shared" si="14"/>
        <v/>
      </c>
      <c r="AW12" s="300" t="str">
        <f t="shared" si="15"/>
        <v/>
      </c>
      <c r="AX12" s="57" t="str">
        <f t="shared" si="16"/>
        <v/>
      </c>
      <c r="AY12" s="57" t="str">
        <f t="shared" si="17"/>
        <v/>
      </c>
      <c r="AZ12" s="57" t="str">
        <f t="shared" si="18"/>
        <v/>
      </c>
      <c r="BA12" s="57" t="str">
        <f t="shared" si="19"/>
        <v/>
      </c>
      <c r="BB12" s="300" t="str">
        <f t="shared" si="20"/>
        <v/>
      </c>
      <c r="BC12" s="57" t="str">
        <f t="shared" si="21"/>
        <v/>
      </c>
      <c r="BD12" s="57" t="str">
        <f t="shared" si="22"/>
        <v/>
      </c>
      <c r="BE12" s="57" t="str">
        <f t="shared" si="23"/>
        <v/>
      </c>
      <c r="BF12" s="57" t="str">
        <f t="shared" si="24"/>
        <v/>
      </c>
      <c r="BG12" s="300" t="str">
        <f t="shared" si="25"/>
        <v/>
      </c>
      <c r="BH12" s="1203" t="str">
        <f t="shared" si="26"/>
        <v/>
      </c>
      <c r="BI12" s="260"/>
      <c r="BJ12" s="300" t="str">
        <f t="shared" si="27"/>
        <v/>
      </c>
      <c r="BK12" s="300" t="str">
        <f t="shared" si="28"/>
        <v/>
      </c>
      <c r="BL12" s="300" t="str">
        <f t="shared" si="29"/>
        <v/>
      </c>
      <c r="BM12" s="1202" t="str" cm="1">
        <f t="array" ref="BM12">IF($AP12="","",IF((IFERROR(_xlfn.IFS($BH12="Devis 1",(IFERROR(VALUE(TRIM(SUBSTITUTE(AU12,CHAR(160),""))),0)),$BH12="Devis 2",(IFERROR(VALUE(TRIM(SUBSTITUTE(AZ12,CHAR(160),""))),0)),$BH12="Devis 3",(IFERROR(VALUE(TRIM(SUBSTITUTE(BE12,CHAR(160),""))),0))),0))*(IFERROR(VALUE(TRIM(SUBSTITUTE($AP12,CHAR(160),""))),0))=0,"",(IFERROR(_xlfn.IFS($BH12="Devis 1",(IFERROR(VALUE(TRIM(SUBSTITUTE(AU12,CHAR(160),""))),0)),$BH12="Devis 2",(IFERROR(VALUE(TRIM(SUBSTITUTE(AZ12,CHAR(160),""))),0)),$BH12="Devis 3",(IFERROR(VALUE(TRIM(SUBSTITUTE(BE12,CHAR(160),""))),0))),0))*(IFERROR(VALUE(TRIM(SUBSTITUTE($AP12,CHAR(160),""))),0))))</f>
        <v/>
      </c>
      <c r="BN12" s="1202" t="str" cm="1">
        <f t="array" ref="BN12">IF($AP12="","",IF((IFERROR(_xlfn.IFS(TRIM(SUBSTITUTE($BH12,CHAR(160),""))="Devis 1", IFERROR(VALUE(TRIM(SUBSTITUTE(AV12,CHAR(160),""))),0),TRIM(SUBSTITUTE($BH12,CHAR(160),""))="Devis 2", IFERROR(VALUE(TRIM(SUBSTITUTE(BA12,CHAR(160),""))),0),TRIM(SUBSTITUTE($BH12,CHAR(160),""))="Devis 3", IFERROR(VALUE(TRIM(SUBSTITUTE(BF12,CHAR(160),""))),0)),0) * IFERROR(VALUE(TRIM(SUBSTITUTE($AP12,CHAR(160),""))),0)) = 0,IF(BM12&lt;&gt;"",0,""),(IFERROR(_xlfn.IFS(TRIM(SUBSTITUTE($BH12,CHAR(160),""))="Devis 1", IFERROR(VALUE(TRIM(SUBSTITUTE(AV12,CHAR(160),""))),0),TRIM(SUBSTITUTE($BH12,CHAR(160),""))="Devis 2", IFERROR(VALUE(TRIM(SUBSTITUTE(BA12,CHAR(160),""))),0),TRIM(SUBSTITUTE($BH12,CHAR(160),""))="Devis 3", IFERROR(VALUE(TRIM(SUBSTITUTE(BF12,CHAR(160),""))),0)),0) * IFERROR(VALUE(TRIM(SUBSTITUTE($AP12,CHAR(160),""))),0))))</f>
        <v/>
      </c>
      <c r="BO12" s="1202" t="str" cm="1">
        <f t="array" ref="BO12">IF($AP12="","",IF(IFERROR(_xlfn.IFS($BH12="Devis 1",IFERROR(VALUE(TRIM(SUBSTITUTE(AW12,CHAR(160),""))),0),$BH12="Devis 2",IFERROR(VALUE(TRIM(SUBSTITUTE(BB12,CHAR(160),""))),0),$BH12="Devis 3",IFERROR(VALUE(TRIM(SUBSTITUTE(BG12,CHAR(160),""))),0)),0)*IFERROR(VALUE(TRIM(SUBSTITUTE($AP12,CHAR(160),""))),0)=0,"",IFERROR(_xlfn.IFS($BH12="Devis 1",IFERROR(VALUE(TRIM(SUBSTITUTE(AW12,CHAR(160),""))),0),$BH12="Devis 2",IFERROR(VALUE(TRIM(SUBSTITUTE(BB12,CHAR(160),""))),0),$BH12="Devis 3",IFERROR(VALUE(TRIM(SUBSTITUTE(BG12,CHAR(160),""))),0)),0)*IFERROR(VALUE(TRIM(SUBSTITUTE($AP12,CHAR(160),""))),0)))</f>
        <v/>
      </c>
      <c r="BP12" s="194"/>
      <c r="BQ12" s="219" t="str" cm="1">
        <f t="array" ref="BQ12">IF(OR(BO12="",BL12="",BM12="",BJ12="",BN12="",BK12=""),"",_xlfn.IFS(
ROUND(IFERROR(VALUE(TRIM(SUBSTITUTE(BO12,CHAR(160),""))),0),2)&gt;
ROUND(IFERROR(VALUE(TRIM(SUBSTITUTE(BL12,CHAR(160),""))),0),2),
"KO : Le montant retenu TTC est supérieur au montant raisonnable TTC. Merci de revoir la ligne de dépense ou plafonner son montant.",
ROUND(IFERROR(VALUE(TRIM(SUBSTITUTE(BM12,CHAR(160),""))),0),2)&gt;
ROUND(IFERROR(VALUE(TRIM(SUBSTITUTE(BJ12,CHAR(160),""))),0),2),
"Attention : Le montant retenu HT est supérieur au montant HT raisonnable. Merci de revoir la ligne de dépense, plafonner son montant, ou justifier la reventillation HT / TVA.",
ROUND(IFERROR(VALUE(TRIM(SUBSTITUTE(BN12,CHAR(160),""))),0),2)&gt;
ROUND(IFERROR(VALUE(TRIM(SUBSTITUTE(BK12,CHAR(160),""))),0),2),
"Attention : Le montant TVA retenu est supérieur au montant TVA raisonnable. Merci de revoir la ligne de dépense, plafonner son montant, ou justifier la reventillation HT / TVA.",
ROUND(IFERROR(VALUE(TRIM(SUBSTITUTE(BO12,CHAR(160),""))),0),2)&gt;
ROUND(IFERROR(VALUE(TRIM(SUBSTITUTE(MIN(R12,W12,AB12),CHAR(160),""))),0),2),
"Attention : Le devis retenu n'est pas le moins cher. Une justification de la part du porteur est nécessaire.",
ROUND(IFERROR(VALUE(TRIM(SUBSTITUTE(BO12,CHAR(160),""))),0),2)=0,
"Attention : montant présenté entièrement écarté",
ROUND(IFERROR(VALUE(TRIM(SUBSTITUTE(BL12,CHAR(160),""))),0),2)=
ROUND(IFERROR(VALUE(TRIM(SUBSTITUTE(BO12,CHAR(160),""))),0),2),
"OK",
ROUND(IFERROR(VALUE(TRIM(SUBSTITUTE(BL12,CHAR(160),""))),0),2)&gt;
ROUND(IFERROR(VALUE(TRIM(SUBSTITUTE(BO12,CHAR(160),""))),0),2),
" OK : Montant instruit inférieur au montant raisonnable.",
TRUE,""
))</f>
        <v/>
      </c>
      <c r="BR12" s="216" t="str" cm="1">
        <f t="array" ref="BR12">IF(OR(BO12="",AF12="",BM12="",AD12="",BN12="",AE12=""),"",_xlfn.IFS(
ROUND(IFERROR(VALUE(TRIM(SUBSTITUTE(BO12,CHAR(160),""))),0),2)&gt;
ROUND(IFERROR(VALUE(TRIM(SUBSTITUTE(AF12,CHAR(160),""))),0),2),
"KO : Le montant retenu TTC est supérieur au montant présenté TTC. Merci de revoir la ligne de dépense ou plafonner son montant.",
ROUND(IFERROR(VALUE(TRIM(SUBSTITUTE(BM12,CHAR(160),""))),0),2)&gt;
ROUND(IFERROR(VALUE(TRIM(SUBSTITUTE(AD12,CHAR(160),""))),0),2),
"Attention : Le montant retenu HT est supérieur au montant HT présenté. Merci de revoir la ligne de dépense, plafonner son montant, ou justifier la reventillation HT / TVA.",
ROUND(IFERROR(VALUE(TRIM(SUBSTITUTE(BN12,CHAR(160),""))),0),2)&gt;
ROUND(IFERROR(VALUE(TRIM(SUBSTITUTE(AE12,CHAR(160),""))),0),2),
"Attention : Le montant TVA retenu est supérieur au montant TVA présenté. Merci de revoir la ligne de dépense, plafonner son montant, ou justifier la reventillation HT / TVA.",
ROUND(IFERROR(VALUE(TRIM(SUBSTITUTE(AF12,CHAR(160),""))),0),2)=0,
"",
ROUND(IFERROR(VALUE(TRIM(SUBSTITUTE(BO12,CHAR(160),""))),0),2)=
ROUND(IFERROR(VALUE(TRIM(SUBSTITUTE(AF12,CHAR(160),""))),0),2),
"OK",
ROUND(IFERROR(VALUE(TRIM(SUBSTITUTE(BO12,CHAR(160),""))),0),2)=0,
"Attention : Montant présenté entièrement rejeté.",
ROUND(IFERROR(VALUE(TRIM(SUBSTITUTE(BO12,CHAR(160),""))),0),2)&lt;
ROUND(IFERROR(VALUE(TRIM(SUBSTITUTE(AF12,CHAR(160),""))),0),2),
"Attention : Montant présenté partiellement rejeté.",
TRUE,""
))</f>
        <v/>
      </c>
      <c r="BS12" s="1202" t="str">
        <f t="shared" si="30"/>
        <v/>
      </c>
      <c r="BT12" s="1202" t="str">
        <f t="shared" si="31"/>
        <v/>
      </c>
      <c r="BU12" s="1216" t="str">
        <f t="shared" si="32"/>
        <v/>
      </c>
    </row>
    <row r="13" spans="2:74" ht="15.95" customHeight="1">
      <c r="B13" s="303">
        <v>4</v>
      </c>
      <c r="C13" s="11"/>
      <c r="D13" s="11"/>
      <c r="E13" s="511"/>
      <c r="F13" s="11"/>
      <c r="G13" s="11"/>
      <c r="H13" s="11"/>
      <c r="I13" s="22"/>
      <c r="J13" s="11"/>
      <c r="K13" s="2"/>
      <c r="L13" s="23"/>
      <c r="M13" s="11"/>
      <c r="N13" s="11"/>
      <c r="O13" s="11"/>
      <c r="P13" s="24"/>
      <c r="Q13" s="24"/>
      <c r="R13" s="300" t="str">
        <f t="shared" si="35"/>
        <v/>
      </c>
      <c r="S13" s="1205"/>
      <c r="T13" s="1205"/>
      <c r="U13" s="24"/>
      <c r="V13" s="24"/>
      <c r="W13" s="300" t="str">
        <f t="shared" si="33"/>
        <v/>
      </c>
      <c r="X13" s="1205"/>
      <c r="Y13" s="1205"/>
      <c r="Z13" s="24"/>
      <c r="AA13" s="24"/>
      <c r="AB13" s="300" t="str">
        <f t="shared" si="34"/>
        <v/>
      </c>
      <c r="AC13" s="11"/>
      <c r="AD13" s="1202" t="str" cm="1">
        <f t="array" ref="AD13">IF((_xlfn.IFS(TRIM(SUBSTITUTE(AC13,CHAR(160),""))="Devis 1",IFERROR(VALUE(TRIM(SUBSTITUTE(P13,CHAR(160),""))),0),TRIM(SUBSTITUTE(AC13,CHAR(160),""))="Devis 2",IFERROR(VALUE(TRIM(SUBSTITUTE(U13,CHAR(160),""))),0),TRIM(SUBSTITUTE(AC13,CHAR(160),""))="Devis 3",IFERROR(VALUE(TRIM(SUBSTITUTE(Z13,CHAR(160),""))),0),TRUE,0)*IFERROR(VALUE(TRIM(SUBSTITUTE(K13,CHAR(160),""))),0))=0,"",_xlfn.IFS(TRIM(SUBSTITUTE(AC13,CHAR(160),""))="Devis 1",IFERROR(VALUE(TRIM(SUBSTITUTE(P13,CHAR(160),""))),0),TRIM(SUBSTITUTE(AC13,CHAR(160),""))="Devis 2",IFERROR(VALUE(TRIM(SUBSTITUTE(U13,CHAR(160),""))),0),TRIM(SUBSTITUTE(AC13,CHAR(160),""))="Devis 3",IFERROR(VALUE(TRIM(SUBSTITUTE(Z13,CHAR(160),""))),0),TRUE,0)*IFERROR(VALUE(TRIM(SUBSTITUTE(K13,CHAR(160),""))),0))</f>
        <v/>
      </c>
      <c r="AE13" s="1202" t="str" cm="1">
        <f t="array" ref="AE13">IF((_xlfn.IFS(TRIM(SUBSTITUTE(AC13,CHAR(160),""))="Devis 1",IFERROR(VALUE(TRIM(SUBSTITUTE(Q13,CHAR(160),""))),0),TRIM(SUBSTITUTE(AC13,CHAR(160),""))="Devis 2",IFERROR(VALUE(TRIM(SUBSTITUTE(V13,CHAR(160),""))),0),TRIM(SUBSTITUTE(AC13,CHAR(160),""))="Devis 3",IFERROR(VALUE(TRIM(SUBSTITUTE(AA13,CHAR(160),""))),0),TRUE,0)*IFERROR(VALUE(TRIM(SUBSTITUTE(K13,CHAR(160),""))),0))=0,"",_xlfn.IFS(TRIM(SUBSTITUTE(AC13,CHAR(160),""))="Devis 1",IFERROR(VALUE(TRIM(SUBSTITUTE(Q13,CHAR(160),""))),0),TRIM(SUBSTITUTE(AD13,CHAR(160),""))="Devis 2",IFERROR(VALUE(TRIM(SUBSTITUTE(V13,CHAR(160),""))),0),TRIM(SUBSTITUTE(AD13,CHAR(160),""))="Devis 3",IFERROR(VALUE(TRIM(SUBSTITUTE(AA13,CHAR(160),""))),0),TRUE,0)*IFERROR(VALUE(TRIM(SUBSTITUTE(K13,CHAR(160),""))),0))</f>
        <v/>
      </c>
      <c r="AF13" s="1202" t="str" cm="1">
        <f t="array" ref="AF13">IF((_xlfn.IFS(TRIM(SUBSTITUTE(AC13,CHAR(160),""))="Devis 1",IFERROR(VALUE(TRIM(SUBSTITUTE(R13,CHAR(160),""))),0),TRIM(SUBSTITUTE(AC13,CHAR(160),""))="Devis 2",IFERROR(VALUE(TRIM(SUBSTITUTE(W13,CHAR(160),""))),0),TRIM(SUBSTITUTE(AC13,CHAR(160),""))="Devis 3",IFERROR(VALUE(TRIM(SUBSTITUTE(AB13,CHAR(160),""))),0),TRUE,0)*IFERROR(VALUE(TRIM(SUBSTITUTE(K13,CHAR(160),""))),0))=0,"",_xlfn.IFS(TRIM(SUBSTITUTE(AC13,CHAR(160),""))="Devis 1",IFERROR(VALUE(TRIM(SUBSTITUTE(R13,CHAR(160),""))),0),TRIM(SUBSTITUTE(AC13,CHAR(160),""))="Devis 2",IFERROR(VALUE(TRIM(SUBSTITUTE(W13,CHAR(160),""))),0),TRIM(SUBSTITUTE(AC13,CHAR(160),""))="Devis 3",IFERROR(VALUE(TRIM(SUBSTITUTE(AB13,CHAR(160),""))),0),TRUE,0)*IFERROR(VALUE(TRIM(SUBSTITUTE(K13,CHAR(160),""))),0))</f>
        <v/>
      </c>
      <c r="AG13" s="488"/>
      <c r="AH13" s="215" t="str">
        <f t="shared" si="0"/>
        <v/>
      </c>
      <c r="AI13" s="57" t="str">
        <f t="shared" si="1"/>
        <v/>
      </c>
      <c r="AJ13" s="57" t="str">
        <f t="shared" si="2"/>
        <v/>
      </c>
      <c r="AK13" s="57" t="str">
        <f t="shared" si="3"/>
        <v/>
      </c>
      <c r="AL13" s="57" t="str">
        <f t="shared" si="4"/>
        <v/>
      </c>
      <c r="AM13" s="57" t="str">
        <f t="shared" si="5"/>
        <v/>
      </c>
      <c r="AN13" s="57" t="str">
        <f t="shared" si="6"/>
        <v/>
      </c>
      <c r="AO13" s="57" t="str">
        <f t="shared" si="7"/>
        <v/>
      </c>
      <c r="AP13" s="57" t="str">
        <f t="shared" si="8"/>
        <v/>
      </c>
      <c r="AQ13" s="57" t="str">
        <f t="shared" si="9"/>
        <v/>
      </c>
      <c r="AR13" s="57" t="str">
        <f t="shared" si="10"/>
        <v/>
      </c>
      <c r="AS13" s="57" t="str">
        <f t="shared" si="11"/>
        <v/>
      </c>
      <c r="AT13" s="57" t="str">
        <f t="shared" si="12"/>
        <v/>
      </c>
      <c r="AU13" s="57" t="str">
        <f t="shared" si="13"/>
        <v/>
      </c>
      <c r="AV13" s="57" t="str">
        <f t="shared" si="14"/>
        <v/>
      </c>
      <c r="AW13" s="300" t="str">
        <f t="shared" si="15"/>
        <v/>
      </c>
      <c r="AX13" s="57" t="str">
        <f t="shared" si="16"/>
        <v/>
      </c>
      <c r="AY13" s="57" t="str">
        <f t="shared" si="17"/>
        <v/>
      </c>
      <c r="AZ13" s="57" t="str">
        <f t="shared" si="18"/>
        <v/>
      </c>
      <c r="BA13" s="57" t="str">
        <f t="shared" si="19"/>
        <v/>
      </c>
      <c r="BB13" s="300" t="str">
        <f t="shared" si="20"/>
        <v/>
      </c>
      <c r="BC13" s="57" t="str">
        <f t="shared" si="21"/>
        <v/>
      </c>
      <c r="BD13" s="57" t="str">
        <f t="shared" si="22"/>
        <v/>
      </c>
      <c r="BE13" s="57" t="str">
        <f t="shared" si="23"/>
        <v/>
      </c>
      <c r="BF13" s="57" t="str">
        <f t="shared" si="24"/>
        <v/>
      </c>
      <c r="BG13" s="300" t="str">
        <f t="shared" si="25"/>
        <v/>
      </c>
      <c r="BH13" s="1203" t="str">
        <f t="shared" si="26"/>
        <v/>
      </c>
      <c r="BI13" s="260"/>
      <c r="BJ13" s="300" t="str">
        <f t="shared" si="27"/>
        <v/>
      </c>
      <c r="BK13" s="300" t="str">
        <f t="shared" si="28"/>
        <v/>
      </c>
      <c r="BL13" s="300" t="str">
        <f t="shared" si="29"/>
        <v/>
      </c>
      <c r="BM13" s="1202" t="str" cm="1">
        <f t="array" ref="BM13">IF($AP13="","",IF((IFERROR(_xlfn.IFS($BH13="Devis 1",(IFERROR(VALUE(TRIM(SUBSTITUTE(AU13,CHAR(160),""))),0)),$BH13="Devis 2",(IFERROR(VALUE(TRIM(SUBSTITUTE(AZ13,CHAR(160),""))),0)),$BH13="Devis 3",(IFERROR(VALUE(TRIM(SUBSTITUTE(BE13,CHAR(160),""))),0))),0))*(IFERROR(VALUE(TRIM(SUBSTITUTE($AP13,CHAR(160),""))),0))=0,"",(IFERROR(_xlfn.IFS($BH13="Devis 1",(IFERROR(VALUE(TRIM(SUBSTITUTE(AU13,CHAR(160),""))),0)),$BH13="Devis 2",(IFERROR(VALUE(TRIM(SUBSTITUTE(AZ13,CHAR(160),""))),0)),$BH13="Devis 3",(IFERROR(VALUE(TRIM(SUBSTITUTE(BE13,CHAR(160),""))),0))),0))*(IFERROR(VALUE(TRIM(SUBSTITUTE($AP13,CHAR(160),""))),0))))</f>
        <v/>
      </c>
      <c r="BN13" s="1202" t="str" cm="1">
        <f t="array" ref="BN13">IF($AP13="","",IF((IFERROR(_xlfn.IFS(TRIM(SUBSTITUTE($BH13,CHAR(160),""))="Devis 1", IFERROR(VALUE(TRIM(SUBSTITUTE(AV13,CHAR(160),""))),0),TRIM(SUBSTITUTE($BH13,CHAR(160),""))="Devis 2", IFERROR(VALUE(TRIM(SUBSTITUTE(BA13,CHAR(160),""))),0),TRIM(SUBSTITUTE($BH13,CHAR(160),""))="Devis 3", IFERROR(VALUE(TRIM(SUBSTITUTE(BF13,CHAR(160),""))),0)),0) * IFERROR(VALUE(TRIM(SUBSTITUTE($AP13,CHAR(160),""))),0)) = 0,IF(BM13&lt;&gt;"",0,""),(IFERROR(_xlfn.IFS(TRIM(SUBSTITUTE($BH13,CHAR(160),""))="Devis 1", IFERROR(VALUE(TRIM(SUBSTITUTE(AV13,CHAR(160),""))),0),TRIM(SUBSTITUTE($BH13,CHAR(160),""))="Devis 2", IFERROR(VALUE(TRIM(SUBSTITUTE(BA13,CHAR(160),""))),0),TRIM(SUBSTITUTE($BH13,CHAR(160),""))="Devis 3", IFERROR(VALUE(TRIM(SUBSTITUTE(BF13,CHAR(160),""))),0)),0) * IFERROR(VALUE(TRIM(SUBSTITUTE($AP13,CHAR(160),""))),0))))</f>
        <v/>
      </c>
      <c r="BO13" s="1202" t="str" cm="1">
        <f t="array" ref="BO13">IF($AP13="","",IF(IFERROR(_xlfn.IFS($BH13="Devis 1",IFERROR(VALUE(TRIM(SUBSTITUTE(AW13,CHAR(160),""))),0),$BH13="Devis 2",IFERROR(VALUE(TRIM(SUBSTITUTE(BB13,CHAR(160),""))),0),$BH13="Devis 3",IFERROR(VALUE(TRIM(SUBSTITUTE(BG13,CHAR(160),""))),0)),0)*IFERROR(VALUE(TRIM(SUBSTITUTE($AP13,CHAR(160),""))),0)=0,"",IFERROR(_xlfn.IFS($BH13="Devis 1",IFERROR(VALUE(TRIM(SUBSTITUTE(AW13,CHAR(160),""))),0),$BH13="Devis 2",IFERROR(VALUE(TRIM(SUBSTITUTE(BB13,CHAR(160),""))),0),$BH13="Devis 3",IFERROR(VALUE(TRIM(SUBSTITUTE(BG13,CHAR(160),""))),0)),0)*IFERROR(VALUE(TRIM(SUBSTITUTE($AP13,CHAR(160),""))),0)))</f>
        <v/>
      </c>
      <c r="BP13" s="194"/>
      <c r="BQ13" s="219" t="str" cm="1">
        <f t="array" ref="BQ13">IF(OR(BO13="",BL13="",BM13="",BJ13="",BN13="",BK13=""),"",_xlfn.IFS(
ROUND(IFERROR(VALUE(TRIM(SUBSTITUTE(BO13,CHAR(160),""))),0),2)&gt;
ROUND(IFERROR(VALUE(TRIM(SUBSTITUTE(BL13,CHAR(160),""))),0),2),
"KO : Le montant retenu TTC est supérieur au montant raisonnable TTC. Merci de revoir la ligne de dépense ou plafonner son montant.",
ROUND(IFERROR(VALUE(TRIM(SUBSTITUTE(BM13,CHAR(160),""))),0),2)&gt;
ROUND(IFERROR(VALUE(TRIM(SUBSTITUTE(BJ13,CHAR(160),""))),0),2),
"Attention : Le montant retenu HT est supérieur au montant HT raisonnable. Merci de revoir la ligne de dépense, plafonner son montant, ou justifier la reventillation HT / TVA.",
ROUND(IFERROR(VALUE(TRIM(SUBSTITUTE(BN13,CHAR(160),""))),0),2)&gt;
ROUND(IFERROR(VALUE(TRIM(SUBSTITUTE(BK13,CHAR(160),""))),0),2),
"Attention : Le montant TVA retenu est supérieur au montant TVA raisonnable. Merci de revoir la ligne de dépense, plafonner son montant, ou justifier la reventillation HT / TVA.",
ROUND(IFERROR(VALUE(TRIM(SUBSTITUTE(BO13,CHAR(160),""))),0),2)&gt;
ROUND(IFERROR(VALUE(TRIM(SUBSTITUTE(MIN(R13,W13,AB13),CHAR(160),""))),0),2),
"Attention : Le devis retenu n'est pas le moins cher. Une justification de la part du porteur est nécessaire.",
ROUND(IFERROR(VALUE(TRIM(SUBSTITUTE(BO13,CHAR(160),""))),0),2)=0,
"Attention : montant présenté entièrement écarté",
ROUND(IFERROR(VALUE(TRIM(SUBSTITUTE(BL13,CHAR(160),""))),0),2)=
ROUND(IFERROR(VALUE(TRIM(SUBSTITUTE(BO13,CHAR(160),""))),0),2),
"OK",
ROUND(IFERROR(VALUE(TRIM(SUBSTITUTE(BL13,CHAR(160),""))),0),2)&gt;
ROUND(IFERROR(VALUE(TRIM(SUBSTITUTE(BO13,CHAR(160),""))),0),2),
" OK : Montant instruit inférieur au montant raisonnable.",
TRUE,""
))</f>
        <v/>
      </c>
      <c r="BR13" s="216" t="str" cm="1">
        <f t="array" ref="BR13">IF(OR(BO13="",AF13="",BM13="",AD13="",BN13="",AE13=""),"",_xlfn.IFS(
ROUND(IFERROR(VALUE(TRIM(SUBSTITUTE(BO13,CHAR(160),""))),0),2)&gt;
ROUND(IFERROR(VALUE(TRIM(SUBSTITUTE(AF13,CHAR(160),""))),0),2),
"KO : Le montant retenu TTC est supérieur au montant présenté TTC. Merci de revoir la ligne de dépense ou plafonner son montant.",
ROUND(IFERROR(VALUE(TRIM(SUBSTITUTE(BM13,CHAR(160),""))),0),2)&gt;
ROUND(IFERROR(VALUE(TRIM(SUBSTITUTE(AD13,CHAR(160),""))),0),2),
"Attention : Le montant retenu HT est supérieur au montant HT présenté. Merci de revoir la ligne de dépense, plafonner son montant, ou justifier la reventillation HT / TVA.",
ROUND(IFERROR(VALUE(TRIM(SUBSTITUTE(BN13,CHAR(160),""))),0),2)&gt;
ROUND(IFERROR(VALUE(TRIM(SUBSTITUTE(AE13,CHAR(160),""))),0),2),
"Attention : Le montant TVA retenu est supérieur au montant TVA présenté. Merci de revoir la ligne de dépense, plafonner son montant, ou justifier la reventillation HT / TVA.",
ROUND(IFERROR(VALUE(TRIM(SUBSTITUTE(AF13,CHAR(160),""))),0),2)=0,
"",
ROUND(IFERROR(VALUE(TRIM(SUBSTITUTE(BO13,CHAR(160),""))),0),2)=
ROUND(IFERROR(VALUE(TRIM(SUBSTITUTE(AF13,CHAR(160),""))),0),2),
"OK",
ROUND(IFERROR(VALUE(TRIM(SUBSTITUTE(BO13,CHAR(160),""))),0),2)=0,
"Attention : Montant présenté entièrement rejeté.",
ROUND(IFERROR(VALUE(TRIM(SUBSTITUTE(BO13,CHAR(160),""))),0),2)&lt;
ROUND(IFERROR(VALUE(TRIM(SUBSTITUTE(AF13,CHAR(160),""))),0),2),
"Attention : Montant présenté partiellement rejeté.",
TRUE,""
))</f>
        <v/>
      </c>
      <c r="BS13" s="1202" t="str">
        <f t="shared" si="30"/>
        <v/>
      </c>
      <c r="BT13" s="1202" t="str">
        <f t="shared" si="31"/>
        <v/>
      </c>
      <c r="BU13" s="1216" t="str">
        <f t="shared" si="32"/>
        <v/>
      </c>
    </row>
    <row r="14" spans="2:74" ht="15.95" customHeight="1">
      <c r="B14" s="303">
        <v>5</v>
      </c>
      <c r="C14" s="11"/>
      <c r="D14" s="11"/>
      <c r="E14" s="511"/>
      <c r="F14" s="11"/>
      <c r="G14" s="11"/>
      <c r="H14" s="11"/>
      <c r="I14" s="22"/>
      <c r="J14" s="11"/>
      <c r="K14" s="2"/>
      <c r="L14" s="23"/>
      <c r="M14" s="11"/>
      <c r="N14" s="11"/>
      <c r="O14" s="11"/>
      <c r="P14" s="24"/>
      <c r="Q14" s="24"/>
      <c r="R14" s="300" t="str">
        <f t="shared" si="35"/>
        <v/>
      </c>
      <c r="S14" s="1205"/>
      <c r="T14" s="1205"/>
      <c r="U14" s="24"/>
      <c r="V14" s="24"/>
      <c r="W14" s="300" t="str">
        <f t="shared" si="33"/>
        <v/>
      </c>
      <c r="X14" s="1205"/>
      <c r="Y14" s="1205"/>
      <c r="Z14" s="24"/>
      <c r="AA14" s="24"/>
      <c r="AB14" s="300" t="str">
        <f t="shared" si="34"/>
        <v/>
      </c>
      <c r="AC14" s="11"/>
      <c r="AD14" s="1202" t="str" cm="1">
        <f t="array" ref="AD14">IF((_xlfn.IFS(TRIM(SUBSTITUTE(AC14,CHAR(160),""))="Devis 1",IFERROR(VALUE(TRIM(SUBSTITUTE(P14,CHAR(160),""))),0),TRIM(SUBSTITUTE(AC14,CHAR(160),""))="Devis 2",IFERROR(VALUE(TRIM(SUBSTITUTE(U14,CHAR(160),""))),0),TRIM(SUBSTITUTE(AC14,CHAR(160),""))="Devis 3",IFERROR(VALUE(TRIM(SUBSTITUTE(Z14,CHAR(160),""))),0),TRUE,0)*IFERROR(VALUE(TRIM(SUBSTITUTE(K14,CHAR(160),""))),0))=0,"",_xlfn.IFS(TRIM(SUBSTITUTE(AC14,CHAR(160),""))="Devis 1",IFERROR(VALUE(TRIM(SUBSTITUTE(P14,CHAR(160),""))),0),TRIM(SUBSTITUTE(AC14,CHAR(160),""))="Devis 2",IFERROR(VALUE(TRIM(SUBSTITUTE(U14,CHAR(160),""))),0),TRIM(SUBSTITUTE(AC14,CHAR(160),""))="Devis 3",IFERROR(VALUE(TRIM(SUBSTITUTE(Z14,CHAR(160),""))),0),TRUE,0)*IFERROR(VALUE(TRIM(SUBSTITUTE(K14,CHAR(160),""))),0))</f>
        <v/>
      </c>
      <c r="AE14" s="1202" t="str" cm="1">
        <f t="array" ref="AE14">IF((_xlfn.IFS(TRIM(SUBSTITUTE(AC14,CHAR(160),""))="Devis 1",IFERROR(VALUE(TRIM(SUBSTITUTE(Q14,CHAR(160),""))),0),TRIM(SUBSTITUTE(AC14,CHAR(160),""))="Devis 2",IFERROR(VALUE(TRIM(SUBSTITUTE(V14,CHAR(160),""))),0),TRIM(SUBSTITUTE(AC14,CHAR(160),""))="Devis 3",IFERROR(VALUE(TRIM(SUBSTITUTE(AA14,CHAR(160),""))),0),TRUE,0)*IFERROR(VALUE(TRIM(SUBSTITUTE(K14,CHAR(160),""))),0))=0,"",_xlfn.IFS(TRIM(SUBSTITUTE(AC14,CHAR(160),""))="Devis 1",IFERROR(VALUE(TRIM(SUBSTITUTE(Q14,CHAR(160),""))),0),TRIM(SUBSTITUTE(AD14,CHAR(160),""))="Devis 2",IFERROR(VALUE(TRIM(SUBSTITUTE(V14,CHAR(160),""))),0),TRIM(SUBSTITUTE(AD14,CHAR(160),""))="Devis 3",IFERROR(VALUE(TRIM(SUBSTITUTE(AA14,CHAR(160),""))),0),TRUE,0)*IFERROR(VALUE(TRIM(SUBSTITUTE(K14,CHAR(160),""))),0))</f>
        <v/>
      </c>
      <c r="AF14" s="1202" t="str" cm="1">
        <f t="array" ref="AF14">IF((_xlfn.IFS(TRIM(SUBSTITUTE(AC14,CHAR(160),""))="Devis 1",IFERROR(VALUE(TRIM(SUBSTITUTE(R14,CHAR(160),""))),0),TRIM(SUBSTITUTE(AC14,CHAR(160),""))="Devis 2",IFERROR(VALUE(TRIM(SUBSTITUTE(W14,CHAR(160),""))),0),TRIM(SUBSTITUTE(AC14,CHAR(160),""))="Devis 3",IFERROR(VALUE(TRIM(SUBSTITUTE(AB14,CHAR(160),""))),0),TRUE,0)*IFERROR(VALUE(TRIM(SUBSTITUTE(K14,CHAR(160),""))),0))=0,"",_xlfn.IFS(TRIM(SUBSTITUTE(AC14,CHAR(160),""))="Devis 1",IFERROR(VALUE(TRIM(SUBSTITUTE(R14,CHAR(160),""))),0),TRIM(SUBSTITUTE(AC14,CHAR(160),""))="Devis 2",IFERROR(VALUE(TRIM(SUBSTITUTE(W14,CHAR(160),""))),0),TRIM(SUBSTITUTE(AC14,CHAR(160),""))="Devis 3",IFERROR(VALUE(TRIM(SUBSTITUTE(AB14,CHAR(160),""))),0),TRUE,0)*IFERROR(VALUE(TRIM(SUBSTITUTE(K14,CHAR(160),""))),0))</f>
        <v/>
      </c>
      <c r="AG14" s="488"/>
      <c r="AH14" s="215" t="str">
        <f t="shared" si="0"/>
        <v/>
      </c>
      <c r="AI14" s="57" t="str">
        <f t="shared" si="1"/>
        <v/>
      </c>
      <c r="AJ14" s="57" t="str">
        <f t="shared" si="2"/>
        <v/>
      </c>
      <c r="AK14" s="57" t="str">
        <f t="shared" si="3"/>
        <v/>
      </c>
      <c r="AL14" s="57" t="str">
        <f t="shared" si="4"/>
        <v/>
      </c>
      <c r="AM14" s="57" t="str">
        <f t="shared" si="5"/>
        <v/>
      </c>
      <c r="AN14" s="57" t="str">
        <f t="shared" si="6"/>
        <v/>
      </c>
      <c r="AO14" s="57" t="str">
        <f t="shared" si="7"/>
        <v/>
      </c>
      <c r="AP14" s="57" t="str">
        <f t="shared" si="8"/>
        <v/>
      </c>
      <c r="AQ14" s="57" t="str">
        <f t="shared" si="9"/>
        <v/>
      </c>
      <c r="AR14" s="57" t="str">
        <f t="shared" si="10"/>
        <v/>
      </c>
      <c r="AS14" s="57" t="str">
        <f t="shared" si="11"/>
        <v/>
      </c>
      <c r="AT14" s="57" t="str">
        <f t="shared" si="12"/>
        <v/>
      </c>
      <c r="AU14" s="57" t="str">
        <f t="shared" si="13"/>
        <v/>
      </c>
      <c r="AV14" s="57" t="str">
        <f t="shared" si="14"/>
        <v/>
      </c>
      <c r="AW14" s="300" t="str">
        <f t="shared" si="15"/>
        <v/>
      </c>
      <c r="AX14" s="57" t="str">
        <f t="shared" si="16"/>
        <v/>
      </c>
      <c r="AY14" s="57" t="str">
        <f t="shared" si="17"/>
        <v/>
      </c>
      <c r="AZ14" s="57" t="str">
        <f t="shared" si="18"/>
        <v/>
      </c>
      <c r="BA14" s="57" t="str">
        <f t="shared" si="19"/>
        <v/>
      </c>
      <c r="BB14" s="300" t="str">
        <f t="shared" si="20"/>
        <v/>
      </c>
      <c r="BC14" s="57" t="str">
        <f t="shared" si="21"/>
        <v/>
      </c>
      <c r="BD14" s="57" t="str">
        <f t="shared" si="22"/>
        <v/>
      </c>
      <c r="BE14" s="57" t="str">
        <f t="shared" si="23"/>
        <v/>
      </c>
      <c r="BF14" s="57" t="str">
        <f t="shared" si="24"/>
        <v/>
      </c>
      <c r="BG14" s="300" t="str">
        <f t="shared" si="25"/>
        <v/>
      </c>
      <c r="BH14" s="1203" t="str">
        <f t="shared" si="26"/>
        <v/>
      </c>
      <c r="BI14" s="260"/>
      <c r="BJ14" s="300" t="str">
        <f t="shared" si="27"/>
        <v/>
      </c>
      <c r="BK14" s="300" t="str">
        <f t="shared" si="28"/>
        <v/>
      </c>
      <c r="BL14" s="300" t="str">
        <f t="shared" si="29"/>
        <v/>
      </c>
      <c r="BM14" s="1202" t="str" cm="1">
        <f t="array" ref="BM14">IF($AP14="","",IF((IFERROR(_xlfn.IFS($BH14="Devis 1",(IFERROR(VALUE(TRIM(SUBSTITUTE(AU14,CHAR(160),""))),0)),$BH14="Devis 2",(IFERROR(VALUE(TRIM(SUBSTITUTE(AZ14,CHAR(160),""))),0)),$BH14="Devis 3",(IFERROR(VALUE(TRIM(SUBSTITUTE(BE14,CHAR(160),""))),0))),0))*(IFERROR(VALUE(TRIM(SUBSTITUTE($AP14,CHAR(160),""))),0))=0,"",(IFERROR(_xlfn.IFS($BH14="Devis 1",(IFERROR(VALUE(TRIM(SUBSTITUTE(AU14,CHAR(160),""))),0)),$BH14="Devis 2",(IFERROR(VALUE(TRIM(SUBSTITUTE(AZ14,CHAR(160),""))),0)),$BH14="Devis 3",(IFERROR(VALUE(TRIM(SUBSTITUTE(BE14,CHAR(160),""))),0))),0))*(IFERROR(VALUE(TRIM(SUBSTITUTE($AP14,CHAR(160),""))),0))))</f>
        <v/>
      </c>
      <c r="BN14" s="1202" t="str" cm="1">
        <f t="array" ref="BN14">IF($AP14="","",IF((IFERROR(_xlfn.IFS(TRIM(SUBSTITUTE($BH14,CHAR(160),""))="Devis 1", IFERROR(VALUE(TRIM(SUBSTITUTE(AV14,CHAR(160),""))),0),TRIM(SUBSTITUTE($BH14,CHAR(160),""))="Devis 2", IFERROR(VALUE(TRIM(SUBSTITUTE(BA14,CHAR(160),""))),0),TRIM(SUBSTITUTE($BH14,CHAR(160),""))="Devis 3", IFERROR(VALUE(TRIM(SUBSTITUTE(BF14,CHAR(160),""))),0)),0) * IFERROR(VALUE(TRIM(SUBSTITUTE($AP14,CHAR(160),""))),0)) = 0,IF(BM14&lt;&gt;"",0,""),(IFERROR(_xlfn.IFS(TRIM(SUBSTITUTE($BH14,CHAR(160),""))="Devis 1", IFERROR(VALUE(TRIM(SUBSTITUTE(AV14,CHAR(160),""))),0),TRIM(SUBSTITUTE($BH14,CHAR(160),""))="Devis 2", IFERROR(VALUE(TRIM(SUBSTITUTE(BA14,CHAR(160),""))),0),TRIM(SUBSTITUTE($BH14,CHAR(160),""))="Devis 3", IFERROR(VALUE(TRIM(SUBSTITUTE(BF14,CHAR(160),""))),0)),0) * IFERROR(VALUE(TRIM(SUBSTITUTE($AP14,CHAR(160),""))),0))))</f>
        <v/>
      </c>
      <c r="BO14" s="1202" t="str" cm="1">
        <f t="array" ref="BO14">IF($AP14="","",IF(IFERROR(_xlfn.IFS($BH14="Devis 1",IFERROR(VALUE(TRIM(SUBSTITUTE(AW14,CHAR(160),""))),0),$BH14="Devis 2",IFERROR(VALUE(TRIM(SUBSTITUTE(BB14,CHAR(160),""))),0),$BH14="Devis 3",IFERROR(VALUE(TRIM(SUBSTITUTE(BG14,CHAR(160),""))),0)),0)*IFERROR(VALUE(TRIM(SUBSTITUTE($AP14,CHAR(160),""))),0)=0,"",IFERROR(_xlfn.IFS($BH14="Devis 1",IFERROR(VALUE(TRIM(SUBSTITUTE(AW14,CHAR(160),""))),0),$BH14="Devis 2",IFERROR(VALUE(TRIM(SUBSTITUTE(BB14,CHAR(160),""))),0),$BH14="Devis 3",IFERROR(VALUE(TRIM(SUBSTITUTE(BG14,CHAR(160),""))),0)),0)*IFERROR(VALUE(TRIM(SUBSTITUTE($AP14,CHAR(160),""))),0)))</f>
        <v/>
      </c>
      <c r="BP14" s="194"/>
      <c r="BQ14" s="219" t="str" cm="1">
        <f t="array" ref="BQ14">IF(OR(BO14="",BL14="",BM14="",BJ14="",BN14="",BK14=""),"",_xlfn.IFS(
ROUND(IFERROR(VALUE(TRIM(SUBSTITUTE(BO14,CHAR(160),""))),0),2)&gt;
ROUND(IFERROR(VALUE(TRIM(SUBSTITUTE(BL14,CHAR(160),""))),0),2),
"KO : Le montant retenu TTC est supérieur au montant raisonnable TTC. Merci de revoir la ligne de dépense ou plafonner son montant.",
ROUND(IFERROR(VALUE(TRIM(SUBSTITUTE(BM14,CHAR(160),""))),0),2)&gt;
ROUND(IFERROR(VALUE(TRIM(SUBSTITUTE(BJ14,CHAR(160),""))),0),2),
"Attention : Le montant retenu HT est supérieur au montant HT raisonnable. Merci de revoir la ligne de dépense, plafonner son montant, ou justifier la reventillation HT / TVA.",
ROUND(IFERROR(VALUE(TRIM(SUBSTITUTE(BN14,CHAR(160),""))),0),2)&gt;
ROUND(IFERROR(VALUE(TRIM(SUBSTITUTE(BK14,CHAR(160),""))),0),2),
"Attention : Le montant TVA retenu est supérieur au montant TVA raisonnable. Merci de revoir la ligne de dépense, plafonner son montant, ou justifier la reventillation HT / TVA.",
ROUND(IFERROR(VALUE(TRIM(SUBSTITUTE(BO14,CHAR(160),""))),0),2)&gt;
ROUND(IFERROR(VALUE(TRIM(SUBSTITUTE(MIN(R14,W14,AB14),CHAR(160),""))),0),2),
"Attention : Le devis retenu n'est pas le moins cher. Une justification de la part du porteur est nécessaire.",
ROUND(IFERROR(VALUE(TRIM(SUBSTITUTE(BO14,CHAR(160),""))),0),2)=0,
"Attention : montant présenté entièrement écarté",
ROUND(IFERROR(VALUE(TRIM(SUBSTITUTE(BL14,CHAR(160),""))),0),2)=
ROUND(IFERROR(VALUE(TRIM(SUBSTITUTE(BO14,CHAR(160),""))),0),2),
"OK",
ROUND(IFERROR(VALUE(TRIM(SUBSTITUTE(BL14,CHAR(160),""))),0),2)&gt;
ROUND(IFERROR(VALUE(TRIM(SUBSTITUTE(BO14,CHAR(160),""))),0),2),
" OK : Montant instruit inférieur au montant raisonnable.",
TRUE,""
))</f>
        <v/>
      </c>
      <c r="BR14" s="216" t="str" cm="1">
        <f t="array" ref="BR14">IF(OR(BO14="",AF14="",BM14="",AD14="",BN14="",AE14=""),"",_xlfn.IFS(
ROUND(IFERROR(VALUE(TRIM(SUBSTITUTE(BO14,CHAR(160),""))),0),2)&gt;
ROUND(IFERROR(VALUE(TRIM(SUBSTITUTE(AF14,CHAR(160),""))),0),2),
"KO : Le montant retenu TTC est supérieur au montant présenté TTC. Merci de revoir la ligne de dépense ou plafonner son montant.",
ROUND(IFERROR(VALUE(TRIM(SUBSTITUTE(BM14,CHAR(160),""))),0),2)&gt;
ROUND(IFERROR(VALUE(TRIM(SUBSTITUTE(AD14,CHAR(160),""))),0),2),
"Attention : Le montant retenu HT est supérieur au montant HT présenté. Merci de revoir la ligne de dépense, plafonner son montant, ou justifier la reventillation HT / TVA.",
ROUND(IFERROR(VALUE(TRIM(SUBSTITUTE(BN14,CHAR(160),""))),0),2)&gt;
ROUND(IFERROR(VALUE(TRIM(SUBSTITUTE(AE14,CHAR(160),""))),0),2),
"Attention : Le montant TVA retenu est supérieur au montant TVA présenté. Merci de revoir la ligne de dépense, plafonner son montant, ou justifier la reventillation HT / TVA.",
ROUND(IFERROR(VALUE(TRIM(SUBSTITUTE(AF14,CHAR(160),""))),0),2)=0,
"",
ROUND(IFERROR(VALUE(TRIM(SUBSTITUTE(BO14,CHAR(160),""))),0),2)=
ROUND(IFERROR(VALUE(TRIM(SUBSTITUTE(AF14,CHAR(160),""))),0),2),
"OK",
ROUND(IFERROR(VALUE(TRIM(SUBSTITUTE(BO14,CHAR(160),""))),0),2)=0,
"Attention : Montant présenté entièrement rejeté.",
ROUND(IFERROR(VALUE(TRIM(SUBSTITUTE(BO14,CHAR(160),""))),0),2)&lt;
ROUND(IFERROR(VALUE(TRIM(SUBSTITUTE(AF14,CHAR(160),""))),0),2),
"Attention : Montant présenté partiellement rejeté.",
TRUE,""
))</f>
        <v/>
      </c>
      <c r="BS14" s="1202" t="str">
        <f t="shared" si="30"/>
        <v/>
      </c>
      <c r="BT14" s="1202" t="str">
        <f t="shared" si="31"/>
        <v/>
      </c>
      <c r="BU14" s="1216" t="str">
        <f t="shared" si="32"/>
        <v/>
      </c>
    </row>
    <row r="15" spans="2:74" ht="15.95" customHeight="1">
      <c r="B15" s="303">
        <v>6</v>
      </c>
      <c r="C15" s="11"/>
      <c r="D15" s="11"/>
      <c r="E15" s="511"/>
      <c r="F15" s="11"/>
      <c r="G15" s="11"/>
      <c r="H15" s="11"/>
      <c r="I15" s="22"/>
      <c r="J15" s="11"/>
      <c r="K15" s="2"/>
      <c r="L15" s="23"/>
      <c r="M15" s="11"/>
      <c r="N15" s="11"/>
      <c r="O15" s="11"/>
      <c r="P15" s="24"/>
      <c r="Q15" s="24"/>
      <c r="R15" s="300" t="str">
        <f t="shared" si="35"/>
        <v/>
      </c>
      <c r="S15" s="1205"/>
      <c r="T15" s="1205"/>
      <c r="U15" s="24"/>
      <c r="V15" s="24"/>
      <c r="W15" s="300" t="str">
        <f t="shared" si="33"/>
        <v/>
      </c>
      <c r="X15" s="1205"/>
      <c r="Y15" s="1205"/>
      <c r="Z15" s="24"/>
      <c r="AA15" s="24"/>
      <c r="AB15" s="300" t="str">
        <f t="shared" si="34"/>
        <v/>
      </c>
      <c r="AC15" s="11"/>
      <c r="AD15" s="1202" t="str" cm="1">
        <f t="array" ref="AD15">IF((_xlfn.IFS(TRIM(SUBSTITUTE(AC15,CHAR(160),""))="Devis 1",IFERROR(VALUE(TRIM(SUBSTITUTE(P15,CHAR(160),""))),0),TRIM(SUBSTITUTE(AC15,CHAR(160),""))="Devis 2",IFERROR(VALUE(TRIM(SUBSTITUTE(U15,CHAR(160),""))),0),TRIM(SUBSTITUTE(AC15,CHAR(160),""))="Devis 3",IFERROR(VALUE(TRIM(SUBSTITUTE(Z15,CHAR(160),""))),0),TRUE,0)*IFERROR(VALUE(TRIM(SUBSTITUTE(K15,CHAR(160),""))),0))=0,"",_xlfn.IFS(TRIM(SUBSTITUTE(AC15,CHAR(160),""))="Devis 1",IFERROR(VALUE(TRIM(SUBSTITUTE(P15,CHAR(160),""))),0),TRIM(SUBSTITUTE(AC15,CHAR(160),""))="Devis 2",IFERROR(VALUE(TRIM(SUBSTITUTE(U15,CHAR(160),""))),0),TRIM(SUBSTITUTE(AC15,CHAR(160),""))="Devis 3",IFERROR(VALUE(TRIM(SUBSTITUTE(Z15,CHAR(160),""))),0),TRUE,0)*IFERROR(VALUE(TRIM(SUBSTITUTE(K15,CHAR(160),""))),0))</f>
        <v/>
      </c>
      <c r="AE15" s="1202" t="str" cm="1">
        <f t="array" ref="AE15">IF((_xlfn.IFS(TRIM(SUBSTITUTE(AC15,CHAR(160),""))="Devis 1",IFERROR(VALUE(TRIM(SUBSTITUTE(Q15,CHAR(160),""))),0),TRIM(SUBSTITUTE(AC15,CHAR(160),""))="Devis 2",IFERROR(VALUE(TRIM(SUBSTITUTE(V15,CHAR(160),""))),0),TRIM(SUBSTITUTE(AC15,CHAR(160),""))="Devis 3",IFERROR(VALUE(TRIM(SUBSTITUTE(AA15,CHAR(160),""))),0),TRUE,0)*IFERROR(VALUE(TRIM(SUBSTITUTE(K15,CHAR(160),""))),0))=0,"",_xlfn.IFS(TRIM(SUBSTITUTE(AC15,CHAR(160),""))="Devis 1",IFERROR(VALUE(TRIM(SUBSTITUTE(Q15,CHAR(160),""))),0),TRIM(SUBSTITUTE(AD15,CHAR(160),""))="Devis 2",IFERROR(VALUE(TRIM(SUBSTITUTE(V15,CHAR(160),""))),0),TRIM(SUBSTITUTE(AD15,CHAR(160),""))="Devis 3",IFERROR(VALUE(TRIM(SUBSTITUTE(AA15,CHAR(160),""))),0),TRUE,0)*IFERROR(VALUE(TRIM(SUBSTITUTE(K15,CHAR(160),""))),0))</f>
        <v/>
      </c>
      <c r="AF15" s="1202" t="str" cm="1">
        <f t="array" ref="AF15">IF((_xlfn.IFS(TRIM(SUBSTITUTE(AC15,CHAR(160),""))="Devis 1",IFERROR(VALUE(TRIM(SUBSTITUTE(R15,CHAR(160),""))),0),TRIM(SUBSTITUTE(AC15,CHAR(160),""))="Devis 2",IFERROR(VALUE(TRIM(SUBSTITUTE(W15,CHAR(160),""))),0),TRIM(SUBSTITUTE(AC15,CHAR(160),""))="Devis 3",IFERROR(VALUE(TRIM(SUBSTITUTE(AB15,CHAR(160),""))),0),TRUE,0)*IFERROR(VALUE(TRIM(SUBSTITUTE(K15,CHAR(160),""))),0))=0,"",_xlfn.IFS(TRIM(SUBSTITUTE(AC15,CHAR(160),""))="Devis 1",IFERROR(VALUE(TRIM(SUBSTITUTE(R15,CHAR(160),""))),0),TRIM(SUBSTITUTE(AC15,CHAR(160),""))="Devis 2",IFERROR(VALUE(TRIM(SUBSTITUTE(W15,CHAR(160),""))),0),TRIM(SUBSTITUTE(AC15,CHAR(160),""))="Devis 3",IFERROR(VALUE(TRIM(SUBSTITUTE(AB15,CHAR(160),""))),0),TRUE,0)*IFERROR(VALUE(TRIM(SUBSTITUTE(K15,CHAR(160),""))),0))</f>
        <v/>
      </c>
      <c r="AG15" s="488"/>
      <c r="AH15" s="215" t="str">
        <f t="shared" si="0"/>
        <v/>
      </c>
      <c r="AI15" s="57" t="str">
        <f t="shared" si="1"/>
        <v/>
      </c>
      <c r="AJ15" s="57" t="str">
        <f t="shared" si="2"/>
        <v/>
      </c>
      <c r="AK15" s="57" t="str">
        <f t="shared" si="3"/>
        <v/>
      </c>
      <c r="AL15" s="57" t="str">
        <f t="shared" si="4"/>
        <v/>
      </c>
      <c r="AM15" s="57" t="str">
        <f t="shared" si="5"/>
        <v/>
      </c>
      <c r="AN15" s="57" t="str">
        <f t="shared" si="6"/>
        <v/>
      </c>
      <c r="AO15" s="57" t="str">
        <f t="shared" si="7"/>
        <v/>
      </c>
      <c r="AP15" s="57" t="str">
        <f t="shared" si="8"/>
        <v/>
      </c>
      <c r="AQ15" s="57" t="str">
        <f t="shared" si="9"/>
        <v/>
      </c>
      <c r="AR15" s="57" t="str">
        <f t="shared" si="10"/>
        <v/>
      </c>
      <c r="AS15" s="57" t="str">
        <f t="shared" si="11"/>
        <v/>
      </c>
      <c r="AT15" s="57" t="str">
        <f t="shared" si="12"/>
        <v/>
      </c>
      <c r="AU15" s="57" t="str">
        <f t="shared" si="13"/>
        <v/>
      </c>
      <c r="AV15" s="57" t="str">
        <f t="shared" si="14"/>
        <v/>
      </c>
      <c r="AW15" s="300" t="str">
        <f t="shared" si="15"/>
        <v/>
      </c>
      <c r="AX15" s="57" t="str">
        <f t="shared" si="16"/>
        <v/>
      </c>
      <c r="AY15" s="57" t="str">
        <f t="shared" si="17"/>
        <v/>
      </c>
      <c r="AZ15" s="57" t="str">
        <f t="shared" si="18"/>
        <v/>
      </c>
      <c r="BA15" s="57" t="str">
        <f t="shared" si="19"/>
        <v/>
      </c>
      <c r="BB15" s="300" t="str">
        <f t="shared" si="20"/>
        <v/>
      </c>
      <c r="BC15" s="57" t="str">
        <f t="shared" si="21"/>
        <v/>
      </c>
      <c r="BD15" s="57" t="str">
        <f t="shared" si="22"/>
        <v/>
      </c>
      <c r="BE15" s="57" t="str">
        <f t="shared" si="23"/>
        <v/>
      </c>
      <c r="BF15" s="57" t="str">
        <f t="shared" si="24"/>
        <v/>
      </c>
      <c r="BG15" s="300" t="str">
        <f t="shared" si="25"/>
        <v/>
      </c>
      <c r="BH15" s="1203" t="str">
        <f t="shared" si="26"/>
        <v/>
      </c>
      <c r="BI15" s="260"/>
      <c r="BJ15" s="300" t="str">
        <f t="shared" si="27"/>
        <v/>
      </c>
      <c r="BK15" s="300" t="str">
        <f t="shared" si="28"/>
        <v/>
      </c>
      <c r="BL15" s="300" t="str">
        <f t="shared" si="29"/>
        <v/>
      </c>
      <c r="BM15" s="1202" t="str" cm="1">
        <f t="array" ref="BM15">IF($AP15="","",IF((IFERROR(_xlfn.IFS($BH15="Devis 1",(IFERROR(VALUE(TRIM(SUBSTITUTE(AU15,CHAR(160),""))),0)),$BH15="Devis 2",(IFERROR(VALUE(TRIM(SUBSTITUTE(AZ15,CHAR(160),""))),0)),$BH15="Devis 3",(IFERROR(VALUE(TRIM(SUBSTITUTE(BE15,CHAR(160),""))),0))),0))*(IFERROR(VALUE(TRIM(SUBSTITUTE($AP15,CHAR(160),""))),0))=0,"",(IFERROR(_xlfn.IFS($BH15="Devis 1",(IFERROR(VALUE(TRIM(SUBSTITUTE(AU15,CHAR(160),""))),0)),$BH15="Devis 2",(IFERROR(VALUE(TRIM(SUBSTITUTE(AZ15,CHAR(160),""))),0)),$BH15="Devis 3",(IFERROR(VALUE(TRIM(SUBSTITUTE(BE15,CHAR(160),""))),0))),0))*(IFERROR(VALUE(TRIM(SUBSTITUTE($AP15,CHAR(160),""))),0))))</f>
        <v/>
      </c>
      <c r="BN15" s="1202" t="str" cm="1">
        <f t="array" ref="BN15">IF($AP15="","",IF((IFERROR(_xlfn.IFS(TRIM(SUBSTITUTE($BH15,CHAR(160),""))="Devis 1", IFERROR(VALUE(TRIM(SUBSTITUTE(AV15,CHAR(160),""))),0),TRIM(SUBSTITUTE($BH15,CHAR(160),""))="Devis 2", IFERROR(VALUE(TRIM(SUBSTITUTE(BA15,CHAR(160),""))),0),TRIM(SUBSTITUTE($BH15,CHAR(160),""))="Devis 3", IFERROR(VALUE(TRIM(SUBSTITUTE(BF15,CHAR(160),""))),0)),0) * IFERROR(VALUE(TRIM(SUBSTITUTE($AP15,CHAR(160),""))),0)) = 0,IF(BM15&lt;&gt;"",0,""),(IFERROR(_xlfn.IFS(TRIM(SUBSTITUTE($BH15,CHAR(160),""))="Devis 1", IFERROR(VALUE(TRIM(SUBSTITUTE(AV15,CHAR(160),""))),0),TRIM(SUBSTITUTE($BH15,CHAR(160),""))="Devis 2", IFERROR(VALUE(TRIM(SUBSTITUTE(BA15,CHAR(160),""))),0),TRIM(SUBSTITUTE($BH15,CHAR(160),""))="Devis 3", IFERROR(VALUE(TRIM(SUBSTITUTE(BF15,CHAR(160),""))),0)),0) * IFERROR(VALUE(TRIM(SUBSTITUTE($AP15,CHAR(160),""))),0))))</f>
        <v/>
      </c>
      <c r="BO15" s="1202" t="str" cm="1">
        <f t="array" ref="BO15">IF($AP15="","",IF(IFERROR(_xlfn.IFS($BH15="Devis 1",IFERROR(VALUE(TRIM(SUBSTITUTE(AW15,CHAR(160),""))),0),$BH15="Devis 2",IFERROR(VALUE(TRIM(SUBSTITUTE(BB15,CHAR(160),""))),0),$BH15="Devis 3",IFERROR(VALUE(TRIM(SUBSTITUTE(BG15,CHAR(160),""))),0)),0)*IFERROR(VALUE(TRIM(SUBSTITUTE($AP15,CHAR(160),""))),0)=0,"",IFERROR(_xlfn.IFS($BH15="Devis 1",IFERROR(VALUE(TRIM(SUBSTITUTE(AW15,CHAR(160),""))),0),$BH15="Devis 2",IFERROR(VALUE(TRIM(SUBSTITUTE(BB15,CHAR(160),""))),0),$BH15="Devis 3",IFERROR(VALUE(TRIM(SUBSTITUTE(BG15,CHAR(160),""))),0)),0)*IFERROR(VALUE(TRIM(SUBSTITUTE($AP15,CHAR(160),""))),0)))</f>
        <v/>
      </c>
      <c r="BP15" s="194"/>
      <c r="BQ15" s="219" t="str" cm="1">
        <f t="array" ref="BQ15">IF(OR(BO15="",BL15="",BM15="",BJ15="",BN15="",BK15=""),"",_xlfn.IFS(
ROUND(IFERROR(VALUE(TRIM(SUBSTITUTE(BO15,CHAR(160),""))),0),2)&gt;
ROUND(IFERROR(VALUE(TRIM(SUBSTITUTE(BL15,CHAR(160),""))),0),2),
"KO : Le montant retenu TTC est supérieur au montant raisonnable TTC. Merci de revoir la ligne de dépense ou plafonner son montant.",
ROUND(IFERROR(VALUE(TRIM(SUBSTITUTE(BM15,CHAR(160),""))),0),2)&gt;
ROUND(IFERROR(VALUE(TRIM(SUBSTITUTE(BJ15,CHAR(160),""))),0),2),
"Attention : Le montant retenu HT est supérieur au montant HT raisonnable. Merci de revoir la ligne de dépense, plafonner son montant, ou justifier la reventillation HT / TVA.",
ROUND(IFERROR(VALUE(TRIM(SUBSTITUTE(BN15,CHAR(160),""))),0),2)&gt;
ROUND(IFERROR(VALUE(TRIM(SUBSTITUTE(BK15,CHAR(160),""))),0),2),
"Attention : Le montant TVA retenu est supérieur au montant TVA raisonnable. Merci de revoir la ligne de dépense, plafonner son montant, ou justifier la reventillation HT / TVA.",
ROUND(IFERROR(VALUE(TRIM(SUBSTITUTE(BO15,CHAR(160),""))),0),2)&gt;
ROUND(IFERROR(VALUE(TRIM(SUBSTITUTE(MIN(R15,W15,AB15),CHAR(160),""))),0),2),
"Attention : Le devis retenu n'est pas le moins cher. Une justification de la part du porteur est nécessaire.",
ROUND(IFERROR(VALUE(TRIM(SUBSTITUTE(BO15,CHAR(160),""))),0),2)=0,
"Attention : montant présenté entièrement écarté",
ROUND(IFERROR(VALUE(TRIM(SUBSTITUTE(BL15,CHAR(160),""))),0),2)=
ROUND(IFERROR(VALUE(TRIM(SUBSTITUTE(BO15,CHAR(160),""))),0),2),
"OK",
ROUND(IFERROR(VALUE(TRIM(SUBSTITUTE(BL15,CHAR(160),""))),0),2)&gt;
ROUND(IFERROR(VALUE(TRIM(SUBSTITUTE(BO15,CHAR(160),""))),0),2),
" OK : Montant instruit inférieur au montant raisonnable.",
TRUE,""
))</f>
        <v/>
      </c>
      <c r="BR15" s="216" t="str" cm="1">
        <f t="array" ref="BR15">IF(OR(BO15="",AF15="",BM15="",AD15="",BN15="",AE15=""),"",_xlfn.IFS(
ROUND(IFERROR(VALUE(TRIM(SUBSTITUTE(BO15,CHAR(160),""))),0),2)&gt;
ROUND(IFERROR(VALUE(TRIM(SUBSTITUTE(AF15,CHAR(160),""))),0),2),
"KO : Le montant retenu TTC est supérieur au montant présenté TTC. Merci de revoir la ligne de dépense ou plafonner son montant.",
ROUND(IFERROR(VALUE(TRIM(SUBSTITUTE(BM15,CHAR(160),""))),0),2)&gt;
ROUND(IFERROR(VALUE(TRIM(SUBSTITUTE(AD15,CHAR(160),""))),0),2),
"Attention : Le montant retenu HT est supérieur au montant HT présenté. Merci de revoir la ligne de dépense, plafonner son montant, ou justifier la reventillation HT / TVA.",
ROUND(IFERROR(VALUE(TRIM(SUBSTITUTE(BN15,CHAR(160),""))),0),2)&gt;
ROUND(IFERROR(VALUE(TRIM(SUBSTITUTE(AE15,CHAR(160),""))),0),2),
"Attention : Le montant TVA retenu est supérieur au montant TVA présenté. Merci de revoir la ligne de dépense, plafonner son montant, ou justifier la reventillation HT / TVA.",
ROUND(IFERROR(VALUE(TRIM(SUBSTITUTE(AF15,CHAR(160),""))),0),2)=0,
"",
ROUND(IFERROR(VALUE(TRIM(SUBSTITUTE(BO15,CHAR(160),""))),0),2)=
ROUND(IFERROR(VALUE(TRIM(SUBSTITUTE(AF15,CHAR(160),""))),0),2),
"OK",
ROUND(IFERROR(VALUE(TRIM(SUBSTITUTE(BO15,CHAR(160),""))),0),2)=0,
"Attention : Montant présenté entièrement rejeté.",
ROUND(IFERROR(VALUE(TRIM(SUBSTITUTE(BO15,CHAR(160),""))),0),2)&lt;
ROUND(IFERROR(VALUE(TRIM(SUBSTITUTE(AF15,CHAR(160),""))),0),2),
"Attention : Montant présenté partiellement rejeté.",
TRUE,""
))</f>
        <v/>
      </c>
      <c r="BS15" s="1202" t="str">
        <f t="shared" si="30"/>
        <v/>
      </c>
      <c r="BT15" s="1202" t="str">
        <f t="shared" si="31"/>
        <v/>
      </c>
      <c r="BU15" s="1216" t="str">
        <f t="shared" si="32"/>
        <v/>
      </c>
    </row>
    <row r="16" spans="2:74" ht="15.95" customHeight="1">
      <c r="B16" s="303">
        <v>7</v>
      </c>
      <c r="C16" s="11"/>
      <c r="D16" s="11"/>
      <c r="E16" s="511"/>
      <c r="F16" s="11"/>
      <c r="G16" s="11"/>
      <c r="H16" s="11"/>
      <c r="I16" s="22"/>
      <c r="J16" s="11"/>
      <c r="K16" s="2"/>
      <c r="L16" s="23"/>
      <c r="M16" s="11"/>
      <c r="N16" s="11"/>
      <c r="O16" s="11"/>
      <c r="P16" s="24"/>
      <c r="Q16" s="24"/>
      <c r="R16" s="300" t="str">
        <f t="shared" si="35"/>
        <v/>
      </c>
      <c r="S16" s="1205"/>
      <c r="T16" s="1205"/>
      <c r="U16" s="24"/>
      <c r="V16" s="24"/>
      <c r="W16" s="300" t="str">
        <f t="shared" si="33"/>
        <v/>
      </c>
      <c r="X16" s="1205"/>
      <c r="Y16" s="1205"/>
      <c r="Z16" s="24"/>
      <c r="AA16" s="24"/>
      <c r="AB16" s="300" t="str">
        <f t="shared" si="34"/>
        <v/>
      </c>
      <c r="AC16" s="11"/>
      <c r="AD16" s="1202" t="str" cm="1">
        <f t="array" ref="AD16">IF((_xlfn.IFS(TRIM(SUBSTITUTE(AC16,CHAR(160),""))="Devis 1",IFERROR(VALUE(TRIM(SUBSTITUTE(P16,CHAR(160),""))),0),TRIM(SUBSTITUTE(AC16,CHAR(160),""))="Devis 2",IFERROR(VALUE(TRIM(SUBSTITUTE(U16,CHAR(160),""))),0),TRIM(SUBSTITUTE(AC16,CHAR(160),""))="Devis 3",IFERROR(VALUE(TRIM(SUBSTITUTE(Z16,CHAR(160),""))),0),TRUE,0)*IFERROR(VALUE(TRIM(SUBSTITUTE(K16,CHAR(160),""))),0))=0,"",_xlfn.IFS(TRIM(SUBSTITUTE(AC16,CHAR(160),""))="Devis 1",IFERROR(VALUE(TRIM(SUBSTITUTE(P16,CHAR(160),""))),0),TRIM(SUBSTITUTE(AC16,CHAR(160),""))="Devis 2",IFERROR(VALUE(TRIM(SUBSTITUTE(U16,CHAR(160),""))),0),TRIM(SUBSTITUTE(AC16,CHAR(160),""))="Devis 3",IFERROR(VALUE(TRIM(SUBSTITUTE(Z16,CHAR(160),""))),0),TRUE,0)*IFERROR(VALUE(TRIM(SUBSTITUTE(K16,CHAR(160),""))),0))</f>
        <v/>
      </c>
      <c r="AE16" s="1202" t="str" cm="1">
        <f t="array" ref="AE16">IF((_xlfn.IFS(TRIM(SUBSTITUTE(AC16,CHAR(160),""))="Devis 1",IFERROR(VALUE(TRIM(SUBSTITUTE(Q16,CHAR(160),""))),0),TRIM(SUBSTITUTE(AC16,CHAR(160),""))="Devis 2",IFERROR(VALUE(TRIM(SUBSTITUTE(V16,CHAR(160),""))),0),TRIM(SUBSTITUTE(AC16,CHAR(160),""))="Devis 3",IFERROR(VALUE(TRIM(SUBSTITUTE(AA16,CHAR(160),""))),0),TRUE,0)*IFERROR(VALUE(TRIM(SUBSTITUTE(K16,CHAR(160),""))),0))=0,"",_xlfn.IFS(TRIM(SUBSTITUTE(AC16,CHAR(160),""))="Devis 1",IFERROR(VALUE(TRIM(SUBSTITUTE(Q16,CHAR(160),""))),0),TRIM(SUBSTITUTE(AD16,CHAR(160),""))="Devis 2",IFERROR(VALUE(TRIM(SUBSTITUTE(V16,CHAR(160),""))),0),TRIM(SUBSTITUTE(AD16,CHAR(160),""))="Devis 3",IFERROR(VALUE(TRIM(SUBSTITUTE(AA16,CHAR(160),""))),0),TRUE,0)*IFERROR(VALUE(TRIM(SUBSTITUTE(K16,CHAR(160),""))),0))</f>
        <v/>
      </c>
      <c r="AF16" s="1202" t="str" cm="1">
        <f t="array" ref="AF16">IF((_xlfn.IFS(TRIM(SUBSTITUTE(AC16,CHAR(160),""))="Devis 1",IFERROR(VALUE(TRIM(SUBSTITUTE(R16,CHAR(160),""))),0),TRIM(SUBSTITUTE(AC16,CHAR(160),""))="Devis 2",IFERROR(VALUE(TRIM(SUBSTITUTE(W16,CHAR(160),""))),0),TRIM(SUBSTITUTE(AC16,CHAR(160),""))="Devis 3",IFERROR(VALUE(TRIM(SUBSTITUTE(AB16,CHAR(160),""))),0),TRUE,0)*IFERROR(VALUE(TRIM(SUBSTITUTE(K16,CHAR(160),""))),0))=0,"",_xlfn.IFS(TRIM(SUBSTITUTE(AC16,CHAR(160),""))="Devis 1",IFERROR(VALUE(TRIM(SUBSTITUTE(R16,CHAR(160),""))),0),TRIM(SUBSTITUTE(AC16,CHAR(160),""))="Devis 2",IFERROR(VALUE(TRIM(SUBSTITUTE(W16,CHAR(160),""))),0),TRIM(SUBSTITUTE(AC16,CHAR(160),""))="Devis 3",IFERROR(VALUE(TRIM(SUBSTITUTE(AB16,CHAR(160),""))),0),TRUE,0)*IFERROR(VALUE(TRIM(SUBSTITUTE(K16,CHAR(160),""))),0))</f>
        <v/>
      </c>
      <c r="AG16" s="488"/>
      <c r="AH16" s="215" t="str">
        <f t="shared" si="0"/>
        <v/>
      </c>
      <c r="AI16" s="57" t="str">
        <f t="shared" si="1"/>
        <v/>
      </c>
      <c r="AJ16" s="57" t="str">
        <f t="shared" si="2"/>
        <v/>
      </c>
      <c r="AK16" s="57" t="str">
        <f t="shared" si="3"/>
        <v/>
      </c>
      <c r="AL16" s="57" t="str">
        <f t="shared" si="4"/>
        <v/>
      </c>
      <c r="AM16" s="57" t="str">
        <f t="shared" si="5"/>
        <v/>
      </c>
      <c r="AN16" s="57" t="str">
        <f t="shared" si="6"/>
        <v/>
      </c>
      <c r="AO16" s="57" t="str">
        <f t="shared" si="7"/>
        <v/>
      </c>
      <c r="AP16" s="57" t="str">
        <f t="shared" si="8"/>
        <v/>
      </c>
      <c r="AQ16" s="57" t="str">
        <f t="shared" si="9"/>
        <v/>
      </c>
      <c r="AR16" s="57" t="str">
        <f t="shared" si="10"/>
        <v/>
      </c>
      <c r="AS16" s="57" t="str">
        <f t="shared" si="11"/>
        <v/>
      </c>
      <c r="AT16" s="57" t="str">
        <f t="shared" si="12"/>
        <v/>
      </c>
      <c r="AU16" s="57" t="str">
        <f t="shared" si="13"/>
        <v/>
      </c>
      <c r="AV16" s="57" t="str">
        <f t="shared" si="14"/>
        <v/>
      </c>
      <c r="AW16" s="300" t="str">
        <f t="shared" si="15"/>
        <v/>
      </c>
      <c r="AX16" s="57" t="str">
        <f t="shared" si="16"/>
        <v/>
      </c>
      <c r="AY16" s="57" t="str">
        <f t="shared" si="17"/>
        <v/>
      </c>
      <c r="AZ16" s="57" t="str">
        <f t="shared" si="18"/>
        <v/>
      </c>
      <c r="BA16" s="57" t="str">
        <f t="shared" si="19"/>
        <v/>
      </c>
      <c r="BB16" s="300" t="str">
        <f t="shared" si="20"/>
        <v/>
      </c>
      <c r="BC16" s="57" t="str">
        <f t="shared" si="21"/>
        <v/>
      </c>
      <c r="BD16" s="57" t="str">
        <f t="shared" si="22"/>
        <v/>
      </c>
      <c r="BE16" s="57" t="str">
        <f t="shared" si="23"/>
        <v/>
      </c>
      <c r="BF16" s="57" t="str">
        <f t="shared" si="24"/>
        <v/>
      </c>
      <c r="BG16" s="300" t="str">
        <f t="shared" si="25"/>
        <v/>
      </c>
      <c r="BH16" s="1203" t="str">
        <f t="shared" si="26"/>
        <v/>
      </c>
      <c r="BI16" s="260"/>
      <c r="BJ16" s="300" t="str">
        <f t="shared" si="27"/>
        <v/>
      </c>
      <c r="BK16" s="300" t="str">
        <f t="shared" si="28"/>
        <v/>
      </c>
      <c r="BL16" s="300" t="str">
        <f t="shared" si="29"/>
        <v/>
      </c>
      <c r="BM16" s="1202" t="str" cm="1">
        <f t="array" ref="BM16">IF($AP16="","",IF((IFERROR(_xlfn.IFS($BH16="Devis 1",(IFERROR(VALUE(TRIM(SUBSTITUTE(AU16,CHAR(160),""))),0)),$BH16="Devis 2",(IFERROR(VALUE(TRIM(SUBSTITUTE(AZ16,CHAR(160),""))),0)),$BH16="Devis 3",(IFERROR(VALUE(TRIM(SUBSTITUTE(BE16,CHAR(160),""))),0))),0))*(IFERROR(VALUE(TRIM(SUBSTITUTE($AP16,CHAR(160),""))),0))=0,"",(IFERROR(_xlfn.IFS($BH16="Devis 1",(IFERROR(VALUE(TRIM(SUBSTITUTE(AU16,CHAR(160),""))),0)),$BH16="Devis 2",(IFERROR(VALUE(TRIM(SUBSTITUTE(AZ16,CHAR(160),""))),0)),$BH16="Devis 3",(IFERROR(VALUE(TRIM(SUBSTITUTE(BE16,CHAR(160),""))),0))),0))*(IFERROR(VALUE(TRIM(SUBSTITUTE($AP16,CHAR(160),""))),0))))</f>
        <v/>
      </c>
      <c r="BN16" s="1202" t="str" cm="1">
        <f t="array" ref="BN16">IF($AP16="","",IF((IFERROR(_xlfn.IFS(TRIM(SUBSTITUTE($BH16,CHAR(160),""))="Devis 1", IFERROR(VALUE(TRIM(SUBSTITUTE(AV16,CHAR(160),""))),0),TRIM(SUBSTITUTE($BH16,CHAR(160),""))="Devis 2", IFERROR(VALUE(TRIM(SUBSTITUTE(BA16,CHAR(160),""))),0),TRIM(SUBSTITUTE($BH16,CHAR(160),""))="Devis 3", IFERROR(VALUE(TRIM(SUBSTITUTE(BF16,CHAR(160),""))),0)),0) * IFERROR(VALUE(TRIM(SUBSTITUTE($AP16,CHAR(160),""))),0)) = 0,IF(BM16&lt;&gt;"",0,""),(IFERROR(_xlfn.IFS(TRIM(SUBSTITUTE($BH16,CHAR(160),""))="Devis 1", IFERROR(VALUE(TRIM(SUBSTITUTE(AV16,CHAR(160),""))),0),TRIM(SUBSTITUTE($BH16,CHAR(160),""))="Devis 2", IFERROR(VALUE(TRIM(SUBSTITUTE(BA16,CHAR(160),""))),0),TRIM(SUBSTITUTE($BH16,CHAR(160),""))="Devis 3", IFERROR(VALUE(TRIM(SUBSTITUTE(BF16,CHAR(160),""))),0)),0) * IFERROR(VALUE(TRIM(SUBSTITUTE($AP16,CHAR(160),""))),0))))</f>
        <v/>
      </c>
      <c r="BO16" s="1202" t="str" cm="1">
        <f t="array" ref="BO16">IF($AP16="","",IF(IFERROR(_xlfn.IFS($BH16="Devis 1",IFERROR(VALUE(TRIM(SUBSTITUTE(AW16,CHAR(160),""))),0),$BH16="Devis 2",IFERROR(VALUE(TRIM(SUBSTITUTE(BB16,CHAR(160),""))),0),$BH16="Devis 3",IFERROR(VALUE(TRIM(SUBSTITUTE(BG16,CHAR(160),""))),0)),0)*IFERROR(VALUE(TRIM(SUBSTITUTE($AP16,CHAR(160),""))),0)=0,"",IFERROR(_xlfn.IFS($BH16="Devis 1",IFERROR(VALUE(TRIM(SUBSTITUTE(AW16,CHAR(160),""))),0),$BH16="Devis 2",IFERROR(VALUE(TRIM(SUBSTITUTE(BB16,CHAR(160),""))),0),$BH16="Devis 3",IFERROR(VALUE(TRIM(SUBSTITUTE(BG16,CHAR(160),""))),0)),0)*IFERROR(VALUE(TRIM(SUBSTITUTE($AP16,CHAR(160),""))),0)))</f>
        <v/>
      </c>
      <c r="BP16" s="194"/>
      <c r="BQ16" s="219" t="str" cm="1">
        <f t="array" ref="BQ16">IF(OR(BO16="",BL16="",BM16="",BJ16="",BN16="",BK16=""),"",_xlfn.IFS(
ROUND(IFERROR(VALUE(TRIM(SUBSTITUTE(BO16,CHAR(160),""))),0),2)&gt;
ROUND(IFERROR(VALUE(TRIM(SUBSTITUTE(BL16,CHAR(160),""))),0),2),
"KO : Le montant retenu TTC est supérieur au montant raisonnable TTC. Merci de revoir la ligne de dépense ou plafonner son montant.",
ROUND(IFERROR(VALUE(TRIM(SUBSTITUTE(BM16,CHAR(160),""))),0),2)&gt;
ROUND(IFERROR(VALUE(TRIM(SUBSTITUTE(BJ16,CHAR(160),""))),0),2),
"Attention : Le montant retenu HT est supérieur au montant HT raisonnable. Merci de revoir la ligne de dépense, plafonner son montant, ou justifier la reventillation HT / TVA.",
ROUND(IFERROR(VALUE(TRIM(SUBSTITUTE(BN16,CHAR(160),""))),0),2)&gt;
ROUND(IFERROR(VALUE(TRIM(SUBSTITUTE(BK16,CHAR(160),""))),0),2),
"Attention : Le montant TVA retenu est supérieur au montant TVA raisonnable. Merci de revoir la ligne de dépense, plafonner son montant, ou justifier la reventillation HT / TVA.",
ROUND(IFERROR(VALUE(TRIM(SUBSTITUTE(BO16,CHAR(160),""))),0),2)&gt;
ROUND(IFERROR(VALUE(TRIM(SUBSTITUTE(MIN(R16,W16,AB16),CHAR(160),""))),0),2),
"Attention : Le devis retenu n'est pas le moins cher. Une justification de la part du porteur est nécessaire.",
ROUND(IFERROR(VALUE(TRIM(SUBSTITUTE(BO16,CHAR(160),""))),0),2)=0,
"Attention : montant présenté entièrement écarté",
ROUND(IFERROR(VALUE(TRIM(SUBSTITUTE(BL16,CHAR(160),""))),0),2)=
ROUND(IFERROR(VALUE(TRIM(SUBSTITUTE(BO16,CHAR(160),""))),0),2),
"OK",
ROUND(IFERROR(VALUE(TRIM(SUBSTITUTE(BL16,CHAR(160),""))),0),2)&gt;
ROUND(IFERROR(VALUE(TRIM(SUBSTITUTE(BO16,CHAR(160),""))),0),2),
" OK : Montant instruit inférieur au montant raisonnable.",
TRUE,""
))</f>
        <v/>
      </c>
      <c r="BR16" s="216" t="str" cm="1">
        <f t="array" ref="BR16">IF(OR(BO16="",AF16="",BM16="",AD16="",BN16="",AE16=""),"",_xlfn.IFS(
ROUND(IFERROR(VALUE(TRIM(SUBSTITUTE(BO16,CHAR(160),""))),0),2)&gt;
ROUND(IFERROR(VALUE(TRIM(SUBSTITUTE(AF16,CHAR(160),""))),0),2),
"KO : Le montant retenu TTC est supérieur au montant présenté TTC. Merci de revoir la ligne de dépense ou plafonner son montant.",
ROUND(IFERROR(VALUE(TRIM(SUBSTITUTE(BM16,CHAR(160),""))),0),2)&gt;
ROUND(IFERROR(VALUE(TRIM(SUBSTITUTE(AD16,CHAR(160),""))),0),2),
"Attention : Le montant retenu HT est supérieur au montant HT présenté. Merci de revoir la ligne de dépense, plafonner son montant, ou justifier la reventillation HT / TVA.",
ROUND(IFERROR(VALUE(TRIM(SUBSTITUTE(BN16,CHAR(160),""))),0),2)&gt;
ROUND(IFERROR(VALUE(TRIM(SUBSTITUTE(AE16,CHAR(160),""))),0),2),
"Attention : Le montant TVA retenu est supérieur au montant TVA présenté. Merci de revoir la ligne de dépense, plafonner son montant, ou justifier la reventillation HT / TVA.",
ROUND(IFERROR(VALUE(TRIM(SUBSTITUTE(AF16,CHAR(160),""))),0),2)=0,
"",
ROUND(IFERROR(VALUE(TRIM(SUBSTITUTE(BO16,CHAR(160),""))),0),2)=
ROUND(IFERROR(VALUE(TRIM(SUBSTITUTE(AF16,CHAR(160),""))),0),2),
"OK",
ROUND(IFERROR(VALUE(TRIM(SUBSTITUTE(BO16,CHAR(160),""))),0),2)=0,
"Attention : Montant présenté entièrement rejeté.",
ROUND(IFERROR(VALUE(TRIM(SUBSTITUTE(BO16,CHAR(160),""))),0),2)&lt;
ROUND(IFERROR(VALUE(TRIM(SUBSTITUTE(AF16,CHAR(160),""))),0),2),
"Attention : Montant présenté partiellement rejeté.",
TRUE,""
))</f>
        <v/>
      </c>
      <c r="BS16" s="1202" t="str">
        <f t="shared" si="30"/>
        <v/>
      </c>
      <c r="BT16" s="1202" t="str">
        <f t="shared" si="31"/>
        <v/>
      </c>
      <c r="BU16" s="1216" t="str">
        <f t="shared" si="32"/>
        <v/>
      </c>
    </row>
    <row r="17" spans="2:73" ht="15.95" customHeight="1">
      <c r="B17" s="303">
        <v>8</v>
      </c>
      <c r="C17" s="11"/>
      <c r="D17" s="11"/>
      <c r="E17" s="511"/>
      <c r="F17" s="11"/>
      <c r="G17" s="11"/>
      <c r="H17" s="11"/>
      <c r="I17" s="22"/>
      <c r="J17" s="11"/>
      <c r="K17" s="2"/>
      <c r="L17" s="23"/>
      <c r="M17" s="11"/>
      <c r="N17" s="11"/>
      <c r="O17" s="11"/>
      <c r="P17" s="24"/>
      <c r="Q17" s="24"/>
      <c r="R17" s="300" t="str">
        <f t="shared" si="35"/>
        <v/>
      </c>
      <c r="S17" s="1205"/>
      <c r="T17" s="1205"/>
      <c r="U17" s="24"/>
      <c r="V17" s="24"/>
      <c r="W17" s="300" t="str">
        <f t="shared" si="33"/>
        <v/>
      </c>
      <c r="X17" s="1205"/>
      <c r="Y17" s="1205"/>
      <c r="Z17" s="24"/>
      <c r="AA17" s="24"/>
      <c r="AB17" s="300" t="str">
        <f t="shared" si="34"/>
        <v/>
      </c>
      <c r="AC17" s="11"/>
      <c r="AD17" s="1202" t="str" cm="1">
        <f t="array" ref="AD17">IF((_xlfn.IFS(TRIM(SUBSTITUTE(AC17,CHAR(160),""))="Devis 1",IFERROR(VALUE(TRIM(SUBSTITUTE(P17,CHAR(160),""))),0),TRIM(SUBSTITUTE(AC17,CHAR(160),""))="Devis 2",IFERROR(VALUE(TRIM(SUBSTITUTE(U17,CHAR(160),""))),0),TRIM(SUBSTITUTE(AC17,CHAR(160),""))="Devis 3",IFERROR(VALUE(TRIM(SUBSTITUTE(Z17,CHAR(160),""))),0),TRUE,0)*IFERROR(VALUE(TRIM(SUBSTITUTE(K17,CHAR(160),""))),0))=0,"",_xlfn.IFS(TRIM(SUBSTITUTE(AC17,CHAR(160),""))="Devis 1",IFERROR(VALUE(TRIM(SUBSTITUTE(P17,CHAR(160),""))),0),TRIM(SUBSTITUTE(AC17,CHAR(160),""))="Devis 2",IFERROR(VALUE(TRIM(SUBSTITUTE(U17,CHAR(160),""))),0),TRIM(SUBSTITUTE(AC17,CHAR(160),""))="Devis 3",IFERROR(VALUE(TRIM(SUBSTITUTE(Z17,CHAR(160),""))),0),TRUE,0)*IFERROR(VALUE(TRIM(SUBSTITUTE(K17,CHAR(160),""))),0))</f>
        <v/>
      </c>
      <c r="AE17" s="1202" t="str" cm="1">
        <f t="array" ref="AE17">IF((_xlfn.IFS(TRIM(SUBSTITUTE(AC17,CHAR(160),""))="Devis 1",IFERROR(VALUE(TRIM(SUBSTITUTE(Q17,CHAR(160),""))),0),TRIM(SUBSTITUTE(AC17,CHAR(160),""))="Devis 2",IFERROR(VALUE(TRIM(SUBSTITUTE(V17,CHAR(160),""))),0),TRIM(SUBSTITUTE(AC17,CHAR(160),""))="Devis 3",IFERROR(VALUE(TRIM(SUBSTITUTE(AA17,CHAR(160),""))),0),TRUE,0)*IFERROR(VALUE(TRIM(SUBSTITUTE(K17,CHAR(160),""))),0))=0,"",_xlfn.IFS(TRIM(SUBSTITUTE(AC17,CHAR(160),""))="Devis 1",IFERROR(VALUE(TRIM(SUBSTITUTE(Q17,CHAR(160),""))),0),TRIM(SUBSTITUTE(AD17,CHAR(160),""))="Devis 2",IFERROR(VALUE(TRIM(SUBSTITUTE(V17,CHAR(160),""))),0),TRIM(SUBSTITUTE(AD17,CHAR(160),""))="Devis 3",IFERROR(VALUE(TRIM(SUBSTITUTE(AA17,CHAR(160),""))),0),TRUE,0)*IFERROR(VALUE(TRIM(SUBSTITUTE(K17,CHAR(160),""))),0))</f>
        <v/>
      </c>
      <c r="AF17" s="1202" t="str" cm="1">
        <f t="array" ref="AF17">IF((_xlfn.IFS(TRIM(SUBSTITUTE(AC17,CHAR(160),""))="Devis 1",IFERROR(VALUE(TRIM(SUBSTITUTE(R17,CHAR(160),""))),0),TRIM(SUBSTITUTE(AC17,CHAR(160),""))="Devis 2",IFERROR(VALUE(TRIM(SUBSTITUTE(W17,CHAR(160),""))),0),TRIM(SUBSTITUTE(AC17,CHAR(160),""))="Devis 3",IFERROR(VALUE(TRIM(SUBSTITUTE(AB17,CHAR(160),""))),0),TRUE,0)*IFERROR(VALUE(TRIM(SUBSTITUTE(K17,CHAR(160),""))),0))=0,"",_xlfn.IFS(TRIM(SUBSTITUTE(AC17,CHAR(160),""))="Devis 1",IFERROR(VALUE(TRIM(SUBSTITUTE(R17,CHAR(160),""))),0),TRIM(SUBSTITUTE(AC17,CHAR(160),""))="Devis 2",IFERROR(VALUE(TRIM(SUBSTITUTE(W17,CHAR(160),""))),0),TRIM(SUBSTITUTE(AC17,CHAR(160),""))="Devis 3",IFERROR(VALUE(TRIM(SUBSTITUTE(AB17,CHAR(160),""))),0),TRUE,0)*IFERROR(VALUE(TRIM(SUBSTITUTE(K17,CHAR(160),""))),0))</f>
        <v/>
      </c>
      <c r="AG17" s="488"/>
      <c r="AH17" s="215" t="str">
        <f t="shared" si="0"/>
        <v/>
      </c>
      <c r="AI17" s="57" t="str">
        <f t="shared" si="1"/>
        <v/>
      </c>
      <c r="AJ17" s="57" t="str">
        <f t="shared" si="2"/>
        <v/>
      </c>
      <c r="AK17" s="57" t="str">
        <f t="shared" si="3"/>
        <v/>
      </c>
      <c r="AL17" s="57" t="str">
        <f t="shared" si="4"/>
        <v/>
      </c>
      <c r="AM17" s="57" t="str">
        <f t="shared" si="5"/>
        <v/>
      </c>
      <c r="AN17" s="57" t="str">
        <f t="shared" si="6"/>
        <v/>
      </c>
      <c r="AO17" s="57" t="str">
        <f t="shared" si="7"/>
        <v/>
      </c>
      <c r="AP17" s="57" t="str">
        <f t="shared" si="8"/>
        <v/>
      </c>
      <c r="AQ17" s="57" t="str">
        <f t="shared" si="9"/>
        <v/>
      </c>
      <c r="AR17" s="57" t="str">
        <f t="shared" si="10"/>
        <v/>
      </c>
      <c r="AS17" s="57" t="str">
        <f t="shared" si="11"/>
        <v/>
      </c>
      <c r="AT17" s="57" t="str">
        <f t="shared" si="12"/>
        <v/>
      </c>
      <c r="AU17" s="57" t="str">
        <f t="shared" si="13"/>
        <v/>
      </c>
      <c r="AV17" s="57" t="str">
        <f t="shared" si="14"/>
        <v/>
      </c>
      <c r="AW17" s="300" t="str">
        <f t="shared" si="15"/>
        <v/>
      </c>
      <c r="AX17" s="57" t="str">
        <f t="shared" si="16"/>
        <v/>
      </c>
      <c r="AY17" s="57" t="str">
        <f t="shared" si="17"/>
        <v/>
      </c>
      <c r="AZ17" s="57" t="str">
        <f t="shared" si="18"/>
        <v/>
      </c>
      <c r="BA17" s="57" t="str">
        <f t="shared" si="19"/>
        <v/>
      </c>
      <c r="BB17" s="300" t="str">
        <f t="shared" si="20"/>
        <v/>
      </c>
      <c r="BC17" s="57" t="str">
        <f t="shared" si="21"/>
        <v/>
      </c>
      <c r="BD17" s="57" t="str">
        <f t="shared" si="22"/>
        <v/>
      </c>
      <c r="BE17" s="57" t="str">
        <f t="shared" si="23"/>
        <v/>
      </c>
      <c r="BF17" s="57" t="str">
        <f t="shared" si="24"/>
        <v/>
      </c>
      <c r="BG17" s="300" t="str">
        <f t="shared" si="25"/>
        <v/>
      </c>
      <c r="BH17" s="1203" t="str">
        <f t="shared" si="26"/>
        <v/>
      </c>
      <c r="BI17" s="260"/>
      <c r="BJ17" s="300" t="str">
        <f t="shared" si="27"/>
        <v/>
      </c>
      <c r="BK17" s="300" t="str">
        <f t="shared" si="28"/>
        <v/>
      </c>
      <c r="BL17" s="300" t="str">
        <f t="shared" si="29"/>
        <v/>
      </c>
      <c r="BM17" s="1202" t="str" cm="1">
        <f t="array" ref="BM17">IF($AP17="","",IF((IFERROR(_xlfn.IFS($BH17="Devis 1",(IFERROR(VALUE(TRIM(SUBSTITUTE(AU17,CHAR(160),""))),0)),$BH17="Devis 2",(IFERROR(VALUE(TRIM(SUBSTITUTE(AZ17,CHAR(160),""))),0)),$BH17="Devis 3",(IFERROR(VALUE(TRIM(SUBSTITUTE(BE17,CHAR(160),""))),0))),0))*(IFERROR(VALUE(TRIM(SUBSTITUTE($AP17,CHAR(160),""))),0))=0,"",(IFERROR(_xlfn.IFS($BH17="Devis 1",(IFERROR(VALUE(TRIM(SUBSTITUTE(AU17,CHAR(160),""))),0)),$BH17="Devis 2",(IFERROR(VALUE(TRIM(SUBSTITUTE(AZ17,CHAR(160),""))),0)),$BH17="Devis 3",(IFERROR(VALUE(TRIM(SUBSTITUTE(BE17,CHAR(160),""))),0))),0))*(IFERROR(VALUE(TRIM(SUBSTITUTE($AP17,CHAR(160),""))),0))))</f>
        <v/>
      </c>
      <c r="BN17" s="1202" t="str" cm="1">
        <f t="array" ref="BN17">IF($AP17="","",IF((IFERROR(_xlfn.IFS(TRIM(SUBSTITUTE($BH17,CHAR(160),""))="Devis 1", IFERROR(VALUE(TRIM(SUBSTITUTE(AV17,CHAR(160),""))),0),TRIM(SUBSTITUTE($BH17,CHAR(160),""))="Devis 2", IFERROR(VALUE(TRIM(SUBSTITUTE(BA17,CHAR(160),""))),0),TRIM(SUBSTITUTE($BH17,CHAR(160),""))="Devis 3", IFERROR(VALUE(TRIM(SUBSTITUTE(BF17,CHAR(160),""))),0)),0) * IFERROR(VALUE(TRIM(SUBSTITUTE($AP17,CHAR(160),""))),0)) = 0,IF(BM17&lt;&gt;"",0,""),(IFERROR(_xlfn.IFS(TRIM(SUBSTITUTE($BH17,CHAR(160),""))="Devis 1", IFERROR(VALUE(TRIM(SUBSTITUTE(AV17,CHAR(160),""))),0),TRIM(SUBSTITUTE($BH17,CHAR(160),""))="Devis 2", IFERROR(VALUE(TRIM(SUBSTITUTE(BA17,CHAR(160),""))),0),TRIM(SUBSTITUTE($BH17,CHAR(160),""))="Devis 3", IFERROR(VALUE(TRIM(SUBSTITUTE(BF17,CHAR(160),""))),0)),0) * IFERROR(VALUE(TRIM(SUBSTITUTE($AP17,CHAR(160),""))),0))))</f>
        <v/>
      </c>
      <c r="BO17" s="1202" t="str" cm="1">
        <f t="array" ref="BO17">IF($AP17="","",IF(IFERROR(_xlfn.IFS($BH17="Devis 1",IFERROR(VALUE(TRIM(SUBSTITUTE(AW17,CHAR(160),""))),0),$BH17="Devis 2",IFERROR(VALUE(TRIM(SUBSTITUTE(BB17,CHAR(160),""))),0),$BH17="Devis 3",IFERROR(VALUE(TRIM(SUBSTITUTE(BG17,CHAR(160),""))),0)),0)*IFERROR(VALUE(TRIM(SUBSTITUTE($AP17,CHAR(160),""))),0)=0,"",IFERROR(_xlfn.IFS($BH17="Devis 1",IFERROR(VALUE(TRIM(SUBSTITUTE(AW17,CHAR(160),""))),0),$BH17="Devis 2",IFERROR(VALUE(TRIM(SUBSTITUTE(BB17,CHAR(160),""))),0),$BH17="Devis 3",IFERROR(VALUE(TRIM(SUBSTITUTE(BG17,CHAR(160),""))),0)),0)*IFERROR(VALUE(TRIM(SUBSTITUTE($AP17,CHAR(160),""))),0)))</f>
        <v/>
      </c>
      <c r="BP17" s="194"/>
      <c r="BQ17" s="219" t="str" cm="1">
        <f t="array" ref="BQ17">IF(OR(BO17="",BL17="",BM17="",BJ17="",BN17="",BK17=""),"",_xlfn.IFS(
ROUND(IFERROR(VALUE(TRIM(SUBSTITUTE(BO17,CHAR(160),""))),0),2)&gt;
ROUND(IFERROR(VALUE(TRIM(SUBSTITUTE(BL17,CHAR(160),""))),0),2),
"KO : Le montant retenu TTC est supérieur au montant raisonnable TTC. Merci de revoir la ligne de dépense ou plafonner son montant.",
ROUND(IFERROR(VALUE(TRIM(SUBSTITUTE(BM17,CHAR(160),""))),0),2)&gt;
ROUND(IFERROR(VALUE(TRIM(SUBSTITUTE(BJ17,CHAR(160),""))),0),2),
"Attention : Le montant retenu HT est supérieur au montant HT raisonnable. Merci de revoir la ligne de dépense, plafonner son montant, ou justifier la reventillation HT / TVA.",
ROUND(IFERROR(VALUE(TRIM(SUBSTITUTE(BN17,CHAR(160),""))),0),2)&gt;
ROUND(IFERROR(VALUE(TRIM(SUBSTITUTE(BK17,CHAR(160),""))),0),2),
"Attention : Le montant TVA retenu est supérieur au montant TVA raisonnable. Merci de revoir la ligne de dépense, plafonner son montant, ou justifier la reventillation HT / TVA.",
ROUND(IFERROR(VALUE(TRIM(SUBSTITUTE(BO17,CHAR(160),""))),0),2)&gt;
ROUND(IFERROR(VALUE(TRIM(SUBSTITUTE(MIN(R17,W17,AB17),CHAR(160),""))),0),2),
"Attention : Le devis retenu n'est pas le moins cher. Une justification de la part du porteur est nécessaire.",
ROUND(IFERROR(VALUE(TRIM(SUBSTITUTE(BO17,CHAR(160),""))),0),2)=0,
"Attention : montant présenté entièrement écarté",
ROUND(IFERROR(VALUE(TRIM(SUBSTITUTE(BL17,CHAR(160),""))),0),2)=
ROUND(IFERROR(VALUE(TRIM(SUBSTITUTE(BO17,CHAR(160),""))),0),2),
"OK",
ROUND(IFERROR(VALUE(TRIM(SUBSTITUTE(BL17,CHAR(160),""))),0),2)&gt;
ROUND(IFERROR(VALUE(TRIM(SUBSTITUTE(BO17,CHAR(160),""))),0),2),
" OK : Montant instruit inférieur au montant raisonnable.",
TRUE,""
))</f>
        <v/>
      </c>
      <c r="BR17" s="216" t="str" cm="1">
        <f t="array" ref="BR17">IF(OR(BO17="",AF17="",BM17="",AD17="",BN17="",AE17=""),"",_xlfn.IFS(
ROUND(IFERROR(VALUE(TRIM(SUBSTITUTE(BO17,CHAR(160),""))),0),2)&gt;
ROUND(IFERROR(VALUE(TRIM(SUBSTITUTE(AF17,CHAR(160),""))),0),2),
"KO : Le montant retenu TTC est supérieur au montant présenté TTC. Merci de revoir la ligne de dépense ou plafonner son montant.",
ROUND(IFERROR(VALUE(TRIM(SUBSTITUTE(BM17,CHAR(160),""))),0),2)&gt;
ROUND(IFERROR(VALUE(TRIM(SUBSTITUTE(AD17,CHAR(160),""))),0),2),
"Attention : Le montant retenu HT est supérieur au montant HT présenté. Merci de revoir la ligne de dépense, plafonner son montant, ou justifier la reventillation HT / TVA.",
ROUND(IFERROR(VALUE(TRIM(SUBSTITUTE(BN17,CHAR(160),""))),0),2)&gt;
ROUND(IFERROR(VALUE(TRIM(SUBSTITUTE(AE17,CHAR(160),""))),0),2),
"Attention : Le montant TVA retenu est supérieur au montant TVA présenté. Merci de revoir la ligne de dépense, plafonner son montant, ou justifier la reventillation HT / TVA.",
ROUND(IFERROR(VALUE(TRIM(SUBSTITUTE(AF17,CHAR(160),""))),0),2)=0,
"",
ROUND(IFERROR(VALUE(TRIM(SUBSTITUTE(BO17,CHAR(160),""))),0),2)=
ROUND(IFERROR(VALUE(TRIM(SUBSTITUTE(AF17,CHAR(160),""))),0),2),
"OK",
ROUND(IFERROR(VALUE(TRIM(SUBSTITUTE(BO17,CHAR(160),""))),0),2)=0,
"Attention : Montant présenté entièrement rejeté.",
ROUND(IFERROR(VALUE(TRIM(SUBSTITUTE(BO17,CHAR(160),""))),0),2)&lt;
ROUND(IFERROR(VALUE(TRIM(SUBSTITUTE(AF17,CHAR(160),""))),0),2),
"Attention : Montant présenté partiellement rejeté.",
TRUE,""
))</f>
        <v/>
      </c>
      <c r="BS17" s="1202" t="str">
        <f t="shared" si="30"/>
        <v/>
      </c>
      <c r="BT17" s="1202" t="str">
        <f t="shared" si="31"/>
        <v/>
      </c>
      <c r="BU17" s="1216" t="str">
        <f t="shared" si="32"/>
        <v/>
      </c>
    </row>
    <row r="18" spans="2:73" ht="15.95" customHeight="1">
      <c r="B18" s="303">
        <v>9</v>
      </c>
      <c r="C18" s="11"/>
      <c r="D18" s="11"/>
      <c r="E18" s="22"/>
      <c r="F18" s="11"/>
      <c r="G18" s="11"/>
      <c r="H18" s="11"/>
      <c r="I18" s="22"/>
      <c r="J18" s="11"/>
      <c r="K18" s="2"/>
      <c r="L18" s="23"/>
      <c r="M18" s="11"/>
      <c r="N18" s="11"/>
      <c r="O18" s="11"/>
      <c r="P18" s="24"/>
      <c r="Q18" s="24"/>
      <c r="R18" s="300" t="str">
        <f t="shared" si="35"/>
        <v/>
      </c>
      <c r="S18" s="1205"/>
      <c r="T18" s="1205"/>
      <c r="U18" s="24"/>
      <c r="V18" s="24"/>
      <c r="W18" s="300" t="str">
        <f t="shared" si="33"/>
        <v/>
      </c>
      <c r="X18" s="1205"/>
      <c r="Y18" s="1205"/>
      <c r="Z18" s="24"/>
      <c r="AA18" s="24"/>
      <c r="AB18" s="300" t="str">
        <f t="shared" si="34"/>
        <v/>
      </c>
      <c r="AC18" s="11"/>
      <c r="AD18" s="1202" t="str" cm="1">
        <f t="array" ref="AD18">IF((_xlfn.IFS(TRIM(SUBSTITUTE(AC18,CHAR(160),""))="Devis 1",IFERROR(VALUE(TRIM(SUBSTITUTE(P18,CHAR(160),""))),0),TRIM(SUBSTITUTE(AC18,CHAR(160),""))="Devis 2",IFERROR(VALUE(TRIM(SUBSTITUTE(U18,CHAR(160),""))),0),TRIM(SUBSTITUTE(AC18,CHAR(160),""))="Devis 3",IFERROR(VALUE(TRIM(SUBSTITUTE(Z18,CHAR(160),""))),0),TRUE,0)*IFERROR(VALUE(TRIM(SUBSTITUTE(K18,CHAR(160),""))),0))=0,"",_xlfn.IFS(TRIM(SUBSTITUTE(AC18,CHAR(160),""))="Devis 1",IFERROR(VALUE(TRIM(SUBSTITUTE(P18,CHAR(160),""))),0),TRIM(SUBSTITUTE(AC18,CHAR(160),""))="Devis 2",IFERROR(VALUE(TRIM(SUBSTITUTE(U18,CHAR(160),""))),0),TRIM(SUBSTITUTE(AC18,CHAR(160),""))="Devis 3",IFERROR(VALUE(TRIM(SUBSTITUTE(Z18,CHAR(160),""))),0),TRUE,0)*IFERROR(VALUE(TRIM(SUBSTITUTE(K18,CHAR(160),""))),0))</f>
        <v/>
      </c>
      <c r="AE18" s="1202" t="str" cm="1">
        <f t="array" ref="AE18">IF((_xlfn.IFS(TRIM(SUBSTITUTE(AC18,CHAR(160),""))="Devis 1",IFERROR(VALUE(TRIM(SUBSTITUTE(Q18,CHAR(160),""))),0),TRIM(SUBSTITUTE(AC18,CHAR(160),""))="Devis 2",IFERROR(VALUE(TRIM(SUBSTITUTE(V18,CHAR(160),""))),0),TRIM(SUBSTITUTE(AC18,CHAR(160),""))="Devis 3",IFERROR(VALUE(TRIM(SUBSTITUTE(AA18,CHAR(160),""))),0),TRUE,0)*IFERROR(VALUE(TRIM(SUBSTITUTE(K18,CHAR(160),""))),0))=0,"",_xlfn.IFS(TRIM(SUBSTITUTE(AC18,CHAR(160),""))="Devis 1",IFERROR(VALUE(TRIM(SUBSTITUTE(Q18,CHAR(160),""))),0),TRIM(SUBSTITUTE(AD18,CHAR(160),""))="Devis 2",IFERROR(VALUE(TRIM(SUBSTITUTE(V18,CHAR(160),""))),0),TRIM(SUBSTITUTE(AD18,CHAR(160),""))="Devis 3",IFERROR(VALUE(TRIM(SUBSTITUTE(AA18,CHAR(160),""))),0),TRUE,0)*IFERROR(VALUE(TRIM(SUBSTITUTE(K18,CHAR(160),""))),0))</f>
        <v/>
      </c>
      <c r="AF18" s="1202" t="str" cm="1">
        <f t="array" ref="AF18">IF((_xlfn.IFS(TRIM(SUBSTITUTE(AC18,CHAR(160),""))="Devis 1",IFERROR(VALUE(TRIM(SUBSTITUTE(R18,CHAR(160),""))),0),TRIM(SUBSTITUTE(AC18,CHAR(160),""))="Devis 2",IFERROR(VALUE(TRIM(SUBSTITUTE(W18,CHAR(160),""))),0),TRIM(SUBSTITUTE(AC18,CHAR(160),""))="Devis 3",IFERROR(VALUE(TRIM(SUBSTITUTE(AB18,CHAR(160),""))),0),TRUE,0)*IFERROR(VALUE(TRIM(SUBSTITUTE(K18,CHAR(160),""))),0))=0,"",_xlfn.IFS(TRIM(SUBSTITUTE(AC18,CHAR(160),""))="Devis 1",IFERROR(VALUE(TRIM(SUBSTITUTE(R18,CHAR(160),""))),0),TRIM(SUBSTITUTE(AC18,CHAR(160),""))="Devis 2",IFERROR(VALUE(TRIM(SUBSTITUTE(W18,CHAR(160),""))),0),TRIM(SUBSTITUTE(AC18,CHAR(160),""))="Devis 3",IFERROR(VALUE(TRIM(SUBSTITUTE(AB18,CHAR(160),""))),0),TRUE,0)*IFERROR(VALUE(TRIM(SUBSTITUTE(K18,CHAR(160),""))),0))</f>
        <v/>
      </c>
      <c r="AG18" s="488"/>
      <c r="AH18" s="215" t="str">
        <f t="shared" si="0"/>
        <v/>
      </c>
      <c r="AI18" s="57" t="str">
        <f t="shared" si="1"/>
        <v/>
      </c>
      <c r="AJ18" s="57" t="str">
        <f t="shared" si="2"/>
        <v/>
      </c>
      <c r="AK18" s="57" t="str">
        <f t="shared" si="3"/>
        <v/>
      </c>
      <c r="AL18" s="57" t="str">
        <f t="shared" si="4"/>
        <v/>
      </c>
      <c r="AM18" s="57" t="str">
        <f t="shared" si="5"/>
        <v/>
      </c>
      <c r="AN18" s="57" t="str">
        <f t="shared" si="6"/>
        <v/>
      </c>
      <c r="AO18" s="57" t="str">
        <f t="shared" si="7"/>
        <v/>
      </c>
      <c r="AP18" s="57" t="str">
        <f t="shared" si="8"/>
        <v/>
      </c>
      <c r="AQ18" s="57" t="str">
        <f t="shared" si="9"/>
        <v/>
      </c>
      <c r="AR18" s="57" t="str">
        <f t="shared" si="10"/>
        <v/>
      </c>
      <c r="AS18" s="57" t="str">
        <f t="shared" si="11"/>
        <v/>
      </c>
      <c r="AT18" s="57" t="str">
        <f t="shared" si="12"/>
        <v/>
      </c>
      <c r="AU18" s="57" t="str">
        <f t="shared" si="13"/>
        <v/>
      </c>
      <c r="AV18" s="57" t="str">
        <f t="shared" si="14"/>
        <v/>
      </c>
      <c r="AW18" s="300" t="str">
        <f t="shared" si="15"/>
        <v/>
      </c>
      <c r="AX18" s="57" t="str">
        <f t="shared" si="16"/>
        <v/>
      </c>
      <c r="AY18" s="57" t="str">
        <f t="shared" si="17"/>
        <v/>
      </c>
      <c r="AZ18" s="57" t="str">
        <f t="shared" si="18"/>
        <v/>
      </c>
      <c r="BA18" s="57" t="str">
        <f t="shared" si="19"/>
        <v/>
      </c>
      <c r="BB18" s="300" t="str">
        <f t="shared" si="20"/>
        <v/>
      </c>
      <c r="BC18" s="57" t="str">
        <f t="shared" si="21"/>
        <v/>
      </c>
      <c r="BD18" s="57" t="str">
        <f t="shared" si="22"/>
        <v/>
      </c>
      <c r="BE18" s="57" t="str">
        <f t="shared" si="23"/>
        <v/>
      </c>
      <c r="BF18" s="57" t="str">
        <f t="shared" si="24"/>
        <v/>
      </c>
      <c r="BG18" s="300" t="str">
        <f t="shared" si="25"/>
        <v/>
      </c>
      <c r="BH18" s="1203" t="str">
        <f t="shared" si="26"/>
        <v/>
      </c>
      <c r="BI18" s="260"/>
      <c r="BJ18" s="300" t="str">
        <f t="shared" si="27"/>
        <v/>
      </c>
      <c r="BK18" s="300" t="str">
        <f t="shared" si="28"/>
        <v/>
      </c>
      <c r="BL18" s="300" t="str">
        <f t="shared" si="29"/>
        <v/>
      </c>
      <c r="BM18" s="1202" t="str" cm="1">
        <f t="array" ref="BM18">IF($AP18="","",IF((IFERROR(_xlfn.IFS($BH18="Devis 1",(IFERROR(VALUE(TRIM(SUBSTITUTE(AU18,CHAR(160),""))),0)),$BH18="Devis 2",(IFERROR(VALUE(TRIM(SUBSTITUTE(AZ18,CHAR(160),""))),0)),$BH18="Devis 3",(IFERROR(VALUE(TRIM(SUBSTITUTE(BE18,CHAR(160),""))),0))),0))*(IFERROR(VALUE(TRIM(SUBSTITUTE($AP18,CHAR(160),""))),0))=0,"",(IFERROR(_xlfn.IFS($BH18="Devis 1",(IFERROR(VALUE(TRIM(SUBSTITUTE(AU18,CHAR(160),""))),0)),$BH18="Devis 2",(IFERROR(VALUE(TRIM(SUBSTITUTE(AZ18,CHAR(160),""))),0)),$BH18="Devis 3",(IFERROR(VALUE(TRIM(SUBSTITUTE(BE18,CHAR(160),""))),0))),0))*(IFERROR(VALUE(TRIM(SUBSTITUTE($AP18,CHAR(160),""))),0))))</f>
        <v/>
      </c>
      <c r="BN18" s="1202" t="str" cm="1">
        <f t="array" ref="BN18">IF($AP18="","",IF((IFERROR(_xlfn.IFS(TRIM(SUBSTITUTE($BH18,CHAR(160),""))="Devis 1", IFERROR(VALUE(TRIM(SUBSTITUTE(AV18,CHAR(160),""))),0),TRIM(SUBSTITUTE($BH18,CHAR(160),""))="Devis 2", IFERROR(VALUE(TRIM(SUBSTITUTE(BA18,CHAR(160),""))),0),TRIM(SUBSTITUTE($BH18,CHAR(160),""))="Devis 3", IFERROR(VALUE(TRIM(SUBSTITUTE(BF18,CHAR(160),""))),0)),0) * IFERROR(VALUE(TRIM(SUBSTITUTE($AP18,CHAR(160),""))),0)) = 0,IF(BM18&lt;&gt;"",0,""),(IFERROR(_xlfn.IFS(TRIM(SUBSTITUTE($BH18,CHAR(160),""))="Devis 1", IFERROR(VALUE(TRIM(SUBSTITUTE(AV18,CHAR(160),""))),0),TRIM(SUBSTITUTE($BH18,CHAR(160),""))="Devis 2", IFERROR(VALUE(TRIM(SUBSTITUTE(BA18,CHAR(160),""))),0),TRIM(SUBSTITUTE($BH18,CHAR(160),""))="Devis 3", IFERROR(VALUE(TRIM(SUBSTITUTE(BF18,CHAR(160),""))),0)),0) * IFERROR(VALUE(TRIM(SUBSTITUTE($AP18,CHAR(160),""))),0))))</f>
        <v/>
      </c>
      <c r="BO18" s="1202" t="str" cm="1">
        <f t="array" ref="BO18">IF($AP18="","",IF(IFERROR(_xlfn.IFS($BH18="Devis 1",IFERROR(VALUE(TRIM(SUBSTITUTE(AW18,CHAR(160),""))),0),$BH18="Devis 2",IFERROR(VALUE(TRIM(SUBSTITUTE(BB18,CHAR(160),""))),0),$BH18="Devis 3",IFERROR(VALUE(TRIM(SUBSTITUTE(BG18,CHAR(160),""))),0)),0)*IFERROR(VALUE(TRIM(SUBSTITUTE($AP18,CHAR(160),""))),0)=0,"",IFERROR(_xlfn.IFS($BH18="Devis 1",IFERROR(VALUE(TRIM(SUBSTITUTE(AW18,CHAR(160),""))),0),$BH18="Devis 2",IFERROR(VALUE(TRIM(SUBSTITUTE(BB18,CHAR(160),""))),0),$BH18="Devis 3",IFERROR(VALUE(TRIM(SUBSTITUTE(BG18,CHAR(160),""))),0)),0)*IFERROR(VALUE(TRIM(SUBSTITUTE($AP18,CHAR(160),""))),0)))</f>
        <v/>
      </c>
      <c r="BP18" s="194"/>
      <c r="BQ18" s="219" t="str" cm="1">
        <f t="array" ref="BQ18">IF(OR(BO18="",BL18="",BM18="",BJ18="",BN18="",BK18=""),"",_xlfn.IFS(
ROUND(IFERROR(VALUE(TRIM(SUBSTITUTE(BO18,CHAR(160),""))),0),2)&gt;
ROUND(IFERROR(VALUE(TRIM(SUBSTITUTE(BL18,CHAR(160),""))),0),2),
"KO : Le montant retenu TTC est supérieur au montant raisonnable TTC. Merci de revoir la ligne de dépense ou plafonner son montant.",
ROUND(IFERROR(VALUE(TRIM(SUBSTITUTE(BM18,CHAR(160),""))),0),2)&gt;
ROUND(IFERROR(VALUE(TRIM(SUBSTITUTE(BJ18,CHAR(160),""))),0),2),
"Attention : Le montant retenu HT est supérieur au montant HT raisonnable. Merci de revoir la ligne de dépense, plafonner son montant, ou justifier la reventillation HT / TVA.",
ROUND(IFERROR(VALUE(TRIM(SUBSTITUTE(BN18,CHAR(160),""))),0),2)&gt;
ROUND(IFERROR(VALUE(TRIM(SUBSTITUTE(BK18,CHAR(160),""))),0),2),
"Attention : Le montant TVA retenu est supérieur au montant TVA raisonnable. Merci de revoir la ligne de dépense, plafonner son montant, ou justifier la reventillation HT / TVA.",
ROUND(IFERROR(VALUE(TRIM(SUBSTITUTE(BO18,CHAR(160),""))),0),2)&gt;
ROUND(IFERROR(VALUE(TRIM(SUBSTITUTE(MIN(R18,W18,AB18),CHAR(160),""))),0),2),
"Attention : Le devis retenu n'est pas le moins cher. Une justification de la part du porteur est nécessaire.",
ROUND(IFERROR(VALUE(TRIM(SUBSTITUTE(BO18,CHAR(160),""))),0),2)=0,
"Attention : montant présenté entièrement écarté",
ROUND(IFERROR(VALUE(TRIM(SUBSTITUTE(BL18,CHAR(160),""))),0),2)=
ROUND(IFERROR(VALUE(TRIM(SUBSTITUTE(BO18,CHAR(160),""))),0),2),
"OK",
ROUND(IFERROR(VALUE(TRIM(SUBSTITUTE(BL18,CHAR(160),""))),0),2)&gt;
ROUND(IFERROR(VALUE(TRIM(SUBSTITUTE(BO18,CHAR(160),""))),0),2),
" OK : Montant instruit inférieur au montant raisonnable.",
TRUE,""
))</f>
        <v/>
      </c>
      <c r="BR18" s="216" t="str" cm="1">
        <f t="array" ref="BR18">IF(OR(BO18="",AF18="",BM18="",AD18="",BN18="",AE18=""),"",_xlfn.IFS(
ROUND(IFERROR(VALUE(TRIM(SUBSTITUTE(BO18,CHAR(160),""))),0),2)&gt;
ROUND(IFERROR(VALUE(TRIM(SUBSTITUTE(AF18,CHAR(160),""))),0),2),
"KO : Le montant retenu TTC est supérieur au montant présenté TTC. Merci de revoir la ligne de dépense ou plafonner son montant.",
ROUND(IFERROR(VALUE(TRIM(SUBSTITUTE(BM18,CHAR(160),""))),0),2)&gt;
ROUND(IFERROR(VALUE(TRIM(SUBSTITUTE(AD18,CHAR(160),""))),0),2),
"Attention : Le montant retenu HT est supérieur au montant HT présenté. Merci de revoir la ligne de dépense, plafonner son montant, ou justifier la reventillation HT / TVA.",
ROUND(IFERROR(VALUE(TRIM(SUBSTITUTE(BN18,CHAR(160),""))),0),2)&gt;
ROUND(IFERROR(VALUE(TRIM(SUBSTITUTE(AE18,CHAR(160),""))),0),2),
"Attention : Le montant TVA retenu est supérieur au montant TVA présenté. Merci de revoir la ligne de dépense, plafonner son montant, ou justifier la reventillation HT / TVA.",
ROUND(IFERROR(VALUE(TRIM(SUBSTITUTE(AF18,CHAR(160),""))),0),2)=0,
"",
ROUND(IFERROR(VALUE(TRIM(SUBSTITUTE(BO18,CHAR(160),""))),0),2)=
ROUND(IFERROR(VALUE(TRIM(SUBSTITUTE(AF18,CHAR(160),""))),0),2),
"OK",
ROUND(IFERROR(VALUE(TRIM(SUBSTITUTE(BO18,CHAR(160),""))),0),2)=0,
"Attention : Montant présenté entièrement rejeté.",
ROUND(IFERROR(VALUE(TRIM(SUBSTITUTE(BO18,CHAR(160),""))),0),2)&lt;
ROUND(IFERROR(VALUE(TRIM(SUBSTITUTE(AF18,CHAR(160),""))),0),2),
"Attention : Montant présenté partiellement rejeté.",
TRUE,""
))</f>
        <v/>
      </c>
      <c r="BS18" s="1202" t="str">
        <f t="shared" si="30"/>
        <v/>
      </c>
      <c r="BT18" s="1202" t="str">
        <f t="shared" si="31"/>
        <v/>
      </c>
      <c r="BU18" s="1216" t="str">
        <f t="shared" si="32"/>
        <v/>
      </c>
    </row>
    <row r="19" spans="2:73" ht="15.95" customHeight="1">
      <c r="B19" s="303">
        <v>10</v>
      </c>
      <c r="C19" s="11"/>
      <c r="D19" s="11"/>
      <c r="E19" s="22"/>
      <c r="F19" s="11"/>
      <c r="G19" s="11"/>
      <c r="H19" s="11"/>
      <c r="I19" s="22"/>
      <c r="J19" s="11"/>
      <c r="K19" s="2"/>
      <c r="L19" s="23"/>
      <c r="M19" s="11"/>
      <c r="N19" s="11"/>
      <c r="O19" s="11"/>
      <c r="P19" s="24"/>
      <c r="Q19" s="24"/>
      <c r="R19" s="300" t="str">
        <f t="shared" si="35"/>
        <v/>
      </c>
      <c r="S19" s="1205"/>
      <c r="T19" s="1205"/>
      <c r="U19" s="24"/>
      <c r="V19" s="24"/>
      <c r="W19" s="300" t="str">
        <f t="shared" si="33"/>
        <v/>
      </c>
      <c r="X19" s="1205"/>
      <c r="Y19" s="1205"/>
      <c r="Z19" s="24"/>
      <c r="AA19" s="24"/>
      <c r="AB19" s="300" t="str">
        <f t="shared" si="34"/>
        <v/>
      </c>
      <c r="AC19" s="11"/>
      <c r="AD19" s="1202" t="str" cm="1">
        <f t="array" ref="AD19">IF((_xlfn.IFS(TRIM(SUBSTITUTE(AC19,CHAR(160),""))="Devis 1",IFERROR(VALUE(TRIM(SUBSTITUTE(P19,CHAR(160),""))),0),TRIM(SUBSTITUTE(AC19,CHAR(160),""))="Devis 2",IFERROR(VALUE(TRIM(SUBSTITUTE(U19,CHAR(160),""))),0),TRIM(SUBSTITUTE(AC19,CHAR(160),""))="Devis 3",IFERROR(VALUE(TRIM(SUBSTITUTE(Z19,CHAR(160),""))),0),TRUE,0)*IFERROR(VALUE(TRIM(SUBSTITUTE(K19,CHAR(160),""))),0))=0,"",_xlfn.IFS(TRIM(SUBSTITUTE(AC19,CHAR(160),""))="Devis 1",IFERROR(VALUE(TRIM(SUBSTITUTE(P19,CHAR(160),""))),0),TRIM(SUBSTITUTE(AC19,CHAR(160),""))="Devis 2",IFERROR(VALUE(TRIM(SUBSTITUTE(U19,CHAR(160),""))),0),TRIM(SUBSTITUTE(AC19,CHAR(160),""))="Devis 3",IFERROR(VALUE(TRIM(SUBSTITUTE(Z19,CHAR(160),""))),0),TRUE,0)*IFERROR(VALUE(TRIM(SUBSTITUTE(K19,CHAR(160),""))),0))</f>
        <v/>
      </c>
      <c r="AE19" s="1202" t="str" cm="1">
        <f t="array" ref="AE19">IF((_xlfn.IFS(TRIM(SUBSTITUTE(AC19,CHAR(160),""))="Devis 1",IFERROR(VALUE(TRIM(SUBSTITUTE(Q19,CHAR(160),""))),0),TRIM(SUBSTITUTE(AC19,CHAR(160),""))="Devis 2",IFERROR(VALUE(TRIM(SUBSTITUTE(V19,CHAR(160),""))),0),TRIM(SUBSTITUTE(AC19,CHAR(160),""))="Devis 3",IFERROR(VALUE(TRIM(SUBSTITUTE(AA19,CHAR(160),""))),0),TRUE,0)*IFERROR(VALUE(TRIM(SUBSTITUTE(K19,CHAR(160),""))),0))=0,"",_xlfn.IFS(TRIM(SUBSTITUTE(AC19,CHAR(160),""))="Devis 1",IFERROR(VALUE(TRIM(SUBSTITUTE(Q19,CHAR(160),""))),0),TRIM(SUBSTITUTE(AD19,CHAR(160),""))="Devis 2",IFERROR(VALUE(TRIM(SUBSTITUTE(V19,CHAR(160),""))),0),TRIM(SUBSTITUTE(AD19,CHAR(160),""))="Devis 3",IFERROR(VALUE(TRIM(SUBSTITUTE(AA19,CHAR(160),""))),0),TRUE,0)*IFERROR(VALUE(TRIM(SUBSTITUTE(K19,CHAR(160),""))),0))</f>
        <v/>
      </c>
      <c r="AF19" s="1202" t="str" cm="1">
        <f t="array" ref="AF19">IF((_xlfn.IFS(TRIM(SUBSTITUTE(AC19,CHAR(160),""))="Devis 1",IFERROR(VALUE(TRIM(SUBSTITUTE(R19,CHAR(160),""))),0),TRIM(SUBSTITUTE(AC19,CHAR(160),""))="Devis 2",IFERROR(VALUE(TRIM(SUBSTITUTE(W19,CHAR(160),""))),0),TRIM(SUBSTITUTE(AC19,CHAR(160),""))="Devis 3",IFERROR(VALUE(TRIM(SUBSTITUTE(AB19,CHAR(160),""))),0),TRUE,0)*IFERROR(VALUE(TRIM(SUBSTITUTE(K19,CHAR(160),""))),0))=0,"",_xlfn.IFS(TRIM(SUBSTITUTE(AC19,CHAR(160),""))="Devis 1",IFERROR(VALUE(TRIM(SUBSTITUTE(R19,CHAR(160),""))),0),TRIM(SUBSTITUTE(AC19,CHAR(160),""))="Devis 2",IFERROR(VALUE(TRIM(SUBSTITUTE(W19,CHAR(160),""))),0),TRIM(SUBSTITUTE(AC19,CHAR(160),""))="Devis 3",IFERROR(VALUE(TRIM(SUBSTITUTE(AB19,CHAR(160),""))),0),TRUE,0)*IFERROR(VALUE(TRIM(SUBSTITUTE(K19,CHAR(160),""))),0))</f>
        <v/>
      </c>
      <c r="AG19" s="488"/>
      <c r="AH19" s="215" t="str">
        <f t="shared" si="0"/>
        <v/>
      </c>
      <c r="AI19" s="57" t="str">
        <f t="shared" si="1"/>
        <v/>
      </c>
      <c r="AJ19" s="57" t="str">
        <f t="shared" si="2"/>
        <v/>
      </c>
      <c r="AK19" s="57" t="str">
        <f t="shared" si="3"/>
        <v/>
      </c>
      <c r="AL19" s="57" t="str">
        <f t="shared" si="4"/>
        <v/>
      </c>
      <c r="AM19" s="57" t="str">
        <f t="shared" si="5"/>
        <v/>
      </c>
      <c r="AN19" s="57" t="str">
        <f t="shared" si="6"/>
        <v/>
      </c>
      <c r="AO19" s="57" t="str">
        <f t="shared" si="7"/>
        <v/>
      </c>
      <c r="AP19" s="57" t="str">
        <f t="shared" si="8"/>
        <v/>
      </c>
      <c r="AQ19" s="57" t="str">
        <f t="shared" si="9"/>
        <v/>
      </c>
      <c r="AR19" s="57" t="str">
        <f t="shared" si="10"/>
        <v/>
      </c>
      <c r="AS19" s="57" t="str">
        <f t="shared" si="11"/>
        <v/>
      </c>
      <c r="AT19" s="57" t="str">
        <f t="shared" si="12"/>
        <v/>
      </c>
      <c r="AU19" s="57" t="str">
        <f t="shared" si="13"/>
        <v/>
      </c>
      <c r="AV19" s="57" t="str">
        <f t="shared" si="14"/>
        <v/>
      </c>
      <c r="AW19" s="300" t="str">
        <f t="shared" si="15"/>
        <v/>
      </c>
      <c r="AX19" s="57" t="str">
        <f t="shared" si="16"/>
        <v/>
      </c>
      <c r="AY19" s="57" t="str">
        <f t="shared" si="17"/>
        <v/>
      </c>
      <c r="AZ19" s="57" t="str">
        <f t="shared" si="18"/>
        <v/>
      </c>
      <c r="BA19" s="57" t="str">
        <f t="shared" si="19"/>
        <v/>
      </c>
      <c r="BB19" s="300" t="str">
        <f t="shared" si="20"/>
        <v/>
      </c>
      <c r="BC19" s="57" t="str">
        <f t="shared" si="21"/>
        <v/>
      </c>
      <c r="BD19" s="57" t="str">
        <f t="shared" si="22"/>
        <v/>
      </c>
      <c r="BE19" s="57" t="str">
        <f t="shared" si="23"/>
        <v/>
      </c>
      <c r="BF19" s="57" t="str">
        <f t="shared" si="24"/>
        <v/>
      </c>
      <c r="BG19" s="300" t="str">
        <f t="shared" si="25"/>
        <v/>
      </c>
      <c r="BH19" s="1203" t="str">
        <f t="shared" si="26"/>
        <v/>
      </c>
      <c r="BI19" s="260"/>
      <c r="BJ19" s="300" t="str">
        <f t="shared" si="27"/>
        <v/>
      </c>
      <c r="BK19" s="300" t="str">
        <f t="shared" si="28"/>
        <v/>
      </c>
      <c r="BL19" s="300" t="str">
        <f t="shared" si="29"/>
        <v/>
      </c>
      <c r="BM19" s="1202" t="str" cm="1">
        <f t="array" ref="BM19">IF($AP19="","",IF((IFERROR(_xlfn.IFS($BH19="Devis 1",(IFERROR(VALUE(TRIM(SUBSTITUTE(AU19,CHAR(160),""))),0)),$BH19="Devis 2",(IFERROR(VALUE(TRIM(SUBSTITUTE(AZ19,CHAR(160),""))),0)),$BH19="Devis 3",(IFERROR(VALUE(TRIM(SUBSTITUTE(BE19,CHAR(160),""))),0))),0))*(IFERROR(VALUE(TRIM(SUBSTITUTE($AP19,CHAR(160),""))),0))=0,"",(IFERROR(_xlfn.IFS($BH19="Devis 1",(IFERROR(VALUE(TRIM(SUBSTITUTE(AU19,CHAR(160),""))),0)),$BH19="Devis 2",(IFERROR(VALUE(TRIM(SUBSTITUTE(AZ19,CHAR(160),""))),0)),$BH19="Devis 3",(IFERROR(VALUE(TRIM(SUBSTITUTE(BE19,CHAR(160),""))),0))),0))*(IFERROR(VALUE(TRIM(SUBSTITUTE($AP19,CHAR(160),""))),0))))</f>
        <v/>
      </c>
      <c r="BN19" s="1202" t="str" cm="1">
        <f t="array" ref="BN19">IF($AP19="","",IF((IFERROR(_xlfn.IFS(TRIM(SUBSTITUTE($BH19,CHAR(160),""))="Devis 1", IFERROR(VALUE(TRIM(SUBSTITUTE(AV19,CHAR(160),""))),0),TRIM(SUBSTITUTE($BH19,CHAR(160),""))="Devis 2", IFERROR(VALUE(TRIM(SUBSTITUTE(BA19,CHAR(160),""))),0),TRIM(SUBSTITUTE($BH19,CHAR(160),""))="Devis 3", IFERROR(VALUE(TRIM(SUBSTITUTE(BF19,CHAR(160),""))),0)),0) * IFERROR(VALUE(TRIM(SUBSTITUTE($AP19,CHAR(160),""))),0)) = 0,IF(BM19&lt;&gt;"",0,""),(IFERROR(_xlfn.IFS(TRIM(SUBSTITUTE($BH19,CHAR(160),""))="Devis 1", IFERROR(VALUE(TRIM(SUBSTITUTE(AV19,CHAR(160),""))),0),TRIM(SUBSTITUTE($BH19,CHAR(160),""))="Devis 2", IFERROR(VALUE(TRIM(SUBSTITUTE(BA19,CHAR(160),""))),0),TRIM(SUBSTITUTE($BH19,CHAR(160),""))="Devis 3", IFERROR(VALUE(TRIM(SUBSTITUTE(BF19,CHAR(160),""))),0)),0) * IFERROR(VALUE(TRIM(SUBSTITUTE($AP19,CHAR(160),""))),0))))</f>
        <v/>
      </c>
      <c r="BO19" s="1202" t="str" cm="1">
        <f t="array" ref="BO19">IF($AP19="","",IF(IFERROR(_xlfn.IFS($BH19="Devis 1",IFERROR(VALUE(TRIM(SUBSTITUTE(AW19,CHAR(160),""))),0),$BH19="Devis 2",IFERROR(VALUE(TRIM(SUBSTITUTE(BB19,CHAR(160),""))),0),$BH19="Devis 3",IFERROR(VALUE(TRIM(SUBSTITUTE(BG19,CHAR(160),""))),0)),0)*IFERROR(VALUE(TRIM(SUBSTITUTE($AP19,CHAR(160),""))),0)=0,"",IFERROR(_xlfn.IFS($BH19="Devis 1",IFERROR(VALUE(TRIM(SUBSTITUTE(AW19,CHAR(160),""))),0),$BH19="Devis 2",IFERROR(VALUE(TRIM(SUBSTITUTE(BB19,CHAR(160),""))),0),$BH19="Devis 3",IFERROR(VALUE(TRIM(SUBSTITUTE(BG19,CHAR(160),""))),0)),0)*IFERROR(VALUE(TRIM(SUBSTITUTE($AP19,CHAR(160),""))),0)))</f>
        <v/>
      </c>
      <c r="BP19" s="194"/>
      <c r="BQ19" s="219" t="str" cm="1">
        <f t="array" ref="BQ19">IF(OR(BO19="",BL19="",BM19="",BJ19="",BN19="",BK19=""),"",_xlfn.IFS(
ROUND(IFERROR(VALUE(TRIM(SUBSTITUTE(BO19,CHAR(160),""))),0),2)&gt;
ROUND(IFERROR(VALUE(TRIM(SUBSTITUTE(BL19,CHAR(160),""))),0),2),
"KO : Le montant retenu TTC est supérieur au montant raisonnable TTC. Merci de revoir la ligne de dépense ou plafonner son montant.",
ROUND(IFERROR(VALUE(TRIM(SUBSTITUTE(BM19,CHAR(160),""))),0),2)&gt;
ROUND(IFERROR(VALUE(TRIM(SUBSTITUTE(BJ19,CHAR(160),""))),0),2),
"Attention : Le montant retenu HT est supérieur au montant HT raisonnable. Merci de revoir la ligne de dépense, plafonner son montant, ou justifier la reventillation HT / TVA.",
ROUND(IFERROR(VALUE(TRIM(SUBSTITUTE(BN19,CHAR(160),""))),0),2)&gt;
ROUND(IFERROR(VALUE(TRIM(SUBSTITUTE(BK19,CHAR(160),""))),0),2),
"Attention : Le montant TVA retenu est supérieur au montant TVA raisonnable. Merci de revoir la ligne de dépense, plafonner son montant, ou justifier la reventillation HT / TVA.",
ROUND(IFERROR(VALUE(TRIM(SUBSTITUTE(BO19,CHAR(160),""))),0),2)&gt;
ROUND(IFERROR(VALUE(TRIM(SUBSTITUTE(MIN(R19,W19,AB19),CHAR(160),""))),0),2),
"Attention : Le devis retenu n'est pas le moins cher. Une justification de la part du porteur est nécessaire.",
ROUND(IFERROR(VALUE(TRIM(SUBSTITUTE(BO19,CHAR(160),""))),0),2)=0,
"Attention : montant présenté entièrement écarté",
ROUND(IFERROR(VALUE(TRIM(SUBSTITUTE(BL19,CHAR(160),""))),0),2)=
ROUND(IFERROR(VALUE(TRIM(SUBSTITUTE(BO19,CHAR(160),""))),0),2),
"OK",
ROUND(IFERROR(VALUE(TRIM(SUBSTITUTE(BL19,CHAR(160),""))),0),2)&gt;
ROUND(IFERROR(VALUE(TRIM(SUBSTITUTE(BO19,CHAR(160),""))),0),2),
" OK : Montant instruit inférieur au montant raisonnable.",
TRUE,""
))</f>
        <v/>
      </c>
      <c r="BR19" s="216" t="str" cm="1">
        <f t="array" ref="BR19">IF(OR(BO19="",AF19="",BM19="",AD19="",BN19="",AE19=""),"",_xlfn.IFS(
ROUND(IFERROR(VALUE(TRIM(SUBSTITUTE(BO19,CHAR(160),""))),0),2)&gt;
ROUND(IFERROR(VALUE(TRIM(SUBSTITUTE(AF19,CHAR(160),""))),0),2),
"KO : Le montant retenu TTC est supérieur au montant présenté TTC. Merci de revoir la ligne de dépense ou plafonner son montant.",
ROUND(IFERROR(VALUE(TRIM(SUBSTITUTE(BM19,CHAR(160),""))),0),2)&gt;
ROUND(IFERROR(VALUE(TRIM(SUBSTITUTE(AD19,CHAR(160),""))),0),2),
"Attention : Le montant retenu HT est supérieur au montant HT présenté. Merci de revoir la ligne de dépense, plafonner son montant, ou justifier la reventillation HT / TVA.",
ROUND(IFERROR(VALUE(TRIM(SUBSTITUTE(BN19,CHAR(160),""))),0),2)&gt;
ROUND(IFERROR(VALUE(TRIM(SUBSTITUTE(AE19,CHAR(160),""))),0),2),
"Attention : Le montant TVA retenu est supérieur au montant TVA présenté. Merci de revoir la ligne de dépense, plafonner son montant, ou justifier la reventillation HT / TVA.",
ROUND(IFERROR(VALUE(TRIM(SUBSTITUTE(AF19,CHAR(160),""))),0),2)=0,
"",
ROUND(IFERROR(VALUE(TRIM(SUBSTITUTE(BO19,CHAR(160),""))),0),2)=
ROUND(IFERROR(VALUE(TRIM(SUBSTITUTE(AF19,CHAR(160),""))),0),2),
"OK",
ROUND(IFERROR(VALUE(TRIM(SUBSTITUTE(BO19,CHAR(160),""))),0),2)=0,
"Attention : Montant présenté entièrement rejeté.",
ROUND(IFERROR(VALUE(TRIM(SUBSTITUTE(BO19,CHAR(160),""))),0),2)&lt;
ROUND(IFERROR(VALUE(TRIM(SUBSTITUTE(AF19,CHAR(160),""))),0),2),
"Attention : Montant présenté partiellement rejeté.",
TRUE,""
))</f>
        <v/>
      </c>
      <c r="BS19" s="1202" t="str">
        <f t="shared" si="30"/>
        <v/>
      </c>
      <c r="BT19" s="1202" t="str">
        <f t="shared" si="31"/>
        <v/>
      </c>
      <c r="BU19" s="1216" t="str">
        <f t="shared" si="32"/>
        <v/>
      </c>
    </row>
    <row r="20" spans="2:73" ht="15.95" customHeight="1">
      <c r="B20" s="303">
        <v>11</v>
      </c>
      <c r="C20" s="11"/>
      <c r="D20" s="11"/>
      <c r="E20" s="22"/>
      <c r="F20" s="11"/>
      <c r="G20" s="11"/>
      <c r="H20" s="11"/>
      <c r="I20" s="22"/>
      <c r="J20" s="11"/>
      <c r="K20" s="2"/>
      <c r="L20" s="23"/>
      <c r="M20" s="11"/>
      <c r="N20" s="11"/>
      <c r="O20" s="11"/>
      <c r="P20" s="24"/>
      <c r="Q20" s="24"/>
      <c r="R20" s="300" t="str">
        <f t="shared" si="35"/>
        <v/>
      </c>
      <c r="S20" s="1205"/>
      <c r="T20" s="1205"/>
      <c r="U20" s="24"/>
      <c r="V20" s="24"/>
      <c r="W20" s="300" t="str">
        <f t="shared" si="33"/>
        <v/>
      </c>
      <c r="X20" s="1205"/>
      <c r="Y20" s="1205"/>
      <c r="Z20" s="24"/>
      <c r="AA20" s="24"/>
      <c r="AB20" s="300" t="str">
        <f t="shared" si="34"/>
        <v/>
      </c>
      <c r="AC20" s="11"/>
      <c r="AD20" s="1202" t="str" cm="1">
        <f t="array" ref="AD20">IF((_xlfn.IFS(TRIM(SUBSTITUTE(AC20,CHAR(160),""))="Devis 1",IFERROR(VALUE(TRIM(SUBSTITUTE(P20,CHAR(160),""))),0),TRIM(SUBSTITUTE(AC20,CHAR(160),""))="Devis 2",IFERROR(VALUE(TRIM(SUBSTITUTE(U20,CHAR(160),""))),0),TRIM(SUBSTITUTE(AC20,CHAR(160),""))="Devis 3",IFERROR(VALUE(TRIM(SUBSTITUTE(Z20,CHAR(160),""))),0),TRUE,0)*IFERROR(VALUE(TRIM(SUBSTITUTE(K20,CHAR(160),""))),0))=0,"",_xlfn.IFS(TRIM(SUBSTITUTE(AC20,CHAR(160),""))="Devis 1",IFERROR(VALUE(TRIM(SUBSTITUTE(P20,CHAR(160),""))),0),TRIM(SUBSTITUTE(AC20,CHAR(160),""))="Devis 2",IFERROR(VALUE(TRIM(SUBSTITUTE(U20,CHAR(160),""))),0),TRIM(SUBSTITUTE(AC20,CHAR(160),""))="Devis 3",IFERROR(VALUE(TRIM(SUBSTITUTE(Z20,CHAR(160),""))),0),TRUE,0)*IFERROR(VALUE(TRIM(SUBSTITUTE(K20,CHAR(160),""))),0))</f>
        <v/>
      </c>
      <c r="AE20" s="1202" t="str" cm="1">
        <f t="array" ref="AE20">IF((_xlfn.IFS(TRIM(SUBSTITUTE(AC20,CHAR(160),""))="Devis 1",IFERROR(VALUE(TRIM(SUBSTITUTE(Q20,CHAR(160),""))),0),TRIM(SUBSTITUTE(AC20,CHAR(160),""))="Devis 2",IFERROR(VALUE(TRIM(SUBSTITUTE(V20,CHAR(160),""))),0),TRIM(SUBSTITUTE(AC20,CHAR(160),""))="Devis 3",IFERROR(VALUE(TRIM(SUBSTITUTE(AA20,CHAR(160),""))),0),TRUE,0)*IFERROR(VALUE(TRIM(SUBSTITUTE(K20,CHAR(160),""))),0))=0,"",_xlfn.IFS(TRIM(SUBSTITUTE(AC20,CHAR(160),""))="Devis 1",IFERROR(VALUE(TRIM(SUBSTITUTE(Q20,CHAR(160),""))),0),TRIM(SUBSTITUTE(AD20,CHAR(160),""))="Devis 2",IFERROR(VALUE(TRIM(SUBSTITUTE(V20,CHAR(160),""))),0),TRIM(SUBSTITUTE(AD20,CHAR(160),""))="Devis 3",IFERROR(VALUE(TRIM(SUBSTITUTE(AA20,CHAR(160),""))),0),TRUE,0)*IFERROR(VALUE(TRIM(SUBSTITUTE(K20,CHAR(160),""))),0))</f>
        <v/>
      </c>
      <c r="AF20" s="1202" t="str" cm="1">
        <f t="array" ref="AF20">IF((_xlfn.IFS(TRIM(SUBSTITUTE(AC20,CHAR(160),""))="Devis 1",IFERROR(VALUE(TRIM(SUBSTITUTE(R20,CHAR(160),""))),0),TRIM(SUBSTITUTE(AC20,CHAR(160),""))="Devis 2",IFERROR(VALUE(TRIM(SUBSTITUTE(W20,CHAR(160),""))),0),TRIM(SUBSTITUTE(AC20,CHAR(160),""))="Devis 3",IFERROR(VALUE(TRIM(SUBSTITUTE(AB20,CHAR(160),""))),0),TRUE,0)*IFERROR(VALUE(TRIM(SUBSTITUTE(K20,CHAR(160),""))),0))=0,"",_xlfn.IFS(TRIM(SUBSTITUTE(AC20,CHAR(160),""))="Devis 1",IFERROR(VALUE(TRIM(SUBSTITUTE(R20,CHAR(160),""))),0),TRIM(SUBSTITUTE(AC20,CHAR(160),""))="Devis 2",IFERROR(VALUE(TRIM(SUBSTITUTE(W20,CHAR(160),""))),0),TRIM(SUBSTITUTE(AC20,CHAR(160),""))="Devis 3",IFERROR(VALUE(TRIM(SUBSTITUTE(AB20,CHAR(160),""))),0),TRUE,0)*IFERROR(VALUE(TRIM(SUBSTITUTE(K20,CHAR(160),""))),0))</f>
        <v/>
      </c>
      <c r="AG20" s="488"/>
      <c r="AH20" s="215" t="str">
        <f t="shared" si="0"/>
        <v/>
      </c>
      <c r="AI20" s="57" t="str">
        <f t="shared" si="1"/>
        <v/>
      </c>
      <c r="AJ20" s="57" t="str">
        <f t="shared" si="2"/>
        <v/>
      </c>
      <c r="AK20" s="57" t="str">
        <f t="shared" si="3"/>
        <v/>
      </c>
      <c r="AL20" s="57" t="str">
        <f t="shared" si="4"/>
        <v/>
      </c>
      <c r="AM20" s="57" t="str">
        <f t="shared" si="5"/>
        <v/>
      </c>
      <c r="AN20" s="57" t="str">
        <f t="shared" si="6"/>
        <v/>
      </c>
      <c r="AO20" s="57" t="str">
        <f t="shared" si="7"/>
        <v/>
      </c>
      <c r="AP20" s="57" t="str">
        <f t="shared" si="8"/>
        <v/>
      </c>
      <c r="AQ20" s="57" t="str">
        <f t="shared" si="9"/>
        <v/>
      </c>
      <c r="AR20" s="57" t="str">
        <f t="shared" si="10"/>
        <v/>
      </c>
      <c r="AS20" s="57" t="str">
        <f t="shared" si="11"/>
        <v/>
      </c>
      <c r="AT20" s="57" t="str">
        <f t="shared" si="12"/>
        <v/>
      </c>
      <c r="AU20" s="57" t="str">
        <f t="shared" si="13"/>
        <v/>
      </c>
      <c r="AV20" s="57" t="str">
        <f t="shared" si="14"/>
        <v/>
      </c>
      <c r="AW20" s="300" t="str">
        <f t="shared" si="15"/>
        <v/>
      </c>
      <c r="AX20" s="57" t="str">
        <f t="shared" si="16"/>
        <v/>
      </c>
      <c r="AY20" s="57" t="str">
        <f t="shared" si="17"/>
        <v/>
      </c>
      <c r="AZ20" s="57" t="str">
        <f t="shared" si="18"/>
        <v/>
      </c>
      <c r="BA20" s="57" t="str">
        <f t="shared" si="19"/>
        <v/>
      </c>
      <c r="BB20" s="300" t="str">
        <f t="shared" si="20"/>
        <v/>
      </c>
      <c r="BC20" s="57" t="str">
        <f t="shared" si="21"/>
        <v/>
      </c>
      <c r="BD20" s="57" t="str">
        <f t="shared" si="22"/>
        <v/>
      </c>
      <c r="BE20" s="57" t="str">
        <f t="shared" si="23"/>
        <v/>
      </c>
      <c r="BF20" s="57" t="str">
        <f t="shared" si="24"/>
        <v/>
      </c>
      <c r="BG20" s="300" t="str">
        <f t="shared" si="25"/>
        <v/>
      </c>
      <c r="BH20" s="1203" t="str">
        <f t="shared" si="26"/>
        <v/>
      </c>
      <c r="BI20" s="260"/>
      <c r="BJ20" s="300" t="str">
        <f t="shared" si="27"/>
        <v/>
      </c>
      <c r="BK20" s="300" t="str">
        <f t="shared" si="28"/>
        <v/>
      </c>
      <c r="BL20" s="300" t="str">
        <f t="shared" si="29"/>
        <v/>
      </c>
      <c r="BM20" s="1202" t="str" cm="1">
        <f t="array" ref="BM20">IF($AP20="","",IF((IFERROR(_xlfn.IFS($BH20="Devis 1",(IFERROR(VALUE(TRIM(SUBSTITUTE(AU20,CHAR(160),""))),0)),$BH20="Devis 2",(IFERROR(VALUE(TRIM(SUBSTITUTE(AZ20,CHAR(160),""))),0)),$BH20="Devis 3",(IFERROR(VALUE(TRIM(SUBSTITUTE(BE20,CHAR(160),""))),0))),0))*(IFERROR(VALUE(TRIM(SUBSTITUTE($AP20,CHAR(160),""))),0))=0,"",(IFERROR(_xlfn.IFS($BH20="Devis 1",(IFERROR(VALUE(TRIM(SUBSTITUTE(AU20,CHAR(160),""))),0)),$BH20="Devis 2",(IFERROR(VALUE(TRIM(SUBSTITUTE(AZ20,CHAR(160),""))),0)),$BH20="Devis 3",(IFERROR(VALUE(TRIM(SUBSTITUTE(BE20,CHAR(160),""))),0))),0))*(IFERROR(VALUE(TRIM(SUBSTITUTE($AP20,CHAR(160),""))),0))))</f>
        <v/>
      </c>
      <c r="BN20" s="1202" t="str" cm="1">
        <f t="array" ref="BN20">IF($AP20="","",IF((IFERROR(_xlfn.IFS(TRIM(SUBSTITUTE($BH20,CHAR(160),""))="Devis 1", IFERROR(VALUE(TRIM(SUBSTITUTE(AV20,CHAR(160),""))),0),TRIM(SUBSTITUTE($BH20,CHAR(160),""))="Devis 2", IFERROR(VALUE(TRIM(SUBSTITUTE(BA20,CHAR(160),""))),0),TRIM(SUBSTITUTE($BH20,CHAR(160),""))="Devis 3", IFERROR(VALUE(TRIM(SUBSTITUTE(BF20,CHAR(160),""))),0)),0) * IFERROR(VALUE(TRIM(SUBSTITUTE($AP20,CHAR(160),""))),0)) = 0,IF(BM20&lt;&gt;"",0,""),(IFERROR(_xlfn.IFS(TRIM(SUBSTITUTE($BH20,CHAR(160),""))="Devis 1", IFERROR(VALUE(TRIM(SUBSTITUTE(AV20,CHAR(160),""))),0),TRIM(SUBSTITUTE($BH20,CHAR(160),""))="Devis 2", IFERROR(VALUE(TRIM(SUBSTITUTE(BA20,CHAR(160),""))),0),TRIM(SUBSTITUTE($BH20,CHAR(160),""))="Devis 3", IFERROR(VALUE(TRIM(SUBSTITUTE(BF20,CHAR(160),""))),0)),0) * IFERROR(VALUE(TRIM(SUBSTITUTE($AP20,CHAR(160),""))),0))))</f>
        <v/>
      </c>
      <c r="BO20" s="1202" t="str" cm="1">
        <f t="array" ref="BO20">IF($AP20="","",IF(IFERROR(_xlfn.IFS($BH20="Devis 1",IFERROR(VALUE(TRIM(SUBSTITUTE(AW20,CHAR(160),""))),0),$BH20="Devis 2",IFERROR(VALUE(TRIM(SUBSTITUTE(BB20,CHAR(160),""))),0),$BH20="Devis 3",IFERROR(VALUE(TRIM(SUBSTITUTE(BG20,CHAR(160),""))),0)),0)*IFERROR(VALUE(TRIM(SUBSTITUTE($AP20,CHAR(160),""))),0)=0,"",IFERROR(_xlfn.IFS($BH20="Devis 1",IFERROR(VALUE(TRIM(SUBSTITUTE(AW20,CHAR(160),""))),0),$BH20="Devis 2",IFERROR(VALUE(TRIM(SUBSTITUTE(BB20,CHAR(160),""))),0),$BH20="Devis 3",IFERROR(VALUE(TRIM(SUBSTITUTE(BG20,CHAR(160),""))),0)),0)*IFERROR(VALUE(TRIM(SUBSTITUTE($AP20,CHAR(160),""))),0)))</f>
        <v/>
      </c>
      <c r="BP20" s="194"/>
      <c r="BQ20" s="219" t="str" cm="1">
        <f t="array" ref="BQ20">IF(OR(BO20="",BL20="",BM20="",BJ20="",BN20="",BK20=""),"",_xlfn.IFS(
ROUND(IFERROR(VALUE(TRIM(SUBSTITUTE(BO20,CHAR(160),""))),0),2)&gt;
ROUND(IFERROR(VALUE(TRIM(SUBSTITUTE(BL20,CHAR(160),""))),0),2),
"KO : Le montant retenu TTC est supérieur au montant raisonnable TTC. Merci de revoir la ligne de dépense ou plafonner son montant.",
ROUND(IFERROR(VALUE(TRIM(SUBSTITUTE(BM20,CHAR(160),""))),0),2)&gt;
ROUND(IFERROR(VALUE(TRIM(SUBSTITUTE(BJ20,CHAR(160),""))),0),2),
"Attention : Le montant retenu HT est supérieur au montant HT raisonnable. Merci de revoir la ligne de dépense, plafonner son montant, ou justifier la reventillation HT / TVA.",
ROUND(IFERROR(VALUE(TRIM(SUBSTITUTE(BN20,CHAR(160),""))),0),2)&gt;
ROUND(IFERROR(VALUE(TRIM(SUBSTITUTE(BK20,CHAR(160),""))),0),2),
"Attention : Le montant TVA retenu est supérieur au montant TVA raisonnable. Merci de revoir la ligne de dépense, plafonner son montant, ou justifier la reventillation HT / TVA.",
ROUND(IFERROR(VALUE(TRIM(SUBSTITUTE(BO20,CHAR(160),""))),0),2)&gt;
ROUND(IFERROR(VALUE(TRIM(SUBSTITUTE(MIN(R20,W20,AB20),CHAR(160),""))),0),2),
"Attention : Le devis retenu n'est pas le moins cher. Une justification de la part du porteur est nécessaire.",
ROUND(IFERROR(VALUE(TRIM(SUBSTITUTE(BO20,CHAR(160),""))),0),2)=0,
"Attention : montant présenté entièrement écarté",
ROUND(IFERROR(VALUE(TRIM(SUBSTITUTE(BL20,CHAR(160),""))),0),2)=
ROUND(IFERROR(VALUE(TRIM(SUBSTITUTE(BO20,CHAR(160),""))),0),2),
"OK",
ROUND(IFERROR(VALUE(TRIM(SUBSTITUTE(BL20,CHAR(160),""))),0),2)&gt;
ROUND(IFERROR(VALUE(TRIM(SUBSTITUTE(BO20,CHAR(160),""))),0),2),
" OK : Montant instruit inférieur au montant raisonnable.",
TRUE,""
))</f>
        <v/>
      </c>
      <c r="BR20" s="216" t="str" cm="1">
        <f t="array" ref="BR20">IF(OR(BO20="",AF20="",BM20="",AD20="",BN20="",AE20=""),"",_xlfn.IFS(
ROUND(IFERROR(VALUE(TRIM(SUBSTITUTE(BO20,CHAR(160),""))),0),2)&gt;
ROUND(IFERROR(VALUE(TRIM(SUBSTITUTE(AF20,CHAR(160),""))),0),2),
"KO : Le montant retenu TTC est supérieur au montant présenté TTC. Merci de revoir la ligne de dépense ou plafonner son montant.",
ROUND(IFERROR(VALUE(TRIM(SUBSTITUTE(BM20,CHAR(160),""))),0),2)&gt;
ROUND(IFERROR(VALUE(TRIM(SUBSTITUTE(AD20,CHAR(160),""))),0),2),
"Attention : Le montant retenu HT est supérieur au montant HT présenté. Merci de revoir la ligne de dépense, plafonner son montant, ou justifier la reventillation HT / TVA.",
ROUND(IFERROR(VALUE(TRIM(SUBSTITUTE(BN20,CHAR(160),""))),0),2)&gt;
ROUND(IFERROR(VALUE(TRIM(SUBSTITUTE(AE20,CHAR(160),""))),0),2),
"Attention : Le montant TVA retenu est supérieur au montant TVA présenté. Merci de revoir la ligne de dépense, plafonner son montant, ou justifier la reventillation HT / TVA.",
ROUND(IFERROR(VALUE(TRIM(SUBSTITUTE(AF20,CHAR(160),""))),0),2)=0,
"",
ROUND(IFERROR(VALUE(TRIM(SUBSTITUTE(BO20,CHAR(160),""))),0),2)=
ROUND(IFERROR(VALUE(TRIM(SUBSTITUTE(AF20,CHAR(160),""))),0),2),
"OK",
ROUND(IFERROR(VALUE(TRIM(SUBSTITUTE(BO20,CHAR(160),""))),0),2)=0,
"Attention : Montant présenté entièrement rejeté.",
ROUND(IFERROR(VALUE(TRIM(SUBSTITUTE(BO20,CHAR(160),""))),0),2)&lt;
ROUND(IFERROR(VALUE(TRIM(SUBSTITUTE(AF20,CHAR(160),""))),0),2),
"Attention : Montant présenté partiellement rejeté.",
TRUE,""
))</f>
        <v/>
      </c>
      <c r="BS20" s="1202" t="str">
        <f t="shared" si="30"/>
        <v/>
      </c>
      <c r="BT20" s="1202" t="str">
        <f t="shared" si="31"/>
        <v/>
      </c>
      <c r="BU20" s="1216" t="str">
        <f t="shared" si="32"/>
        <v/>
      </c>
    </row>
    <row r="21" spans="2:73" ht="15.95" customHeight="1">
      <c r="B21" s="303">
        <v>12</v>
      </c>
      <c r="C21" s="11"/>
      <c r="D21" s="11"/>
      <c r="E21" s="22"/>
      <c r="F21" s="11"/>
      <c r="G21" s="11"/>
      <c r="H21" s="11"/>
      <c r="I21" s="22"/>
      <c r="J21" s="11"/>
      <c r="K21" s="2"/>
      <c r="L21" s="23"/>
      <c r="M21" s="11"/>
      <c r="N21" s="11"/>
      <c r="O21" s="11"/>
      <c r="P21" s="24"/>
      <c r="Q21" s="24"/>
      <c r="R21" s="300" t="str">
        <f t="shared" si="35"/>
        <v/>
      </c>
      <c r="S21" s="1205"/>
      <c r="T21" s="1205"/>
      <c r="U21" s="24"/>
      <c r="V21" s="24"/>
      <c r="W21" s="300" t="str">
        <f t="shared" si="33"/>
        <v/>
      </c>
      <c r="X21" s="1205"/>
      <c r="Y21" s="1205"/>
      <c r="Z21" s="24"/>
      <c r="AA21" s="24"/>
      <c r="AB21" s="300" t="str">
        <f t="shared" si="34"/>
        <v/>
      </c>
      <c r="AC21" s="11"/>
      <c r="AD21" s="1202" t="str" cm="1">
        <f t="array" ref="AD21">IF((_xlfn.IFS(TRIM(SUBSTITUTE(AC21,CHAR(160),""))="Devis 1",IFERROR(VALUE(TRIM(SUBSTITUTE(P21,CHAR(160),""))),0),TRIM(SUBSTITUTE(AC21,CHAR(160),""))="Devis 2",IFERROR(VALUE(TRIM(SUBSTITUTE(U21,CHAR(160),""))),0),TRIM(SUBSTITUTE(AC21,CHAR(160),""))="Devis 3",IFERROR(VALUE(TRIM(SUBSTITUTE(Z21,CHAR(160),""))),0),TRUE,0)*IFERROR(VALUE(TRIM(SUBSTITUTE(K21,CHAR(160),""))),0))=0,"",_xlfn.IFS(TRIM(SUBSTITUTE(AC21,CHAR(160),""))="Devis 1",IFERROR(VALUE(TRIM(SUBSTITUTE(P21,CHAR(160),""))),0),TRIM(SUBSTITUTE(AC21,CHAR(160),""))="Devis 2",IFERROR(VALUE(TRIM(SUBSTITUTE(U21,CHAR(160),""))),0),TRIM(SUBSTITUTE(AC21,CHAR(160),""))="Devis 3",IFERROR(VALUE(TRIM(SUBSTITUTE(Z21,CHAR(160),""))),0),TRUE,0)*IFERROR(VALUE(TRIM(SUBSTITUTE(K21,CHAR(160),""))),0))</f>
        <v/>
      </c>
      <c r="AE21" s="1202" t="str" cm="1">
        <f t="array" ref="AE21">IF((_xlfn.IFS(TRIM(SUBSTITUTE(AC21,CHAR(160),""))="Devis 1",IFERROR(VALUE(TRIM(SUBSTITUTE(Q21,CHAR(160),""))),0),TRIM(SUBSTITUTE(AC21,CHAR(160),""))="Devis 2",IFERROR(VALUE(TRIM(SUBSTITUTE(V21,CHAR(160),""))),0),TRIM(SUBSTITUTE(AC21,CHAR(160),""))="Devis 3",IFERROR(VALUE(TRIM(SUBSTITUTE(AA21,CHAR(160),""))),0),TRUE,0)*IFERROR(VALUE(TRIM(SUBSTITUTE(K21,CHAR(160),""))),0))=0,"",_xlfn.IFS(TRIM(SUBSTITUTE(AC21,CHAR(160),""))="Devis 1",IFERROR(VALUE(TRIM(SUBSTITUTE(Q21,CHAR(160),""))),0),TRIM(SUBSTITUTE(AD21,CHAR(160),""))="Devis 2",IFERROR(VALUE(TRIM(SUBSTITUTE(V21,CHAR(160),""))),0),TRIM(SUBSTITUTE(AD21,CHAR(160),""))="Devis 3",IFERROR(VALUE(TRIM(SUBSTITUTE(AA21,CHAR(160),""))),0),TRUE,0)*IFERROR(VALUE(TRIM(SUBSTITUTE(K21,CHAR(160),""))),0))</f>
        <v/>
      </c>
      <c r="AF21" s="1202" t="str" cm="1">
        <f t="array" ref="AF21">IF((_xlfn.IFS(TRIM(SUBSTITUTE(AC21,CHAR(160),""))="Devis 1",IFERROR(VALUE(TRIM(SUBSTITUTE(R21,CHAR(160),""))),0),TRIM(SUBSTITUTE(AC21,CHAR(160),""))="Devis 2",IFERROR(VALUE(TRIM(SUBSTITUTE(W21,CHAR(160),""))),0),TRIM(SUBSTITUTE(AC21,CHAR(160),""))="Devis 3",IFERROR(VALUE(TRIM(SUBSTITUTE(AB21,CHAR(160),""))),0),TRUE,0)*IFERROR(VALUE(TRIM(SUBSTITUTE(K21,CHAR(160),""))),0))=0,"",_xlfn.IFS(TRIM(SUBSTITUTE(AC21,CHAR(160),""))="Devis 1",IFERROR(VALUE(TRIM(SUBSTITUTE(R21,CHAR(160),""))),0),TRIM(SUBSTITUTE(AC21,CHAR(160),""))="Devis 2",IFERROR(VALUE(TRIM(SUBSTITUTE(W21,CHAR(160),""))),0),TRIM(SUBSTITUTE(AC21,CHAR(160),""))="Devis 3",IFERROR(VALUE(TRIM(SUBSTITUTE(AB21,CHAR(160),""))),0),TRUE,0)*IFERROR(VALUE(TRIM(SUBSTITUTE(K21,CHAR(160),""))),0))</f>
        <v/>
      </c>
      <c r="AG21" s="488"/>
      <c r="AH21" s="215" t="str">
        <f t="shared" si="0"/>
        <v/>
      </c>
      <c r="AI21" s="57" t="str">
        <f t="shared" si="1"/>
        <v/>
      </c>
      <c r="AJ21" s="57" t="str">
        <f t="shared" si="2"/>
        <v/>
      </c>
      <c r="AK21" s="57" t="str">
        <f t="shared" si="3"/>
        <v/>
      </c>
      <c r="AL21" s="57" t="str">
        <f t="shared" si="4"/>
        <v/>
      </c>
      <c r="AM21" s="57" t="str">
        <f t="shared" si="5"/>
        <v/>
      </c>
      <c r="AN21" s="57" t="str">
        <f t="shared" si="6"/>
        <v/>
      </c>
      <c r="AO21" s="57" t="str">
        <f t="shared" si="7"/>
        <v/>
      </c>
      <c r="AP21" s="57" t="str">
        <f t="shared" si="8"/>
        <v/>
      </c>
      <c r="AQ21" s="57" t="str">
        <f t="shared" si="9"/>
        <v/>
      </c>
      <c r="AR21" s="57" t="str">
        <f t="shared" si="10"/>
        <v/>
      </c>
      <c r="AS21" s="57" t="str">
        <f t="shared" si="11"/>
        <v/>
      </c>
      <c r="AT21" s="57" t="str">
        <f t="shared" si="12"/>
        <v/>
      </c>
      <c r="AU21" s="57" t="str">
        <f t="shared" si="13"/>
        <v/>
      </c>
      <c r="AV21" s="57" t="str">
        <f t="shared" si="14"/>
        <v/>
      </c>
      <c r="AW21" s="300" t="str">
        <f t="shared" si="15"/>
        <v/>
      </c>
      <c r="AX21" s="57" t="str">
        <f t="shared" si="16"/>
        <v/>
      </c>
      <c r="AY21" s="57" t="str">
        <f t="shared" si="17"/>
        <v/>
      </c>
      <c r="AZ21" s="57" t="str">
        <f t="shared" si="18"/>
        <v/>
      </c>
      <c r="BA21" s="57" t="str">
        <f t="shared" si="19"/>
        <v/>
      </c>
      <c r="BB21" s="300" t="str">
        <f t="shared" si="20"/>
        <v/>
      </c>
      <c r="BC21" s="57" t="str">
        <f t="shared" si="21"/>
        <v/>
      </c>
      <c r="BD21" s="57" t="str">
        <f t="shared" si="22"/>
        <v/>
      </c>
      <c r="BE21" s="57" t="str">
        <f t="shared" si="23"/>
        <v/>
      </c>
      <c r="BF21" s="57" t="str">
        <f t="shared" si="24"/>
        <v/>
      </c>
      <c r="BG21" s="300" t="str">
        <f t="shared" si="25"/>
        <v/>
      </c>
      <c r="BH21" s="1203" t="str">
        <f t="shared" si="26"/>
        <v/>
      </c>
      <c r="BI21" s="260"/>
      <c r="BJ21" s="300" t="str">
        <f t="shared" si="27"/>
        <v/>
      </c>
      <c r="BK21" s="300" t="str">
        <f t="shared" si="28"/>
        <v/>
      </c>
      <c r="BL21" s="300" t="str">
        <f t="shared" si="29"/>
        <v/>
      </c>
      <c r="BM21" s="1202" t="str" cm="1">
        <f t="array" ref="BM21">IF($AP21="","",IF((IFERROR(_xlfn.IFS($BH21="Devis 1",(IFERROR(VALUE(TRIM(SUBSTITUTE(AU21,CHAR(160),""))),0)),$BH21="Devis 2",(IFERROR(VALUE(TRIM(SUBSTITUTE(AZ21,CHAR(160),""))),0)),$BH21="Devis 3",(IFERROR(VALUE(TRIM(SUBSTITUTE(BE21,CHAR(160),""))),0))),0))*(IFERROR(VALUE(TRIM(SUBSTITUTE($AP21,CHAR(160),""))),0))=0,"",(IFERROR(_xlfn.IFS($BH21="Devis 1",(IFERROR(VALUE(TRIM(SUBSTITUTE(AU21,CHAR(160),""))),0)),$BH21="Devis 2",(IFERROR(VALUE(TRIM(SUBSTITUTE(AZ21,CHAR(160),""))),0)),$BH21="Devis 3",(IFERROR(VALUE(TRIM(SUBSTITUTE(BE21,CHAR(160),""))),0))),0))*(IFERROR(VALUE(TRIM(SUBSTITUTE($AP21,CHAR(160),""))),0))))</f>
        <v/>
      </c>
      <c r="BN21" s="1202" t="str" cm="1">
        <f t="array" ref="BN21">IF($AP21="","",IF((IFERROR(_xlfn.IFS(TRIM(SUBSTITUTE($BH21,CHAR(160),""))="Devis 1", IFERROR(VALUE(TRIM(SUBSTITUTE(AV21,CHAR(160),""))),0),TRIM(SUBSTITUTE($BH21,CHAR(160),""))="Devis 2", IFERROR(VALUE(TRIM(SUBSTITUTE(BA21,CHAR(160),""))),0),TRIM(SUBSTITUTE($BH21,CHAR(160),""))="Devis 3", IFERROR(VALUE(TRIM(SUBSTITUTE(BF21,CHAR(160),""))),0)),0) * IFERROR(VALUE(TRIM(SUBSTITUTE($AP21,CHAR(160),""))),0)) = 0,IF(BM21&lt;&gt;"",0,""),(IFERROR(_xlfn.IFS(TRIM(SUBSTITUTE($BH21,CHAR(160),""))="Devis 1", IFERROR(VALUE(TRIM(SUBSTITUTE(AV21,CHAR(160),""))),0),TRIM(SUBSTITUTE($BH21,CHAR(160),""))="Devis 2", IFERROR(VALUE(TRIM(SUBSTITUTE(BA21,CHAR(160),""))),0),TRIM(SUBSTITUTE($BH21,CHAR(160),""))="Devis 3", IFERROR(VALUE(TRIM(SUBSTITUTE(BF21,CHAR(160),""))),0)),0) * IFERROR(VALUE(TRIM(SUBSTITUTE($AP21,CHAR(160),""))),0))))</f>
        <v/>
      </c>
      <c r="BO21" s="1202" t="str" cm="1">
        <f t="array" ref="BO21">IF($AP21="","",IF(IFERROR(_xlfn.IFS($BH21="Devis 1",IFERROR(VALUE(TRIM(SUBSTITUTE(AW21,CHAR(160),""))),0),$BH21="Devis 2",IFERROR(VALUE(TRIM(SUBSTITUTE(BB21,CHAR(160),""))),0),$BH21="Devis 3",IFERROR(VALUE(TRIM(SUBSTITUTE(BG21,CHAR(160),""))),0)),0)*IFERROR(VALUE(TRIM(SUBSTITUTE($AP21,CHAR(160),""))),0)=0,"",IFERROR(_xlfn.IFS($BH21="Devis 1",IFERROR(VALUE(TRIM(SUBSTITUTE(AW21,CHAR(160),""))),0),$BH21="Devis 2",IFERROR(VALUE(TRIM(SUBSTITUTE(BB21,CHAR(160),""))),0),$BH21="Devis 3",IFERROR(VALUE(TRIM(SUBSTITUTE(BG21,CHAR(160),""))),0)),0)*IFERROR(VALUE(TRIM(SUBSTITUTE($AP21,CHAR(160),""))),0)))</f>
        <v/>
      </c>
      <c r="BP21" s="194"/>
      <c r="BQ21" s="219" t="str" cm="1">
        <f t="array" ref="BQ21">IF(OR(BO21="",BL21="",BM21="",BJ21="",BN21="",BK21=""),"",_xlfn.IFS(
ROUND(IFERROR(VALUE(TRIM(SUBSTITUTE(BO21,CHAR(160),""))),0),2)&gt;
ROUND(IFERROR(VALUE(TRIM(SUBSTITUTE(BL21,CHAR(160),""))),0),2),
"KO : Le montant retenu TTC est supérieur au montant raisonnable TTC. Merci de revoir la ligne de dépense ou plafonner son montant.",
ROUND(IFERROR(VALUE(TRIM(SUBSTITUTE(BM21,CHAR(160),""))),0),2)&gt;
ROUND(IFERROR(VALUE(TRIM(SUBSTITUTE(BJ21,CHAR(160),""))),0),2),
"Attention : Le montant retenu HT est supérieur au montant HT raisonnable. Merci de revoir la ligne de dépense, plafonner son montant, ou justifier la reventillation HT / TVA.",
ROUND(IFERROR(VALUE(TRIM(SUBSTITUTE(BN21,CHAR(160),""))),0),2)&gt;
ROUND(IFERROR(VALUE(TRIM(SUBSTITUTE(BK21,CHAR(160),""))),0),2),
"Attention : Le montant TVA retenu est supérieur au montant TVA raisonnable. Merci de revoir la ligne de dépense, plafonner son montant, ou justifier la reventillation HT / TVA.",
ROUND(IFERROR(VALUE(TRIM(SUBSTITUTE(BO21,CHAR(160),""))),0),2)&gt;
ROUND(IFERROR(VALUE(TRIM(SUBSTITUTE(MIN(R21,W21,AB21),CHAR(160),""))),0),2),
"Attention : Le devis retenu n'est pas le moins cher. Une justification de la part du porteur est nécessaire.",
ROUND(IFERROR(VALUE(TRIM(SUBSTITUTE(BO21,CHAR(160),""))),0),2)=0,
"Attention : montant présenté entièrement écarté",
ROUND(IFERROR(VALUE(TRIM(SUBSTITUTE(BL21,CHAR(160),""))),0),2)=
ROUND(IFERROR(VALUE(TRIM(SUBSTITUTE(BO21,CHAR(160),""))),0),2),
"OK",
ROUND(IFERROR(VALUE(TRIM(SUBSTITUTE(BL21,CHAR(160),""))),0),2)&gt;
ROUND(IFERROR(VALUE(TRIM(SUBSTITUTE(BO21,CHAR(160),""))),0),2),
" OK : Montant instruit inférieur au montant raisonnable.",
TRUE,""
))</f>
        <v/>
      </c>
      <c r="BR21" s="216" t="str" cm="1">
        <f t="array" ref="BR21">IF(OR(BO21="",AF21="",BM21="",AD21="",BN21="",AE21=""),"",_xlfn.IFS(
ROUND(IFERROR(VALUE(TRIM(SUBSTITUTE(BO21,CHAR(160),""))),0),2)&gt;
ROUND(IFERROR(VALUE(TRIM(SUBSTITUTE(AF21,CHAR(160),""))),0),2),
"KO : Le montant retenu TTC est supérieur au montant présenté TTC. Merci de revoir la ligne de dépense ou plafonner son montant.",
ROUND(IFERROR(VALUE(TRIM(SUBSTITUTE(BM21,CHAR(160),""))),0),2)&gt;
ROUND(IFERROR(VALUE(TRIM(SUBSTITUTE(AD21,CHAR(160),""))),0),2),
"Attention : Le montant retenu HT est supérieur au montant HT présenté. Merci de revoir la ligne de dépense, plafonner son montant, ou justifier la reventillation HT / TVA.",
ROUND(IFERROR(VALUE(TRIM(SUBSTITUTE(BN21,CHAR(160),""))),0),2)&gt;
ROUND(IFERROR(VALUE(TRIM(SUBSTITUTE(AE21,CHAR(160),""))),0),2),
"Attention : Le montant TVA retenu est supérieur au montant TVA présenté. Merci de revoir la ligne de dépense, plafonner son montant, ou justifier la reventillation HT / TVA.",
ROUND(IFERROR(VALUE(TRIM(SUBSTITUTE(AF21,CHAR(160),""))),0),2)=0,
"",
ROUND(IFERROR(VALUE(TRIM(SUBSTITUTE(BO21,CHAR(160),""))),0),2)=
ROUND(IFERROR(VALUE(TRIM(SUBSTITUTE(AF21,CHAR(160),""))),0),2),
"OK",
ROUND(IFERROR(VALUE(TRIM(SUBSTITUTE(BO21,CHAR(160),""))),0),2)=0,
"Attention : Montant présenté entièrement rejeté.",
ROUND(IFERROR(VALUE(TRIM(SUBSTITUTE(BO21,CHAR(160),""))),0),2)&lt;
ROUND(IFERROR(VALUE(TRIM(SUBSTITUTE(AF21,CHAR(160),""))),0),2),
"Attention : Montant présenté partiellement rejeté.",
TRUE,""
))</f>
        <v/>
      </c>
      <c r="BS21" s="1202" t="str">
        <f t="shared" si="30"/>
        <v/>
      </c>
      <c r="BT21" s="1202" t="str">
        <f t="shared" si="31"/>
        <v/>
      </c>
      <c r="BU21" s="1216" t="str">
        <f t="shared" si="32"/>
        <v/>
      </c>
    </row>
    <row r="22" spans="2:73" ht="15.95" customHeight="1">
      <c r="B22" s="303">
        <v>13</v>
      </c>
      <c r="C22" s="11"/>
      <c r="D22" s="11"/>
      <c r="E22" s="22"/>
      <c r="F22" s="11"/>
      <c r="G22" s="11"/>
      <c r="H22" s="11"/>
      <c r="I22" s="22"/>
      <c r="J22" s="11"/>
      <c r="K22" s="2"/>
      <c r="L22" s="23"/>
      <c r="M22" s="11"/>
      <c r="N22" s="11"/>
      <c r="O22" s="11"/>
      <c r="P22" s="24"/>
      <c r="Q22" s="24"/>
      <c r="R22" s="300" t="str">
        <f t="shared" si="35"/>
        <v/>
      </c>
      <c r="S22" s="1205"/>
      <c r="T22" s="1205"/>
      <c r="U22" s="24"/>
      <c r="V22" s="24"/>
      <c r="W22" s="300" t="str">
        <f t="shared" si="33"/>
        <v/>
      </c>
      <c r="X22" s="1205"/>
      <c r="Y22" s="1205"/>
      <c r="Z22" s="24"/>
      <c r="AA22" s="24"/>
      <c r="AB22" s="300" t="str">
        <f t="shared" si="34"/>
        <v/>
      </c>
      <c r="AC22" s="11"/>
      <c r="AD22" s="1202" t="str" cm="1">
        <f t="array" ref="AD22">IF((_xlfn.IFS(TRIM(SUBSTITUTE(AC22,CHAR(160),""))="Devis 1",IFERROR(VALUE(TRIM(SUBSTITUTE(P22,CHAR(160),""))),0),TRIM(SUBSTITUTE(AC22,CHAR(160),""))="Devis 2",IFERROR(VALUE(TRIM(SUBSTITUTE(U22,CHAR(160),""))),0),TRIM(SUBSTITUTE(AC22,CHAR(160),""))="Devis 3",IFERROR(VALUE(TRIM(SUBSTITUTE(Z22,CHAR(160),""))),0),TRUE,0)*IFERROR(VALUE(TRIM(SUBSTITUTE(K22,CHAR(160),""))),0))=0,"",_xlfn.IFS(TRIM(SUBSTITUTE(AC22,CHAR(160),""))="Devis 1",IFERROR(VALUE(TRIM(SUBSTITUTE(P22,CHAR(160),""))),0),TRIM(SUBSTITUTE(AC22,CHAR(160),""))="Devis 2",IFERROR(VALUE(TRIM(SUBSTITUTE(U22,CHAR(160),""))),0),TRIM(SUBSTITUTE(AC22,CHAR(160),""))="Devis 3",IFERROR(VALUE(TRIM(SUBSTITUTE(Z22,CHAR(160),""))),0),TRUE,0)*IFERROR(VALUE(TRIM(SUBSTITUTE(K22,CHAR(160),""))),0))</f>
        <v/>
      </c>
      <c r="AE22" s="1202" t="str" cm="1">
        <f t="array" ref="AE22">IF((_xlfn.IFS(TRIM(SUBSTITUTE(AC22,CHAR(160),""))="Devis 1",IFERROR(VALUE(TRIM(SUBSTITUTE(Q22,CHAR(160),""))),0),TRIM(SUBSTITUTE(AC22,CHAR(160),""))="Devis 2",IFERROR(VALUE(TRIM(SUBSTITUTE(V22,CHAR(160),""))),0),TRIM(SUBSTITUTE(AC22,CHAR(160),""))="Devis 3",IFERROR(VALUE(TRIM(SUBSTITUTE(AA22,CHAR(160),""))),0),TRUE,0)*IFERROR(VALUE(TRIM(SUBSTITUTE(K22,CHAR(160),""))),0))=0,"",_xlfn.IFS(TRIM(SUBSTITUTE(AC22,CHAR(160),""))="Devis 1",IFERROR(VALUE(TRIM(SUBSTITUTE(Q22,CHAR(160),""))),0),TRIM(SUBSTITUTE(AD22,CHAR(160),""))="Devis 2",IFERROR(VALUE(TRIM(SUBSTITUTE(V22,CHAR(160),""))),0),TRIM(SUBSTITUTE(AD22,CHAR(160),""))="Devis 3",IFERROR(VALUE(TRIM(SUBSTITUTE(AA22,CHAR(160),""))),0),TRUE,0)*IFERROR(VALUE(TRIM(SUBSTITUTE(K22,CHAR(160),""))),0))</f>
        <v/>
      </c>
      <c r="AF22" s="1202" t="str" cm="1">
        <f t="array" ref="AF22">IF((_xlfn.IFS(TRIM(SUBSTITUTE(AC22,CHAR(160),""))="Devis 1",IFERROR(VALUE(TRIM(SUBSTITUTE(R22,CHAR(160),""))),0),TRIM(SUBSTITUTE(AC22,CHAR(160),""))="Devis 2",IFERROR(VALUE(TRIM(SUBSTITUTE(W22,CHAR(160),""))),0),TRIM(SUBSTITUTE(AC22,CHAR(160),""))="Devis 3",IFERROR(VALUE(TRIM(SUBSTITUTE(AB22,CHAR(160),""))),0),TRUE,0)*IFERROR(VALUE(TRIM(SUBSTITUTE(K22,CHAR(160),""))),0))=0,"",_xlfn.IFS(TRIM(SUBSTITUTE(AC22,CHAR(160),""))="Devis 1",IFERROR(VALUE(TRIM(SUBSTITUTE(R22,CHAR(160),""))),0),TRIM(SUBSTITUTE(AC22,CHAR(160),""))="Devis 2",IFERROR(VALUE(TRIM(SUBSTITUTE(W22,CHAR(160),""))),0),TRIM(SUBSTITUTE(AC22,CHAR(160),""))="Devis 3",IFERROR(VALUE(TRIM(SUBSTITUTE(AB22,CHAR(160),""))),0),TRUE,0)*IFERROR(VALUE(TRIM(SUBSTITUTE(K22,CHAR(160),""))),0))</f>
        <v/>
      </c>
      <c r="AG22" s="488"/>
      <c r="AH22" s="215" t="str">
        <f t="shared" si="0"/>
        <v/>
      </c>
      <c r="AI22" s="57" t="str">
        <f t="shared" si="1"/>
        <v/>
      </c>
      <c r="AJ22" s="57" t="str">
        <f t="shared" si="2"/>
        <v/>
      </c>
      <c r="AK22" s="57" t="str">
        <f t="shared" si="3"/>
        <v/>
      </c>
      <c r="AL22" s="57" t="str">
        <f t="shared" si="4"/>
        <v/>
      </c>
      <c r="AM22" s="57" t="str">
        <f t="shared" si="5"/>
        <v/>
      </c>
      <c r="AN22" s="57" t="str">
        <f t="shared" si="6"/>
        <v/>
      </c>
      <c r="AO22" s="57" t="str">
        <f t="shared" si="7"/>
        <v/>
      </c>
      <c r="AP22" s="57" t="str">
        <f t="shared" si="8"/>
        <v/>
      </c>
      <c r="AQ22" s="57" t="str">
        <f t="shared" si="9"/>
        <v/>
      </c>
      <c r="AR22" s="57" t="str">
        <f t="shared" si="10"/>
        <v/>
      </c>
      <c r="AS22" s="57" t="str">
        <f t="shared" si="11"/>
        <v/>
      </c>
      <c r="AT22" s="57" t="str">
        <f t="shared" si="12"/>
        <v/>
      </c>
      <c r="AU22" s="57" t="str">
        <f t="shared" si="13"/>
        <v/>
      </c>
      <c r="AV22" s="57" t="str">
        <f t="shared" si="14"/>
        <v/>
      </c>
      <c r="AW22" s="300" t="str">
        <f t="shared" si="15"/>
        <v/>
      </c>
      <c r="AX22" s="57" t="str">
        <f t="shared" si="16"/>
        <v/>
      </c>
      <c r="AY22" s="57" t="str">
        <f t="shared" si="17"/>
        <v/>
      </c>
      <c r="AZ22" s="57" t="str">
        <f t="shared" si="18"/>
        <v/>
      </c>
      <c r="BA22" s="57" t="str">
        <f t="shared" si="19"/>
        <v/>
      </c>
      <c r="BB22" s="300" t="str">
        <f t="shared" si="20"/>
        <v/>
      </c>
      <c r="BC22" s="57" t="str">
        <f t="shared" si="21"/>
        <v/>
      </c>
      <c r="BD22" s="57" t="str">
        <f t="shared" si="22"/>
        <v/>
      </c>
      <c r="BE22" s="57" t="str">
        <f t="shared" si="23"/>
        <v/>
      </c>
      <c r="BF22" s="57" t="str">
        <f t="shared" si="24"/>
        <v/>
      </c>
      <c r="BG22" s="300" t="str">
        <f t="shared" si="25"/>
        <v/>
      </c>
      <c r="BH22" s="1203" t="str">
        <f t="shared" si="26"/>
        <v/>
      </c>
      <c r="BI22" s="260"/>
      <c r="BJ22" s="300" t="str">
        <f t="shared" si="27"/>
        <v/>
      </c>
      <c r="BK22" s="300" t="str">
        <f t="shared" si="28"/>
        <v/>
      </c>
      <c r="BL22" s="300" t="str">
        <f t="shared" si="29"/>
        <v/>
      </c>
      <c r="BM22" s="1202" t="str" cm="1">
        <f t="array" ref="BM22">IF($AP22="","",IF((IFERROR(_xlfn.IFS($BH22="Devis 1",(IFERROR(VALUE(TRIM(SUBSTITUTE(AU22,CHAR(160),""))),0)),$BH22="Devis 2",(IFERROR(VALUE(TRIM(SUBSTITUTE(AZ22,CHAR(160),""))),0)),$BH22="Devis 3",(IFERROR(VALUE(TRIM(SUBSTITUTE(BE22,CHAR(160),""))),0))),0))*(IFERROR(VALUE(TRIM(SUBSTITUTE($AP22,CHAR(160),""))),0))=0,"",(IFERROR(_xlfn.IFS($BH22="Devis 1",(IFERROR(VALUE(TRIM(SUBSTITUTE(AU22,CHAR(160),""))),0)),$BH22="Devis 2",(IFERROR(VALUE(TRIM(SUBSTITUTE(AZ22,CHAR(160),""))),0)),$BH22="Devis 3",(IFERROR(VALUE(TRIM(SUBSTITUTE(BE22,CHAR(160),""))),0))),0))*(IFERROR(VALUE(TRIM(SUBSTITUTE($AP22,CHAR(160),""))),0))))</f>
        <v/>
      </c>
      <c r="BN22" s="1202" t="str" cm="1">
        <f t="array" ref="BN22">IF($AP22="","",IF((IFERROR(_xlfn.IFS(TRIM(SUBSTITUTE($BH22,CHAR(160),""))="Devis 1", IFERROR(VALUE(TRIM(SUBSTITUTE(AV22,CHAR(160),""))),0),TRIM(SUBSTITUTE($BH22,CHAR(160),""))="Devis 2", IFERROR(VALUE(TRIM(SUBSTITUTE(BA22,CHAR(160),""))),0),TRIM(SUBSTITUTE($BH22,CHAR(160),""))="Devis 3", IFERROR(VALUE(TRIM(SUBSTITUTE(BF22,CHAR(160),""))),0)),0) * IFERROR(VALUE(TRIM(SUBSTITUTE($AP22,CHAR(160),""))),0)) = 0,IF(BM22&lt;&gt;"",0,""),(IFERROR(_xlfn.IFS(TRIM(SUBSTITUTE($BH22,CHAR(160),""))="Devis 1", IFERROR(VALUE(TRIM(SUBSTITUTE(AV22,CHAR(160),""))),0),TRIM(SUBSTITUTE($BH22,CHAR(160),""))="Devis 2", IFERROR(VALUE(TRIM(SUBSTITUTE(BA22,CHAR(160),""))),0),TRIM(SUBSTITUTE($BH22,CHAR(160),""))="Devis 3", IFERROR(VALUE(TRIM(SUBSTITUTE(BF22,CHAR(160),""))),0)),0) * IFERROR(VALUE(TRIM(SUBSTITUTE($AP22,CHAR(160),""))),0))))</f>
        <v/>
      </c>
      <c r="BO22" s="1202" t="str" cm="1">
        <f t="array" ref="BO22">IF($AP22="","",IF(IFERROR(_xlfn.IFS($BH22="Devis 1",IFERROR(VALUE(TRIM(SUBSTITUTE(AW22,CHAR(160),""))),0),$BH22="Devis 2",IFERROR(VALUE(TRIM(SUBSTITUTE(BB22,CHAR(160),""))),0),$BH22="Devis 3",IFERROR(VALUE(TRIM(SUBSTITUTE(BG22,CHAR(160),""))),0)),0)*IFERROR(VALUE(TRIM(SUBSTITUTE($AP22,CHAR(160),""))),0)=0,"",IFERROR(_xlfn.IFS($BH22="Devis 1",IFERROR(VALUE(TRIM(SUBSTITUTE(AW22,CHAR(160),""))),0),$BH22="Devis 2",IFERROR(VALUE(TRIM(SUBSTITUTE(BB22,CHAR(160),""))),0),$BH22="Devis 3",IFERROR(VALUE(TRIM(SUBSTITUTE(BG22,CHAR(160),""))),0)),0)*IFERROR(VALUE(TRIM(SUBSTITUTE($AP22,CHAR(160),""))),0)))</f>
        <v/>
      </c>
      <c r="BP22" s="194"/>
      <c r="BQ22" s="219" t="str" cm="1">
        <f t="array" ref="BQ22">IF(OR(BO22="",BL22="",BM22="",BJ22="",BN22="",BK22=""),"",_xlfn.IFS(
ROUND(IFERROR(VALUE(TRIM(SUBSTITUTE(BO22,CHAR(160),""))),0),2)&gt;
ROUND(IFERROR(VALUE(TRIM(SUBSTITUTE(BL22,CHAR(160),""))),0),2),
"KO : Le montant retenu TTC est supérieur au montant raisonnable TTC. Merci de revoir la ligne de dépense ou plafonner son montant.",
ROUND(IFERROR(VALUE(TRIM(SUBSTITUTE(BM22,CHAR(160),""))),0),2)&gt;
ROUND(IFERROR(VALUE(TRIM(SUBSTITUTE(BJ22,CHAR(160),""))),0),2),
"Attention : Le montant retenu HT est supérieur au montant HT raisonnable. Merci de revoir la ligne de dépense, plafonner son montant, ou justifier la reventillation HT / TVA.",
ROUND(IFERROR(VALUE(TRIM(SUBSTITUTE(BN22,CHAR(160),""))),0),2)&gt;
ROUND(IFERROR(VALUE(TRIM(SUBSTITUTE(BK22,CHAR(160),""))),0),2),
"Attention : Le montant TVA retenu est supérieur au montant TVA raisonnable. Merci de revoir la ligne de dépense, plafonner son montant, ou justifier la reventillation HT / TVA.",
ROUND(IFERROR(VALUE(TRIM(SUBSTITUTE(BO22,CHAR(160),""))),0),2)&gt;
ROUND(IFERROR(VALUE(TRIM(SUBSTITUTE(MIN(R22,W22,AB22),CHAR(160),""))),0),2),
"Attention : Le devis retenu n'est pas le moins cher. Une justification de la part du porteur est nécessaire.",
ROUND(IFERROR(VALUE(TRIM(SUBSTITUTE(BO22,CHAR(160),""))),0),2)=0,
"Attention : montant présenté entièrement écarté",
ROUND(IFERROR(VALUE(TRIM(SUBSTITUTE(BL22,CHAR(160),""))),0),2)=
ROUND(IFERROR(VALUE(TRIM(SUBSTITUTE(BO22,CHAR(160),""))),0),2),
"OK",
ROUND(IFERROR(VALUE(TRIM(SUBSTITUTE(BL22,CHAR(160),""))),0),2)&gt;
ROUND(IFERROR(VALUE(TRIM(SUBSTITUTE(BO22,CHAR(160),""))),0),2),
" OK : Montant instruit inférieur au montant raisonnable.",
TRUE,""
))</f>
        <v/>
      </c>
      <c r="BR22" s="216" t="str" cm="1">
        <f t="array" ref="BR22">IF(OR(BO22="",AF22="",BM22="",AD22="",BN22="",AE22=""),"",_xlfn.IFS(
ROUND(IFERROR(VALUE(TRIM(SUBSTITUTE(BO22,CHAR(160),""))),0),2)&gt;
ROUND(IFERROR(VALUE(TRIM(SUBSTITUTE(AF22,CHAR(160),""))),0),2),
"KO : Le montant retenu TTC est supérieur au montant présenté TTC. Merci de revoir la ligne de dépense ou plafonner son montant.",
ROUND(IFERROR(VALUE(TRIM(SUBSTITUTE(BM22,CHAR(160),""))),0),2)&gt;
ROUND(IFERROR(VALUE(TRIM(SUBSTITUTE(AD22,CHAR(160),""))),0),2),
"Attention : Le montant retenu HT est supérieur au montant HT présenté. Merci de revoir la ligne de dépense, plafonner son montant, ou justifier la reventillation HT / TVA.",
ROUND(IFERROR(VALUE(TRIM(SUBSTITUTE(BN22,CHAR(160),""))),0),2)&gt;
ROUND(IFERROR(VALUE(TRIM(SUBSTITUTE(AE22,CHAR(160),""))),0),2),
"Attention : Le montant TVA retenu est supérieur au montant TVA présenté. Merci de revoir la ligne de dépense, plafonner son montant, ou justifier la reventillation HT / TVA.",
ROUND(IFERROR(VALUE(TRIM(SUBSTITUTE(AF22,CHAR(160),""))),0),2)=0,
"",
ROUND(IFERROR(VALUE(TRIM(SUBSTITUTE(BO22,CHAR(160),""))),0),2)=
ROUND(IFERROR(VALUE(TRIM(SUBSTITUTE(AF22,CHAR(160),""))),0),2),
"OK",
ROUND(IFERROR(VALUE(TRIM(SUBSTITUTE(BO22,CHAR(160),""))),0),2)=0,
"Attention : Montant présenté entièrement rejeté.",
ROUND(IFERROR(VALUE(TRIM(SUBSTITUTE(BO22,CHAR(160),""))),0),2)&lt;
ROUND(IFERROR(VALUE(TRIM(SUBSTITUTE(AF22,CHAR(160),""))),0),2),
"Attention : Montant présenté partiellement rejeté.",
TRUE,""
))</f>
        <v/>
      </c>
      <c r="BS22" s="1202" t="str">
        <f t="shared" si="30"/>
        <v/>
      </c>
      <c r="BT22" s="1202" t="str">
        <f t="shared" si="31"/>
        <v/>
      </c>
      <c r="BU22" s="1216" t="str">
        <f t="shared" si="32"/>
        <v/>
      </c>
    </row>
    <row r="23" spans="2:73" ht="15.95" customHeight="1">
      <c r="B23" s="303">
        <v>14</v>
      </c>
      <c r="C23" s="11"/>
      <c r="D23" s="11"/>
      <c r="E23" s="22"/>
      <c r="F23" s="11"/>
      <c r="G23" s="11"/>
      <c r="H23" s="11"/>
      <c r="I23" s="22"/>
      <c r="J23" s="11"/>
      <c r="K23" s="2"/>
      <c r="L23" s="23"/>
      <c r="M23" s="11"/>
      <c r="N23" s="11"/>
      <c r="O23" s="11"/>
      <c r="P23" s="24"/>
      <c r="Q23" s="24"/>
      <c r="R23" s="300" t="str">
        <f t="shared" si="35"/>
        <v/>
      </c>
      <c r="S23" s="1205"/>
      <c r="T23" s="1205"/>
      <c r="U23" s="24"/>
      <c r="V23" s="24"/>
      <c r="W23" s="300" t="str">
        <f t="shared" si="33"/>
        <v/>
      </c>
      <c r="X23" s="1205"/>
      <c r="Y23" s="1205"/>
      <c r="Z23" s="24"/>
      <c r="AA23" s="24"/>
      <c r="AB23" s="300" t="str">
        <f t="shared" si="34"/>
        <v/>
      </c>
      <c r="AC23" s="11"/>
      <c r="AD23" s="1202" t="str" cm="1">
        <f t="array" ref="AD23">IF((_xlfn.IFS(TRIM(SUBSTITUTE(AC23,CHAR(160),""))="Devis 1",IFERROR(VALUE(TRIM(SUBSTITUTE(P23,CHAR(160),""))),0),TRIM(SUBSTITUTE(AC23,CHAR(160),""))="Devis 2",IFERROR(VALUE(TRIM(SUBSTITUTE(U23,CHAR(160),""))),0),TRIM(SUBSTITUTE(AC23,CHAR(160),""))="Devis 3",IFERROR(VALUE(TRIM(SUBSTITUTE(Z23,CHAR(160),""))),0),TRUE,0)*IFERROR(VALUE(TRIM(SUBSTITUTE(K23,CHAR(160),""))),0))=0,"",_xlfn.IFS(TRIM(SUBSTITUTE(AC23,CHAR(160),""))="Devis 1",IFERROR(VALUE(TRIM(SUBSTITUTE(P23,CHAR(160),""))),0),TRIM(SUBSTITUTE(AC23,CHAR(160),""))="Devis 2",IFERROR(VALUE(TRIM(SUBSTITUTE(U23,CHAR(160),""))),0),TRIM(SUBSTITUTE(AC23,CHAR(160),""))="Devis 3",IFERROR(VALUE(TRIM(SUBSTITUTE(Z23,CHAR(160),""))),0),TRUE,0)*IFERROR(VALUE(TRIM(SUBSTITUTE(K23,CHAR(160),""))),0))</f>
        <v/>
      </c>
      <c r="AE23" s="1202" t="str" cm="1">
        <f t="array" ref="AE23">IF((_xlfn.IFS(TRIM(SUBSTITUTE(AC23,CHAR(160),""))="Devis 1",IFERROR(VALUE(TRIM(SUBSTITUTE(Q23,CHAR(160),""))),0),TRIM(SUBSTITUTE(AC23,CHAR(160),""))="Devis 2",IFERROR(VALUE(TRIM(SUBSTITUTE(V23,CHAR(160),""))),0),TRIM(SUBSTITUTE(AC23,CHAR(160),""))="Devis 3",IFERROR(VALUE(TRIM(SUBSTITUTE(AA23,CHAR(160),""))),0),TRUE,0)*IFERROR(VALUE(TRIM(SUBSTITUTE(K23,CHAR(160),""))),0))=0,"",_xlfn.IFS(TRIM(SUBSTITUTE(AC23,CHAR(160),""))="Devis 1",IFERROR(VALUE(TRIM(SUBSTITUTE(Q23,CHAR(160),""))),0),TRIM(SUBSTITUTE(AD23,CHAR(160),""))="Devis 2",IFERROR(VALUE(TRIM(SUBSTITUTE(V23,CHAR(160),""))),0),TRIM(SUBSTITUTE(AD23,CHAR(160),""))="Devis 3",IFERROR(VALUE(TRIM(SUBSTITUTE(AA23,CHAR(160),""))),0),TRUE,0)*IFERROR(VALUE(TRIM(SUBSTITUTE(K23,CHAR(160),""))),0))</f>
        <v/>
      </c>
      <c r="AF23" s="1202" t="str" cm="1">
        <f t="array" ref="AF23">IF((_xlfn.IFS(TRIM(SUBSTITUTE(AC23,CHAR(160),""))="Devis 1",IFERROR(VALUE(TRIM(SUBSTITUTE(R23,CHAR(160),""))),0),TRIM(SUBSTITUTE(AC23,CHAR(160),""))="Devis 2",IFERROR(VALUE(TRIM(SUBSTITUTE(W23,CHAR(160),""))),0),TRIM(SUBSTITUTE(AC23,CHAR(160),""))="Devis 3",IFERROR(VALUE(TRIM(SUBSTITUTE(AB23,CHAR(160),""))),0),TRUE,0)*IFERROR(VALUE(TRIM(SUBSTITUTE(K23,CHAR(160),""))),0))=0,"",_xlfn.IFS(TRIM(SUBSTITUTE(AC23,CHAR(160),""))="Devis 1",IFERROR(VALUE(TRIM(SUBSTITUTE(R23,CHAR(160),""))),0),TRIM(SUBSTITUTE(AC23,CHAR(160),""))="Devis 2",IFERROR(VALUE(TRIM(SUBSTITUTE(W23,CHAR(160),""))),0),TRIM(SUBSTITUTE(AC23,CHAR(160),""))="Devis 3",IFERROR(VALUE(TRIM(SUBSTITUTE(AB23,CHAR(160),""))),0),TRUE,0)*IFERROR(VALUE(TRIM(SUBSTITUTE(K23,CHAR(160),""))),0))</f>
        <v/>
      </c>
      <c r="AG23" s="488"/>
      <c r="AH23" s="215" t="str">
        <f t="shared" si="0"/>
        <v/>
      </c>
      <c r="AI23" s="57" t="str">
        <f t="shared" si="1"/>
        <v/>
      </c>
      <c r="AJ23" s="57" t="str">
        <f t="shared" si="2"/>
        <v/>
      </c>
      <c r="AK23" s="57" t="str">
        <f t="shared" si="3"/>
        <v/>
      </c>
      <c r="AL23" s="57" t="str">
        <f t="shared" si="4"/>
        <v/>
      </c>
      <c r="AM23" s="57" t="str">
        <f t="shared" si="5"/>
        <v/>
      </c>
      <c r="AN23" s="57" t="str">
        <f t="shared" si="6"/>
        <v/>
      </c>
      <c r="AO23" s="57" t="str">
        <f t="shared" si="7"/>
        <v/>
      </c>
      <c r="AP23" s="57" t="str">
        <f t="shared" si="8"/>
        <v/>
      </c>
      <c r="AQ23" s="57" t="str">
        <f t="shared" si="9"/>
        <v/>
      </c>
      <c r="AR23" s="57" t="str">
        <f t="shared" si="10"/>
        <v/>
      </c>
      <c r="AS23" s="57" t="str">
        <f t="shared" si="11"/>
        <v/>
      </c>
      <c r="AT23" s="57" t="str">
        <f t="shared" si="12"/>
        <v/>
      </c>
      <c r="AU23" s="57" t="str">
        <f t="shared" si="13"/>
        <v/>
      </c>
      <c r="AV23" s="57" t="str">
        <f t="shared" si="14"/>
        <v/>
      </c>
      <c r="AW23" s="300" t="str">
        <f t="shared" si="15"/>
        <v/>
      </c>
      <c r="AX23" s="57" t="str">
        <f t="shared" si="16"/>
        <v/>
      </c>
      <c r="AY23" s="57" t="str">
        <f t="shared" si="17"/>
        <v/>
      </c>
      <c r="AZ23" s="57" t="str">
        <f t="shared" si="18"/>
        <v/>
      </c>
      <c r="BA23" s="57" t="str">
        <f t="shared" si="19"/>
        <v/>
      </c>
      <c r="BB23" s="300" t="str">
        <f t="shared" si="20"/>
        <v/>
      </c>
      <c r="BC23" s="57" t="str">
        <f t="shared" si="21"/>
        <v/>
      </c>
      <c r="BD23" s="57" t="str">
        <f t="shared" si="22"/>
        <v/>
      </c>
      <c r="BE23" s="57" t="str">
        <f t="shared" si="23"/>
        <v/>
      </c>
      <c r="BF23" s="57" t="str">
        <f t="shared" si="24"/>
        <v/>
      </c>
      <c r="BG23" s="300" t="str">
        <f t="shared" si="25"/>
        <v/>
      </c>
      <c r="BH23" s="1203" t="str">
        <f t="shared" si="26"/>
        <v/>
      </c>
      <c r="BI23" s="260"/>
      <c r="BJ23" s="300" t="str">
        <f t="shared" si="27"/>
        <v/>
      </c>
      <c r="BK23" s="300" t="str">
        <f t="shared" si="28"/>
        <v/>
      </c>
      <c r="BL23" s="300" t="str">
        <f t="shared" si="29"/>
        <v/>
      </c>
      <c r="BM23" s="1202" t="str" cm="1">
        <f t="array" ref="BM23">IF($AP23="","",IF((IFERROR(_xlfn.IFS($BH23="Devis 1",(IFERROR(VALUE(TRIM(SUBSTITUTE(AU23,CHAR(160),""))),0)),$BH23="Devis 2",(IFERROR(VALUE(TRIM(SUBSTITUTE(AZ23,CHAR(160),""))),0)),$BH23="Devis 3",(IFERROR(VALUE(TRIM(SUBSTITUTE(BE23,CHAR(160),""))),0))),0))*(IFERROR(VALUE(TRIM(SUBSTITUTE($AP23,CHAR(160),""))),0))=0,"",(IFERROR(_xlfn.IFS($BH23="Devis 1",(IFERROR(VALUE(TRIM(SUBSTITUTE(AU23,CHAR(160),""))),0)),$BH23="Devis 2",(IFERROR(VALUE(TRIM(SUBSTITUTE(AZ23,CHAR(160),""))),0)),$BH23="Devis 3",(IFERROR(VALUE(TRIM(SUBSTITUTE(BE23,CHAR(160),""))),0))),0))*(IFERROR(VALUE(TRIM(SUBSTITUTE($AP23,CHAR(160),""))),0))))</f>
        <v/>
      </c>
      <c r="BN23" s="1202" t="str" cm="1">
        <f t="array" ref="BN23">IF($AP23="","",IF((IFERROR(_xlfn.IFS(TRIM(SUBSTITUTE($BH23,CHAR(160),""))="Devis 1", IFERROR(VALUE(TRIM(SUBSTITUTE(AV23,CHAR(160),""))),0),TRIM(SUBSTITUTE($BH23,CHAR(160),""))="Devis 2", IFERROR(VALUE(TRIM(SUBSTITUTE(BA23,CHAR(160),""))),0),TRIM(SUBSTITUTE($BH23,CHAR(160),""))="Devis 3", IFERROR(VALUE(TRIM(SUBSTITUTE(BF23,CHAR(160),""))),0)),0) * IFERROR(VALUE(TRIM(SUBSTITUTE($AP23,CHAR(160),""))),0)) = 0,IF(BM23&lt;&gt;"",0,""),(IFERROR(_xlfn.IFS(TRIM(SUBSTITUTE($BH23,CHAR(160),""))="Devis 1", IFERROR(VALUE(TRIM(SUBSTITUTE(AV23,CHAR(160),""))),0),TRIM(SUBSTITUTE($BH23,CHAR(160),""))="Devis 2", IFERROR(VALUE(TRIM(SUBSTITUTE(BA23,CHAR(160),""))),0),TRIM(SUBSTITUTE($BH23,CHAR(160),""))="Devis 3", IFERROR(VALUE(TRIM(SUBSTITUTE(BF23,CHAR(160),""))),0)),0) * IFERROR(VALUE(TRIM(SUBSTITUTE($AP23,CHAR(160),""))),0))))</f>
        <v/>
      </c>
      <c r="BO23" s="1202" t="str" cm="1">
        <f t="array" ref="BO23">IF($AP23="","",IF(IFERROR(_xlfn.IFS($BH23="Devis 1",IFERROR(VALUE(TRIM(SUBSTITUTE(AW23,CHAR(160),""))),0),$BH23="Devis 2",IFERROR(VALUE(TRIM(SUBSTITUTE(BB23,CHAR(160),""))),0),$BH23="Devis 3",IFERROR(VALUE(TRIM(SUBSTITUTE(BG23,CHAR(160),""))),0)),0)*IFERROR(VALUE(TRIM(SUBSTITUTE($AP23,CHAR(160),""))),0)=0,"",IFERROR(_xlfn.IFS($BH23="Devis 1",IFERROR(VALUE(TRIM(SUBSTITUTE(AW23,CHAR(160),""))),0),$BH23="Devis 2",IFERROR(VALUE(TRIM(SUBSTITUTE(BB23,CHAR(160),""))),0),$BH23="Devis 3",IFERROR(VALUE(TRIM(SUBSTITUTE(BG23,CHAR(160),""))),0)),0)*IFERROR(VALUE(TRIM(SUBSTITUTE($AP23,CHAR(160),""))),0)))</f>
        <v/>
      </c>
      <c r="BP23" s="194"/>
      <c r="BQ23" s="219" t="str" cm="1">
        <f t="array" ref="BQ23">IF(OR(BO23="",BL23="",BM23="",BJ23="",BN23="",BK23=""),"",_xlfn.IFS(
ROUND(IFERROR(VALUE(TRIM(SUBSTITUTE(BO23,CHAR(160),""))),0),2)&gt;
ROUND(IFERROR(VALUE(TRIM(SUBSTITUTE(BL23,CHAR(160),""))),0),2),
"KO : Le montant retenu TTC est supérieur au montant raisonnable TTC. Merci de revoir la ligne de dépense ou plafonner son montant.",
ROUND(IFERROR(VALUE(TRIM(SUBSTITUTE(BM23,CHAR(160),""))),0),2)&gt;
ROUND(IFERROR(VALUE(TRIM(SUBSTITUTE(BJ23,CHAR(160),""))),0),2),
"Attention : Le montant retenu HT est supérieur au montant HT raisonnable. Merci de revoir la ligne de dépense, plafonner son montant, ou justifier la reventillation HT / TVA.",
ROUND(IFERROR(VALUE(TRIM(SUBSTITUTE(BN23,CHAR(160),""))),0),2)&gt;
ROUND(IFERROR(VALUE(TRIM(SUBSTITUTE(BK23,CHAR(160),""))),0),2),
"Attention : Le montant TVA retenu est supérieur au montant TVA raisonnable. Merci de revoir la ligne de dépense, plafonner son montant, ou justifier la reventillation HT / TVA.",
ROUND(IFERROR(VALUE(TRIM(SUBSTITUTE(BO23,CHAR(160),""))),0),2)&gt;
ROUND(IFERROR(VALUE(TRIM(SUBSTITUTE(MIN(R23,W23,AB23),CHAR(160),""))),0),2),
"Attention : Le devis retenu n'est pas le moins cher. Une justification de la part du porteur est nécessaire.",
ROUND(IFERROR(VALUE(TRIM(SUBSTITUTE(BO23,CHAR(160),""))),0),2)=0,
"Attention : montant présenté entièrement écarté",
ROUND(IFERROR(VALUE(TRIM(SUBSTITUTE(BL23,CHAR(160),""))),0),2)=
ROUND(IFERROR(VALUE(TRIM(SUBSTITUTE(BO23,CHAR(160),""))),0),2),
"OK",
ROUND(IFERROR(VALUE(TRIM(SUBSTITUTE(BL23,CHAR(160),""))),0),2)&gt;
ROUND(IFERROR(VALUE(TRIM(SUBSTITUTE(BO23,CHAR(160),""))),0),2),
" OK : Montant instruit inférieur au montant raisonnable.",
TRUE,""
))</f>
        <v/>
      </c>
      <c r="BR23" s="216" t="str" cm="1">
        <f t="array" ref="BR23">IF(OR(BO23="",AF23="",BM23="",AD23="",BN23="",AE23=""),"",_xlfn.IFS(
ROUND(IFERROR(VALUE(TRIM(SUBSTITUTE(BO23,CHAR(160),""))),0),2)&gt;
ROUND(IFERROR(VALUE(TRIM(SUBSTITUTE(AF23,CHAR(160),""))),0),2),
"KO : Le montant retenu TTC est supérieur au montant présenté TTC. Merci de revoir la ligne de dépense ou plafonner son montant.",
ROUND(IFERROR(VALUE(TRIM(SUBSTITUTE(BM23,CHAR(160),""))),0),2)&gt;
ROUND(IFERROR(VALUE(TRIM(SUBSTITUTE(AD23,CHAR(160),""))),0),2),
"Attention : Le montant retenu HT est supérieur au montant HT présenté. Merci de revoir la ligne de dépense, plafonner son montant, ou justifier la reventillation HT / TVA.",
ROUND(IFERROR(VALUE(TRIM(SUBSTITUTE(BN23,CHAR(160),""))),0),2)&gt;
ROUND(IFERROR(VALUE(TRIM(SUBSTITUTE(AE23,CHAR(160),""))),0),2),
"Attention : Le montant TVA retenu est supérieur au montant TVA présenté. Merci de revoir la ligne de dépense, plafonner son montant, ou justifier la reventillation HT / TVA.",
ROUND(IFERROR(VALUE(TRIM(SUBSTITUTE(AF23,CHAR(160),""))),0),2)=0,
"",
ROUND(IFERROR(VALUE(TRIM(SUBSTITUTE(BO23,CHAR(160),""))),0),2)=
ROUND(IFERROR(VALUE(TRIM(SUBSTITUTE(AF23,CHAR(160),""))),0),2),
"OK",
ROUND(IFERROR(VALUE(TRIM(SUBSTITUTE(BO23,CHAR(160),""))),0),2)=0,
"Attention : Montant présenté entièrement rejeté.",
ROUND(IFERROR(VALUE(TRIM(SUBSTITUTE(BO23,CHAR(160),""))),0),2)&lt;
ROUND(IFERROR(VALUE(TRIM(SUBSTITUTE(AF23,CHAR(160),""))),0),2),
"Attention : Montant présenté partiellement rejeté.",
TRUE,""
))</f>
        <v/>
      </c>
      <c r="BS23" s="1202" t="str">
        <f t="shared" si="30"/>
        <v/>
      </c>
      <c r="BT23" s="1202" t="str">
        <f t="shared" si="31"/>
        <v/>
      </c>
      <c r="BU23" s="1216" t="str">
        <f t="shared" si="32"/>
        <v/>
      </c>
    </row>
    <row r="24" spans="2:73" ht="15.95" customHeight="1">
      <c r="B24" s="303">
        <v>15</v>
      </c>
      <c r="C24" s="11"/>
      <c r="D24" s="11"/>
      <c r="E24" s="22"/>
      <c r="F24" s="11"/>
      <c r="G24" s="11"/>
      <c r="H24" s="11"/>
      <c r="I24" s="22"/>
      <c r="J24" s="11"/>
      <c r="K24" s="2"/>
      <c r="L24" s="23"/>
      <c r="M24" s="11"/>
      <c r="N24" s="11"/>
      <c r="O24" s="11"/>
      <c r="P24" s="24"/>
      <c r="Q24" s="24"/>
      <c r="R24" s="300" t="str">
        <f t="shared" si="35"/>
        <v/>
      </c>
      <c r="S24" s="1205"/>
      <c r="T24" s="1205"/>
      <c r="U24" s="24"/>
      <c r="V24" s="24"/>
      <c r="W24" s="300" t="str">
        <f t="shared" si="33"/>
        <v/>
      </c>
      <c r="X24" s="1205"/>
      <c r="Y24" s="1205"/>
      <c r="Z24" s="24"/>
      <c r="AA24" s="24"/>
      <c r="AB24" s="300" t="str">
        <f t="shared" si="34"/>
        <v/>
      </c>
      <c r="AC24" s="11"/>
      <c r="AD24" s="1202" t="str" cm="1">
        <f t="array" ref="AD24">IF((_xlfn.IFS(TRIM(SUBSTITUTE(AC24,CHAR(160),""))="Devis 1",IFERROR(VALUE(TRIM(SUBSTITUTE(P24,CHAR(160),""))),0),TRIM(SUBSTITUTE(AC24,CHAR(160),""))="Devis 2",IFERROR(VALUE(TRIM(SUBSTITUTE(U24,CHAR(160),""))),0),TRIM(SUBSTITUTE(AC24,CHAR(160),""))="Devis 3",IFERROR(VALUE(TRIM(SUBSTITUTE(Z24,CHAR(160),""))),0),TRUE,0)*IFERROR(VALUE(TRIM(SUBSTITUTE(K24,CHAR(160),""))),0))=0,"",_xlfn.IFS(TRIM(SUBSTITUTE(AC24,CHAR(160),""))="Devis 1",IFERROR(VALUE(TRIM(SUBSTITUTE(P24,CHAR(160),""))),0),TRIM(SUBSTITUTE(AC24,CHAR(160),""))="Devis 2",IFERROR(VALUE(TRIM(SUBSTITUTE(U24,CHAR(160),""))),0),TRIM(SUBSTITUTE(AC24,CHAR(160),""))="Devis 3",IFERROR(VALUE(TRIM(SUBSTITUTE(Z24,CHAR(160),""))),0),TRUE,0)*IFERROR(VALUE(TRIM(SUBSTITUTE(K24,CHAR(160),""))),0))</f>
        <v/>
      </c>
      <c r="AE24" s="1202" t="str" cm="1">
        <f t="array" ref="AE24">IF((_xlfn.IFS(TRIM(SUBSTITUTE(AC24,CHAR(160),""))="Devis 1",IFERROR(VALUE(TRIM(SUBSTITUTE(Q24,CHAR(160),""))),0),TRIM(SUBSTITUTE(AC24,CHAR(160),""))="Devis 2",IFERROR(VALUE(TRIM(SUBSTITUTE(V24,CHAR(160),""))),0),TRIM(SUBSTITUTE(AC24,CHAR(160),""))="Devis 3",IFERROR(VALUE(TRIM(SUBSTITUTE(AA24,CHAR(160),""))),0),TRUE,0)*IFERROR(VALUE(TRIM(SUBSTITUTE(K24,CHAR(160),""))),0))=0,"",_xlfn.IFS(TRIM(SUBSTITUTE(AC24,CHAR(160),""))="Devis 1",IFERROR(VALUE(TRIM(SUBSTITUTE(Q24,CHAR(160),""))),0),TRIM(SUBSTITUTE(AD24,CHAR(160),""))="Devis 2",IFERROR(VALUE(TRIM(SUBSTITUTE(V24,CHAR(160),""))),0),TRIM(SUBSTITUTE(AD24,CHAR(160),""))="Devis 3",IFERROR(VALUE(TRIM(SUBSTITUTE(AA24,CHAR(160),""))),0),TRUE,0)*IFERROR(VALUE(TRIM(SUBSTITUTE(K24,CHAR(160),""))),0))</f>
        <v/>
      </c>
      <c r="AF24" s="1202" t="str" cm="1">
        <f t="array" ref="AF24">IF((_xlfn.IFS(TRIM(SUBSTITUTE(AC24,CHAR(160),""))="Devis 1",IFERROR(VALUE(TRIM(SUBSTITUTE(R24,CHAR(160),""))),0),TRIM(SUBSTITUTE(AC24,CHAR(160),""))="Devis 2",IFERROR(VALUE(TRIM(SUBSTITUTE(W24,CHAR(160),""))),0),TRIM(SUBSTITUTE(AC24,CHAR(160),""))="Devis 3",IFERROR(VALUE(TRIM(SUBSTITUTE(AB24,CHAR(160),""))),0),TRUE,0)*IFERROR(VALUE(TRIM(SUBSTITUTE(K24,CHAR(160),""))),0))=0,"",_xlfn.IFS(TRIM(SUBSTITUTE(AC24,CHAR(160),""))="Devis 1",IFERROR(VALUE(TRIM(SUBSTITUTE(R24,CHAR(160),""))),0),TRIM(SUBSTITUTE(AC24,CHAR(160),""))="Devis 2",IFERROR(VALUE(TRIM(SUBSTITUTE(W24,CHAR(160),""))),0),TRIM(SUBSTITUTE(AC24,CHAR(160),""))="Devis 3",IFERROR(VALUE(TRIM(SUBSTITUTE(AB24,CHAR(160),""))),0),TRUE,0)*IFERROR(VALUE(TRIM(SUBSTITUTE(K24,CHAR(160),""))),0))</f>
        <v/>
      </c>
      <c r="AG24" s="488"/>
      <c r="AH24" s="215" t="str">
        <f t="shared" si="0"/>
        <v/>
      </c>
      <c r="AI24" s="57" t="str">
        <f t="shared" si="1"/>
        <v/>
      </c>
      <c r="AJ24" s="57" t="str">
        <f t="shared" si="2"/>
        <v/>
      </c>
      <c r="AK24" s="57" t="str">
        <f t="shared" si="3"/>
        <v/>
      </c>
      <c r="AL24" s="57" t="str">
        <f t="shared" si="4"/>
        <v/>
      </c>
      <c r="AM24" s="57" t="str">
        <f t="shared" si="5"/>
        <v/>
      </c>
      <c r="AN24" s="57" t="str">
        <f t="shared" si="6"/>
        <v/>
      </c>
      <c r="AO24" s="57" t="str">
        <f t="shared" si="7"/>
        <v/>
      </c>
      <c r="AP24" s="57" t="str">
        <f t="shared" si="8"/>
        <v/>
      </c>
      <c r="AQ24" s="57" t="str">
        <f t="shared" si="9"/>
        <v/>
      </c>
      <c r="AR24" s="57" t="str">
        <f t="shared" si="10"/>
        <v/>
      </c>
      <c r="AS24" s="57" t="str">
        <f t="shared" si="11"/>
        <v/>
      </c>
      <c r="AT24" s="57" t="str">
        <f t="shared" si="12"/>
        <v/>
      </c>
      <c r="AU24" s="57" t="str">
        <f t="shared" si="13"/>
        <v/>
      </c>
      <c r="AV24" s="57" t="str">
        <f t="shared" si="14"/>
        <v/>
      </c>
      <c r="AW24" s="300" t="str">
        <f t="shared" si="15"/>
        <v/>
      </c>
      <c r="AX24" s="57" t="str">
        <f t="shared" si="16"/>
        <v/>
      </c>
      <c r="AY24" s="57" t="str">
        <f t="shared" si="17"/>
        <v/>
      </c>
      <c r="AZ24" s="57" t="str">
        <f t="shared" si="18"/>
        <v/>
      </c>
      <c r="BA24" s="57" t="str">
        <f t="shared" si="19"/>
        <v/>
      </c>
      <c r="BB24" s="300" t="str">
        <f t="shared" si="20"/>
        <v/>
      </c>
      <c r="BC24" s="57" t="str">
        <f t="shared" si="21"/>
        <v/>
      </c>
      <c r="BD24" s="57" t="str">
        <f t="shared" si="22"/>
        <v/>
      </c>
      <c r="BE24" s="57" t="str">
        <f t="shared" si="23"/>
        <v/>
      </c>
      <c r="BF24" s="57" t="str">
        <f t="shared" si="24"/>
        <v/>
      </c>
      <c r="BG24" s="300" t="str">
        <f t="shared" si="25"/>
        <v/>
      </c>
      <c r="BH24" s="1203" t="str">
        <f t="shared" si="26"/>
        <v/>
      </c>
      <c r="BI24" s="260"/>
      <c r="BJ24" s="300" t="str">
        <f t="shared" si="27"/>
        <v/>
      </c>
      <c r="BK24" s="300" t="str">
        <f t="shared" si="28"/>
        <v/>
      </c>
      <c r="BL24" s="300" t="str">
        <f t="shared" si="29"/>
        <v/>
      </c>
      <c r="BM24" s="1202" t="str" cm="1">
        <f t="array" ref="BM24">IF($AP24="","",IF((IFERROR(_xlfn.IFS($BH24="Devis 1",(IFERROR(VALUE(TRIM(SUBSTITUTE(AU24,CHAR(160),""))),0)),$BH24="Devis 2",(IFERROR(VALUE(TRIM(SUBSTITUTE(AZ24,CHAR(160),""))),0)),$BH24="Devis 3",(IFERROR(VALUE(TRIM(SUBSTITUTE(BE24,CHAR(160),""))),0))),0))*(IFERROR(VALUE(TRIM(SUBSTITUTE($AP24,CHAR(160),""))),0))=0,"",(IFERROR(_xlfn.IFS($BH24="Devis 1",(IFERROR(VALUE(TRIM(SUBSTITUTE(AU24,CHAR(160),""))),0)),$BH24="Devis 2",(IFERROR(VALUE(TRIM(SUBSTITUTE(AZ24,CHAR(160),""))),0)),$BH24="Devis 3",(IFERROR(VALUE(TRIM(SUBSTITUTE(BE24,CHAR(160),""))),0))),0))*(IFERROR(VALUE(TRIM(SUBSTITUTE($AP24,CHAR(160),""))),0))))</f>
        <v/>
      </c>
      <c r="BN24" s="1202" t="str" cm="1">
        <f t="array" ref="BN24">IF($AP24="","",IF((IFERROR(_xlfn.IFS(TRIM(SUBSTITUTE($BH24,CHAR(160),""))="Devis 1", IFERROR(VALUE(TRIM(SUBSTITUTE(AV24,CHAR(160),""))),0),TRIM(SUBSTITUTE($BH24,CHAR(160),""))="Devis 2", IFERROR(VALUE(TRIM(SUBSTITUTE(BA24,CHAR(160),""))),0),TRIM(SUBSTITUTE($BH24,CHAR(160),""))="Devis 3", IFERROR(VALUE(TRIM(SUBSTITUTE(BF24,CHAR(160),""))),0)),0) * IFERROR(VALUE(TRIM(SUBSTITUTE($AP24,CHAR(160),""))),0)) = 0,IF(BM24&lt;&gt;"",0,""),(IFERROR(_xlfn.IFS(TRIM(SUBSTITUTE($BH24,CHAR(160),""))="Devis 1", IFERROR(VALUE(TRIM(SUBSTITUTE(AV24,CHAR(160),""))),0),TRIM(SUBSTITUTE($BH24,CHAR(160),""))="Devis 2", IFERROR(VALUE(TRIM(SUBSTITUTE(BA24,CHAR(160),""))),0),TRIM(SUBSTITUTE($BH24,CHAR(160),""))="Devis 3", IFERROR(VALUE(TRIM(SUBSTITUTE(BF24,CHAR(160),""))),0)),0) * IFERROR(VALUE(TRIM(SUBSTITUTE($AP24,CHAR(160),""))),0))))</f>
        <v/>
      </c>
      <c r="BO24" s="1202" t="str" cm="1">
        <f t="array" ref="BO24">IF($AP24="","",IF(IFERROR(_xlfn.IFS($BH24="Devis 1",IFERROR(VALUE(TRIM(SUBSTITUTE(AW24,CHAR(160),""))),0),$BH24="Devis 2",IFERROR(VALUE(TRIM(SUBSTITUTE(BB24,CHAR(160),""))),0),$BH24="Devis 3",IFERROR(VALUE(TRIM(SUBSTITUTE(BG24,CHAR(160),""))),0)),0)*IFERROR(VALUE(TRIM(SUBSTITUTE($AP24,CHAR(160),""))),0)=0,"",IFERROR(_xlfn.IFS($BH24="Devis 1",IFERROR(VALUE(TRIM(SUBSTITUTE(AW24,CHAR(160),""))),0),$BH24="Devis 2",IFERROR(VALUE(TRIM(SUBSTITUTE(BB24,CHAR(160),""))),0),$BH24="Devis 3",IFERROR(VALUE(TRIM(SUBSTITUTE(BG24,CHAR(160),""))),0)),0)*IFERROR(VALUE(TRIM(SUBSTITUTE($AP24,CHAR(160),""))),0)))</f>
        <v/>
      </c>
      <c r="BP24" s="194"/>
      <c r="BQ24" s="219" t="str" cm="1">
        <f t="array" ref="BQ24">IF(OR(BO24="",BL24="",BM24="",BJ24="",BN24="",BK24=""),"",_xlfn.IFS(
ROUND(IFERROR(VALUE(TRIM(SUBSTITUTE(BO24,CHAR(160),""))),0),2)&gt;
ROUND(IFERROR(VALUE(TRIM(SUBSTITUTE(BL24,CHAR(160),""))),0),2),
"KO : Le montant retenu TTC est supérieur au montant raisonnable TTC. Merci de revoir la ligne de dépense ou plafonner son montant.",
ROUND(IFERROR(VALUE(TRIM(SUBSTITUTE(BM24,CHAR(160),""))),0),2)&gt;
ROUND(IFERROR(VALUE(TRIM(SUBSTITUTE(BJ24,CHAR(160),""))),0),2),
"Attention : Le montant retenu HT est supérieur au montant HT raisonnable. Merci de revoir la ligne de dépense, plafonner son montant, ou justifier la reventillation HT / TVA.",
ROUND(IFERROR(VALUE(TRIM(SUBSTITUTE(BN24,CHAR(160),""))),0),2)&gt;
ROUND(IFERROR(VALUE(TRIM(SUBSTITUTE(BK24,CHAR(160),""))),0),2),
"Attention : Le montant TVA retenu est supérieur au montant TVA raisonnable. Merci de revoir la ligne de dépense, plafonner son montant, ou justifier la reventillation HT / TVA.",
ROUND(IFERROR(VALUE(TRIM(SUBSTITUTE(BO24,CHAR(160),""))),0),2)&gt;
ROUND(IFERROR(VALUE(TRIM(SUBSTITUTE(MIN(R24,W24,AB24),CHAR(160),""))),0),2),
"Attention : Le devis retenu n'est pas le moins cher. Une justification de la part du porteur est nécessaire.",
ROUND(IFERROR(VALUE(TRIM(SUBSTITUTE(BO24,CHAR(160),""))),0),2)=0,
"Attention : montant présenté entièrement écarté",
ROUND(IFERROR(VALUE(TRIM(SUBSTITUTE(BL24,CHAR(160),""))),0),2)=
ROUND(IFERROR(VALUE(TRIM(SUBSTITUTE(BO24,CHAR(160),""))),0),2),
"OK",
ROUND(IFERROR(VALUE(TRIM(SUBSTITUTE(BL24,CHAR(160),""))),0),2)&gt;
ROUND(IFERROR(VALUE(TRIM(SUBSTITUTE(BO24,CHAR(160),""))),0),2),
" OK : Montant instruit inférieur au montant raisonnable.",
TRUE,""
))</f>
        <v/>
      </c>
      <c r="BR24" s="216" t="str" cm="1">
        <f t="array" ref="BR24">IF(OR(BO24="",AF24="",BM24="",AD24="",BN24="",AE24=""),"",_xlfn.IFS(
ROUND(IFERROR(VALUE(TRIM(SUBSTITUTE(BO24,CHAR(160),""))),0),2)&gt;
ROUND(IFERROR(VALUE(TRIM(SUBSTITUTE(AF24,CHAR(160),""))),0),2),
"KO : Le montant retenu TTC est supérieur au montant présenté TTC. Merci de revoir la ligne de dépense ou plafonner son montant.",
ROUND(IFERROR(VALUE(TRIM(SUBSTITUTE(BM24,CHAR(160),""))),0),2)&gt;
ROUND(IFERROR(VALUE(TRIM(SUBSTITUTE(AD24,CHAR(160),""))),0),2),
"Attention : Le montant retenu HT est supérieur au montant HT présenté. Merci de revoir la ligne de dépense, plafonner son montant, ou justifier la reventillation HT / TVA.",
ROUND(IFERROR(VALUE(TRIM(SUBSTITUTE(BN24,CHAR(160),""))),0),2)&gt;
ROUND(IFERROR(VALUE(TRIM(SUBSTITUTE(AE24,CHAR(160),""))),0),2),
"Attention : Le montant TVA retenu est supérieur au montant TVA présenté. Merci de revoir la ligne de dépense, plafonner son montant, ou justifier la reventillation HT / TVA.",
ROUND(IFERROR(VALUE(TRIM(SUBSTITUTE(AF24,CHAR(160),""))),0),2)=0,
"",
ROUND(IFERROR(VALUE(TRIM(SUBSTITUTE(BO24,CHAR(160),""))),0),2)=
ROUND(IFERROR(VALUE(TRIM(SUBSTITUTE(AF24,CHAR(160),""))),0),2),
"OK",
ROUND(IFERROR(VALUE(TRIM(SUBSTITUTE(BO24,CHAR(160),""))),0),2)=0,
"Attention : Montant présenté entièrement rejeté.",
ROUND(IFERROR(VALUE(TRIM(SUBSTITUTE(BO24,CHAR(160),""))),0),2)&lt;
ROUND(IFERROR(VALUE(TRIM(SUBSTITUTE(AF24,CHAR(160),""))),0),2),
"Attention : Montant présenté partiellement rejeté.",
TRUE,""
))</f>
        <v/>
      </c>
      <c r="BS24" s="1202" t="str">
        <f t="shared" si="30"/>
        <v/>
      </c>
      <c r="BT24" s="1202" t="str">
        <f t="shared" si="31"/>
        <v/>
      </c>
      <c r="BU24" s="1216" t="str">
        <f t="shared" si="32"/>
        <v/>
      </c>
    </row>
    <row r="25" spans="2:73" ht="15.95" customHeight="1">
      <c r="B25" s="303">
        <v>16</v>
      </c>
      <c r="C25" s="11"/>
      <c r="D25" s="11"/>
      <c r="E25" s="22"/>
      <c r="F25" s="11"/>
      <c r="G25" s="11"/>
      <c r="H25" s="11"/>
      <c r="I25" s="22"/>
      <c r="J25" s="11"/>
      <c r="K25" s="2"/>
      <c r="L25" s="23"/>
      <c r="M25" s="11"/>
      <c r="N25" s="11"/>
      <c r="O25" s="11"/>
      <c r="P25" s="24"/>
      <c r="Q25" s="24"/>
      <c r="R25" s="300" t="str">
        <f t="shared" si="35"/>
        <v/>
      </c>
      <c r="S25" s="1205"/>
      <c r="T25" s="1205"/>
      <c r="U25" s="24"/>
      <c r="V25" s="24"/>
      <c r="W25" s="300" t="str">
        <f t="shared" si="33"/>
        <v/>
      </c>
      <c r="X25" s="1205"/>
      <c r="Y25" s="1205"/>
      <c r="Z25" s="24"/>
      <c r="AA25" s="24"/>
      <c r="AB25" s="300" t="str">
        <f t="shared" si="34"/>
        <v/>
      </c>
      <c r="AC25" s="11"/>
      <c r="AD25" s="1202" t="str" cm="1">
        <f t="array" ref="AD25">IF((_xlfn.IFS(TRIM(SUBSTITUTE(AC25,CHAR(160),""))="Devis 1",IFERROR(VALUE(TRIM(SUBSTITUTE(P25,CHAR(160),""))),0),TRIM(SUBSTITUTE(AC25,CHAR(160),""))="Devis 2",IFERROR(VALUE(TRIM(SUBSTITUTE(U25,CHAR(160),""))),0),TRIM(SUBSTITUTE(AC25,CHAR(160),""))="Devis 3",IFERROR(VALUE(TRIM(SUBSTITUTE(Z25,CHAR(160),""))),0),TRUE,0)*IFERROR(VALUE(TRIM(SUBSTITUTE(K25,CHAR(160),""))),0))=0,"",_xlfn.IFS(TRIM(SUBSTITUTE(AC25,CHAR(160),""))="Devis 1",IFERROR(VALUE(TRIM(SUBSTITUTE(P25,CHAR(160),""))),0),TRIM(SUBSTITUTE(AC25,CHAR(160),""))="Devis 2",IFERROR(VALUE(TRIM(SUBSTITUTE(U25,CHAR(160),""))),0),TRIM(SUBSTITUTE(AC25,CHAR(160),""))="Devis 3",IFERROR(VALUE(TRIM(SUBSTITUTE(Z25,CHAR(160),""))),0),TRUE,0)*IFERROR(VALUE(TRIM(SUBSTITUTE(K25,CHAR(160),""))),0))</f>
        <v/>
      </c>
      <c r="AE25" s="1202" t="str" cm="1">
        <f t="array" ref="AE25">IF((_xlfn.IFS(TRIM(SUBSTITUTE(AC25,CHAR(160),""))="Devis 1",IFERROR(VALUE(TRIM(SUBSTITUTE(Q25,CHAR(160),""))),0),TRIM(SUBSTITUTE(AC25,CHAR(160),""))="Devis 2",IFERROR(VALUE(TRIM(SUBSTITUTE(V25,CHAR(160),""))),0),TRIM(SUBSTITUTE(AC25,CHAR(160),""))="Devis 3",IFERROR(VALUE(TRIM(SUBSTITUTE(AA25,CHAR(160),""))),0),TRUE,0)*IFERROR(VALUE(TRIM(SUBSTITUTE(K25,CHAR(160),""))),0))=0,"",_xlfn.IFS(TRIM(SUBSTITUTE(AC25,CHAR(160),""))="Devis 1",IFERROR(VALUE(TRIM(SUBSTITUTE(Q25,CHAR(160),""))),0),TRIM(SUBSTITUTE(AD25,CHAR(160),""))="Devis 2",IFERROR(VALUE(TRIM(SUBSTITUTE(V25,CHAR(160),""))),0),TRIM(SUBSTITUTE(AD25,CHAR(160),""))="Devis 3",IFERROR(VALUE(TRIM(SUBSTITUTE(AA25,CHAR(160),""))),0),TRUE,0)*IFERROR(VALUE(TRIM(SUBSTITUTE(K25,CHAR(160),""))),0))</f>
        <v/>
      </c>
      <c r="AF25" s="1202" t="str" cm="1">
        <f t="array" ref="AF25">IF((_xlfn.IFS(TRIM(SUBSTITUTE(AC25,CHAR(160),""))="Devis 1",IFERROR(VALUE(TRIM(SUBSTITUTE(R25,CHAR(160),""))),0),TRIM(SUBSTITUTE(AC25,CHAR(160),""))="Devis 2",IFERROR(VALUE(TRIM(SUBSTITUTE(W25,CHAR(160),""))),0),TRIM(SUBSTITUTE(AC25,CHAR(160),""))="Devis 3",IFERROR(VALUE(TRIM(SUBSTITUTE(AB25,CHAR(160),""))),0),TRUE,0)*IFERROR(VALUE(TRIM(SUBSTITUTE(K25,CHAR(160),""))),0))=0,"",_xlfn.IFS(TRIM(SUBSTITUTE(AC25,CHAR(160),""))="Devis 1",IFERROR(VALUE(TRIM(SUBSTITUTE(R25,CHAR(160),""))),0),TRIM(SUBSTITUTE(AC25,CHAR(160),""))="Devis 2",IFERROR(VALUE(TRIM(SUBSTITUTE(W25,CHAR(160),""))),0),TRIM(SUBSTITUTE(AC25,CHAR(160),""))="Devis 3",IFERROR(VALUE(TRIM(SUBSTITUTE(AB25,CHAR(160),""))),0),TRUE,0)*IFERROR(VALUE(TRIM(SUBSTITUTE(K25,CHAR(160),""))),0))</f>
        <v/>
      </c>
      <c r="AG25" s="488"/>
      <c r="AH25" s="215" t="str">
        <f t="shared" si="0"/>
        <v/>
      </c>
      <c r="AI25" s="57" t="str">
        <f t="shared" si="1"/>
        <v/>
      </c>
      <c r="AJ25" s="57" t="str">
        <f t="shared" si="2"/>
        <v/>
      </c>
      <c r="AK25" s="57" t="str">
        <f t="shared" si="3"/>
        <v/>
      </c>
      <c r="AL25" s="57" t="str">
        <f t="shared" si="4"/>
        <v/>
      </c>
      <c r="AM25" s="57" t="str">
        <f t="shared" si="5"/>
        <v/>
      </c>
      <c r="AN25" s="57" t="str">
        <f t="shared" si="6"/>
        <v/>
      </c>
      <c r="AO25" s="57" t="str">
        <f t="shared" si="7"/>
        <v/>
      </c>
      <c r="AP25" s="57" t="str">
        <f t="shared" si="8"/>
        <v/>
      </c>
      <c r="AQ25" s="57" t="str">
        <f t="shared" si="9"/>
        <v/>
      </c>
      <c r="AR25" s="57" t="str">
        <f t="shared" si="10"/>
        <v/>
      </c>
      <c r="AS25" s="57" t="str">
        <f t="shared" si="11"/>
        <v/>
      </c>
      <c r="AT25" s="57" t="str">
        <f t="shared" si="12"/>
        <v/>
      </c>
      <c r="AU25" s="57" t="str">
        <f t="shared" si="13"/>
        <v/>
      </c>
      <c r="AV25" s="57" t="str">
        <f t="shared" si="14"/>
        <v/>
      </c>
      <c r="AW25" s="300" t="str">
        <f t="shared" si="15"/>
        <v/>
      </c>
      <c r="AX25" s="57" t="str">
        <f t="shared" si="16"/>
        <v/>
      </c>
      <c r="AY25" s="57" t="str">
        <f t="shared" si="17"/>
        <v/>
      </c>
      <c r="AZ25" s="57" t="str">
        <f t="shared" si="18"/>
        <v/>
      </c>
      <c r="BA25" s="57" t="str">
        <f t="shared" si="19"/>
        <v/>
      </c>
      <c r="BB25" s="300" t="str">
        <f t="shared" si="20"/>
        <v/>
      </c>
      <c r="BC25" s="57" t="str">
        <f t="shared" si="21"/>
        <v/>
      </c>
      <c r="BD25" s="57" t="str">
        <f t="shared" si="22"/>
        <v/>
      </c>
      <c r="BE25" s="57" t="str">
        <f t="shared" si="23"/>
        <v/>
      </c>
      <c r="BF25" s="57" t="str">
        <f t="shared" si="24"/>
        <v/>
      </c>
      <c r="BG25" s="300" t="str">
        <f t="shared" si="25"/>
        <v/>
      </c>
      <c r="BH25" s="1203" t="str">
        <f t="shared" si="26"/>
        <v/>
      </c>
      <c r="BI25" s="260"/>
      <c r="BJ25" s="300" t="str">
        <f t="shared" si="27"/>
        <v/>
      </c>
      <c r="BK25" s="300" t="str">
        <f t="shared" si="28"/>
        <v/>
      </c>
      <c r="BL25" s="300" t="str">
        <f t="shared" si="29"/>
        <v/>
      </c>
      <c r="BM25" s="1202" t="str" cm="1">
        <f t="array" ref="BM25">IF($AP25="","",IF((IFERROR(_xlfn.IFS($BH25="Devis 1",(IFERROR(VALUE(TRIM(SUBSTITUTE(AU25,CHAR(160),""))),0)),$BH25="Devis 2",(IFERROR(VALUE(TRIM(SUBSTITUTE(AZ25,CHAR(160),""))),0)),$BH25="Devis 3",(IFERROR(VALUE(TRIM(SUBSTITUTE(BE25,CHAR(160),""))),0))),0))*(IFERROR(VALUE(TRIM(SUBSTITUTE($AP25,CHAR(160),""))),0))=0,"",(IFERROR(_xlfn.IFS($BH25="Devis 1",(IFERROR(VALUE(TRIM(SUBSTITUTE(AU25,CHAR(160),""))),0)),$BH25="Devis 2",(IFERROR(VALUE(TRIM(SUBSTITUTE(AZ25,CHAR(160),""))),0)),$BH25="Devis 3",(IFERROR(VALUE(TRIM(SUBSTITUTE(BE25,CHAR(160),""))),0))),0))*(IFERROR(VALUE(TRIM(SUBSTITUTE($AP25,CHAR(160),""))),0))))</f>
        <v/>
      </c>
      <c r="BN25" s="1202" t="str" cm="1">
        <f t="array" ref="BN25">IF($AP25="","",IF((IFERROR(_xlfn.IFS(TRIM(SUBSTITUTE($BH25,CHAR(160),""))="Devis 1", IFERROR(VALUE(TRIM(SUBSTITUTE(AV25,CHAR(160),""))),0),TRIM(SUBSTITUTE($BH25,CHAR(160),""))="Devis 2", IFERROR(VALUE(TRIM(SUBSTITUTE(BA25,CHAR(160),""))),0),TRIM(SUBSTITUTE($BH25,CHAR(160),""))="Devis 3", IFERROR(VALUE(TRIM(SUBSTITUTE(BF25,CHAR(160),""))),0)),0) * IFERROR(VALUE(TRIM(SUBSTITUTE($AP25,CHAR(160),""))),0)) = 0,IF(BM25&lt;&gt;"",0,""),(IFERROR(_xlfn.IFS(TRIM(SUBSTITUTE($BH25,CHAR(160),""))="Devis 1", IFERROR(VALUE(TRIM(SUBSTITUTE(AV25,CHAR(160),""))),0),TRIM(SUBSTITUTE($BH25,CHAR(160),""))="Devis 2", IFERROR(VALUE(TRIM(SUBSTITUTE(BA25,CHAR(160),""))),0),TRIM(SUBSTITUTE($BH25,CHAR(160),""))="Devis 3", IFERROR(VALUE(TRIM(SUBSTITUTE(BF25,CHAR(160),""))),0)),0) * IFERROR(VALUE(TRIM(SUBSTITUTE($AP25,CHAR(160),""))),0))))</f>
        <v/>
      </c>
      <c r="BO25" s="1202" t="str" cm="1">
        <f t="array" ref="BO25">IF($AP25="","",IF(IFERROR(_xlfn.IFS($BH25="Devis 1",IFERROR(VALUE(TRIM(SUBSTITUTE(AW25,CHAR(160),""))),0),$BH25="Devis 2",IFERROR(VALUE(TRIM(SUBSTITUTE(BB25,CHAR(160),""))),0),$BH25="Devis 3",IFERROR(VALUE(TRIM(SUBSTITUTE(BG25,CHAR(160),""))),0)),0)*IFERROR(VALUE(TRIM(SUBSTITUTE($AP25,CHAR(160),""))),0)=0,"",IFERROR(_xlfn.IFS($BH25="Devis 1",IFERROR(VALUE(TRIM(SUBSTITUTE(AW25,CHAR(160),""))),0),$BH25="Devis 2",IFERROR(VALUE(TRIM(SUBSTITUTE(BB25,CHAR(160),""))),0),$BH25="Devis 3",IFERROR(VALUE(TRIM(SUBSTITUTE(BG25,CHAR(160),""))),0)),0)*IFERROR(VALUE(TRIM(SUBSTITUTE($AP25,CHAR(160),""))),0)))</f>
        <v/>
      </c>
      <c r="BP25" s="194"/>
      <c r="BQ25" s="219" t="str" cm="1">
        <f t="array" ref="BQ25">IF(OR(BO25="",BL25="",BM25="",BJ25="",BN25="",BK25=""),"",_xlfn.IFS(
ROUND(IFERROR(VALUE(TRIM(SUBSTITUTE(BO25,CHAR(160),""))),0),2)&gt;
ROUND(IFERROR(VALUE(TRIM(SUBSTITUTE(BL25,CHAR(160),""))),0),2),
"KO : Le montant retenu TTC est supérieur au montant raisonnable TTC. Merci de revoir la ligne de dépense ou plafonner son montant.",
ROUND(IFERROR(VALUE(TRIM(SUBSTITUTE(BM25,CHAR(160),""))),0),2)&gt;
ROUND(IFERROR(VALUE(TRIM(SUBSTITUTE(BJ25,CHAR(160),""))),0),2),
"Attention : Le montant retenu HT est supérieur au montant HT raisonnable. Merci de revoir la ligne de dépense, plafonner son montant, ou justifier la reventillation HT / TVA.",
ROUND(IFERROR(VALUE(TRIM(SUBSTITUTE(BN25,CHAR(160),""))),0),2)&gt;
ROUND(IFERROR(VALUE(TRIM(SUBSTITUTE(BK25,CHAR(160),""))),0),2),
"Attention : Le montant TVA retenu est supérieur au montant TVA raisonnable. Merci de revoir la ligne de dépense, plafonner son montant, ou justifier la reventillation HT / TVA.",
ROUND(IFERROR(VALUE(TRIM(SUBSTITUTE(BO25,CHAR(160),""))),0),2)&gt;
ROUND(IFERROR(VALUE(TRIM(SUBSTITUTE(MIN(R25,W25,AB25),CHAR(160),""))),0),2),
"Attention : Le devis retenu n'est pas le moins cher. Une justification de la part du porteur est nécessaire.",
ROUND(IFERROR(VALUE(TRIM(SUBSTITUTE(BO25,CHAR(160),""))),0),2)=0,
"Attention : montant présenté entièrement écarté",
ROUND(IFERROR(VALUE(TRIM(SUBSTITUTE(BL25,CHAR(160),""))),0),2)=
ROUND(IFERROR(VALUE(TRIM(SUBSTITUTE(BO25,CHAR(160),""))),0),2),
"OK",
ROUND(IFERROR(VALUE(TRIM(SUBSTITUTE(BL25,CHAR(160),""))),0),2)&gt;
ROUND(IFERROR(VALUE(TRIM(SUBSTITUTE(BO25,CHAR(160),""))),0),2),
" OK : Montant instruit inférieur au montant raisonnable.",
TRUE,""
))</f>
        <v/>
      </c>
      <c r="BR25" s="216" t="str" cm="1">
        <f t="array" ref="BR25">IF(OR(BO25="",AF25="",BM25="",AD25="",BN25="",AE25=""),"",_xlfn.IFS(
ROUND(IFERROR(VALUE(TRIM(SUBSTITUTE(BO25,CHAR(160),""))),0),2)&gt;
ROUND(IFERROR(VALUE(TRIM(SUBSTITUTE(AF25,CHAR(160),""))),0),2),
"KO : Le montant retenu TTC est supérieur au montant présenté TTC. Merci de revoir la ligne de dépense ou plafonner son montant.",
ROUND(IFERROR(VALUE(TRIM(SUBSTITUTE(BM25,CHAR(160),""))),0),2)&gt;
ROUND(IFERROR(VALUE(TRIM(SUBSTITUTE(AD25,CHAR(160),""))),0),2),
"Attention : Le montant retenu HT est supérieur au montant HT présenté. Merci de revoir la ligne de dépense, plafonner son montant, ou justifier la reventillation HT / TVA.",
ROUND(IFERROR(VALUE(TRIM(SUBSTITUTE(BN25,CHAR(160),""))),0),2)&gt;
ROUND(IFERROR(VALUE(TRIM(SUBSTITUTE(AE25,CHAR(160),""))),0),2),
"Attention : Le montant TVA retenu est supérieur au montant TVA présenté. Merci de revoir la ligne de dépense, plafonner son montant, ou justifier la reventillation HT / TVA.",
ROUND(IFERROR(VALUE(TRIM(SUBSTITUTE(AF25,CHAR(160),""))),0),2)=0,
"",
ROUND(IFERROR(VALUE(TRIM(SUBSTITUTE(BO25,CHAR(160),""))),0),2)=
ROUND(IFERROR(VALUE(TRIM(SUBSTITUTE(AF25,CHAR(160),""))),0),2),
"OK",
ROUND(IFERROR(VALUE(TRIM(SUBSTITUTE(BO25,CHAR(160),""))),0),2)=0,
"Attention : Montant présenté entièrement rejeté.",
ROUND(IFERROR(VALUE(TRIM(SUBSTITUTE(BO25,CHAR(160),""))),0),2)&lt;
ROUND(IFERROR(VALUE(TRIM(SUBSTITUTE(AF25,CHAR(160),""))),0),2),
"Attention : Montant présenté partiellement rejeté.",
TRUE,""
))</f>
        <v/>
      </c>
      <c r="BS25" s="1202" t="str">
        <f t="shared" si="30"/>
        <v/>
      </c>
      <c r="BT25" s="1202" t="str">
        <f t="shared" si="31"/>
        <v/>
      </c>
      <c r="BU25" s="1216" t="str">
        <f t="shared" si="32"/>
        <v/>
      </c>
    </row>
    <row r="26" spans="2:73" ht="15.95" customHeight="1">
      <c r="B26" s="303">
        <v>17</v>
      </c>
      <c r="C26" s="11"/>
      <c r="D26" s="11"/>
      <c r="E26" s="22"/>
      <c r="F26" s="11"/>
      <c r="G26" s="11"/>
      <c r="H26" s="11"/>
      <c r="I26" s="22"/>
      <c r="J26" s="11"/>
      <c r="K26" s="2"/>
      <c r="L26" s="23"/>
      <c r="M26" s="11"/>
      <c r="N26" s="11"/>
      <c r="O26" s="11"/>
      <c r="P26" s="24"/>
      <c r="Q26" s="24"/>
      <c r="R26" s="300" t="str">
        <f t="shared" si="35"/>
        <v/>
      </c>
      <c r="S26" s="1205"/>
      <c r="T26" s="1205"/>
      <c r="U26" s="24"/>
      <c r="V26" s="24"/>
      <c r="W26" s="300" t="str">
        <f t="shared" si="33"/>
        <v/>
      </c>
      <c r="X26" s="1205"/>
      <c r="Y26" s="1205"/>
      <c r="Z26" s="24"/>
      <c r="AA26" s="24"/>
      <c r="AB26" s="300" t="str">
        <f t="shared" si="34"/>
        <v/>
      </c>
      <c r="AC26" s="11"/>
      <c r="AD26" s="1202" t="str" cm="1">
        <f t="array" ref="AD26">IF((_xlfn.IFS(TRIM(SUBSTITUTE(AC26,CHAR(160),""))="Devis 1",IFERROR(VALUE(TRIM(SUBSTITUTE(P26,CHAR(160),""))),0),TRIM(SUBSTITUTE(AC26,CHAR(160),""))="Devis 2",IFERROR(VALUE(TRIM(SUBSTITUTE(U26,CHAR(160),""))),0),TRIM(SUBSTITUTE(AC26,CHAR(160),""))="Devis 3",IFERROR(VALUE(TRIM(SUBSTITUTE(Z26,CHAR(160),""))),0),TRUE,0)*IFERROR(VALUE(TRIM(SUBSTITUTE(K26,CHAR(160),""))),0))=0,"",_xlfn.IFS(TRIM(SUBSTITUTE(AC26,CHAR(160),""))="Devis 1",IFERROR(VALUE(TRIM(SUBSTITUTE(P26,CHAR(160),""))),0),TRIM(SUBSTITUTE(AC26,CHAR(160),""))="Devis 2",IFERROR(VALUE(TRIM(SUBSTITUTE(U26,CHAR(160),""))),0),TRIM(SUBSTITUTE(AC26,CHAR(160),""))="Devis 3",IFERROR(VALUE(TRIM(SUBSTITUTE(Z26,CHAR(160),""))),0),TRUE,0)*IFERROR(VALUE(TRIM(SUBSTITUTE(K26,CHAR(160),""))),0))</f>
        <v/>
      </c>
      <c r="AE26" s="1202" t="str" cm="1">
        <f t="array" ref="AE26">IF((_xlfn.IFS(TRIM(SUBSTITUTE(AC26,CHAR(160),""))="Devis 1",IFERROR(VALUE(TRIM(SUBSTITUTE(Q26,CHAR(160),""))),0),TRIM(SUBSTITUTE(AC26,CHAR(160),""))="Devis 2",IFERROR(VALUE(TRIM(SUBSTITUTE(V26,CHAR(160),""))),0),TRIM(SUBSTITUTE(AC26,CHAR(160),""))="Devis 3",IFERROR(VALUE(TRIM(SUBSTITUTE(AA26,CHAR(160),""))),0),TRUE,0)*IFERROR(VALUE(TRIM(SUBSTITUTE(K26,CHAR(160),""))),0))=0,"",_xlfn.IFS(TRIM(SUBSTITUTE(AC26,CHAR(160),""))="Devis 1",IFERROR(VALUE(TRIM(SUBSTITUTE(Q26,CHAR(160),""))),0),TRIM(SUBSTITUTE(AD26,CHAR(160),""))="Devis 2",IFERROR(VALUE(TRIM(SUBSTITUTE(V26,CHAR(160),""))),0),TRIM(SUBSTITUTE(AD26,CHAR(160),""))="Devis 3",IFERROR(VALUE(TRIM(SUBSTITUTE(AA26,CHAR(160),""))),0),TRUE,0)*IFERROR(VALUE(TRIM(SUBSTITUTE(K26,CHAR(160),""))),0))</f>
        <v/>
      </c>
      <c r="AF26" s="1202" t="str" cm="1">
        <f t="array" ref="AF26">IF((_xlfn.IFS(TRIM(SUBSTITUTE(AC26,CHAR(160),""))="Devis 1",IFERROR(VALUE(TRIM(SUBSTITUTE(R26,CHAR(160),""))),0),TRIM(SUBSTITUTE(AC26,CHAR(160),""))="Devis 2",IFERROR(VALUE(TRIM(SUBSTITUTE(W26,CHAR(160),""))),0),TRIM(SUBSTITUTE(AC26,CHAR(160),""))="Devis 3",IFERROR(VALUE(TRIM(SUBSTITUTE(AB26,CHAR(160),""))),0),TRUE,0)*IFERROR(VALUE(TRIM(SUBSTITUTE(K26,CHAR(160),""))),0))=0,"",_xlfn.IFS(TRIM(SUBSTITUTE(AC26,CHAR(160),""))="Devis 1",IFERROR(VALUE(TRIM(SUBSTITUTE(R26,CHAR(160),""))),0),TRIM(SUBSTITUTE(AC26,CHAR(160),""))="Devis 2",IFERROR(VALUE(TRIM(SUBSTITUTE(W26,CHAR(160),""))),0),TRIM(SUBSTITUTE(AC26,CHAR(160),""))="Devis 3",IFERROR(VALUE(TRIM(SUBSTITUTE(AB26,CHAR(160),""))),0),TRUE,0)*IFERROR(VALUE(TRIM(SUBSTITUTE(K26,CHAR(160),""))),0))</f>
        <v/>
      </c>
      <c r="AG26" s="488"/>
      <c r="AH26" s="215" t="str">
        <f t="shared" si="0"/>
        <v/>
      </c>
      <c r="AI26" s="57" t="str">
        <f t="shared" si="1"/>
        <v/>
      </c>
      <c r="AJ26" s="57" t="str">
        <f t="shared" si="2"/>
        <v/>
      </c>
      <c r="AK26" s="57" t="str">
        <f t="shared" si="3"/>
        <v/>
      </c>
      <c r="AL26" s="57" t="str">
        <f t="shared" si="4"/>
        <v/>
      </c>
      <c r="AM26" s="57" t="str">
        <f t="shared" si="5"/>
        <v/>
      </c>
      <c r="AN26" s="57" t="str">
        <f t="shared" si="6"/>
        <v/>
      </c>
      <c r="AO26" s="57" t="str">
        <f t="shared" si="7"/>
        <v/>
      </c>
      <c r="AP26" s="57" t="str">
        <f t="shared" si="8"/>
        <v/>
      </c>
      <c r="AQ26" s="57" t="str">
        <f t="shared" si="9"/>
        <v/>
      </c>
      <c r="AR26" s="57" t="str">
        <f t="shared" si="10"/>
        <v/>
      </c>
      <c r="AS26" s="57" t="str">
        <f t="shared" si="11"/>
        <v/>
      </c>
      <c r="AT26" s="57" t="str">
        <f t="shared" si="12"/>
        <v/>
      </c>
      <c r="AU26" s="57" t="str">
        <f t="shared" si="13"/>
        <v/>
      </c>
      <c r="AV26" s="57" t="str">
        <f t="shared" si="14"/>
        <v/>
      </c>
      <c r="AW26" s="300" t="str">
        <f t="shared" si="15"/>
        <v/>
      </c>
      <c r="AX26" s="57" t="str">
        <f t="shared" si="16"/>
        <v/>
      </c>
      <c r="AY26" s="57" t="str">
        <f t="shared" si="17"/>
        <v/>
      </c>
      <c r="AZ26" s="57" t="str">
        <f t="shared" si="18"/>
        <v/>
      </c>
      <c r="BA26" s="57" t="str">
        <f t="shared" si="19"/>
        <v/>
      </c>
      <c r="BB26" s="300" t="str">
        <f t="shared" si="20"/>
        <v/>
      </c>
      <c r="BC26" s="57" t="str">
        <f t="shared" si="21"/>
        <v/>
      </c>
      <c r="BD26" s="57" t="str">
        <f t="shared" si="22"/>
        <v/>
      </c>
      <c r="BE26" s="57" t="str">
        <f t="shared" si="23"/>
        <v/>
      </c>
      <c r="BF26" s="57" t="str">
        <f t="shared" si="24"/>
        <v/>
      </c>
      <c r="BG26" s="300" t="str">
        <f t="shared" si="25"/>
        <v/>
      </c>
      <c r="BH26" s="1203" t="str">
        <f t="shared" si="26"/>
        <v/>
      </c>
      <c r="BI26" s="260"/>
      <c r="BJ26" s="300" t="str">
        <f t="shared" si="27"/>
        <v/>
      </c>
      <c r="BK26" s="300" t="str">
        <f t="shared" si="28"/>
        <v/>
      </c>
      <c r="BL26" s="300" t="str">
        <f t="shared" si="29"/>
        <v/>
      </c>
      <c r="BM26" s="1202" t="str" cm="1">
        <f t="array" ref="BM26">IF($AP26="","",IF((IFERROR(_xlfn.IFS($BH26="Devis 1",(IFERROR(VALUE(TRIM(SUBSTITUTE(AU26,CHAR(160),""))),0)),$BH26="Devis 2",(IFERROR(VALUE(TRIM(SUBSTITUTE(AZ26,CHAR(160),""))),0)),$BH26="Devis 3",(IFERROR(VALUE(TRIM(SUBSTITUTE(BE26,CHAR(160),""))),0))),0))*(IFERROR(VALUE(TRIM(SUBSTITUTE($AP26,CHAR(160),""))),0))=0,"",(IFERROR(_xlfn.IFS($BH26="Devis 1",(IFERROR(VALUE(TRIM(SUBSTITUTE(AU26,CHAR(160),""))),0)),$BH26="Devis 2",(IFERROR(VALUE(TRIM(SUBSTITUTE(AZ26,CHAR(160),""))),0)),$BH26="Devis 3",(IFERROR(VALUE(TRIM(SUBSTITUTE(BE26,CHAR(160),""))),0))),0))*(IFERROR(VALUE(TRIM(SUBSTITUTE($AP26,CHAR(160),""))),0))))</f>
        <v/>
      </c>
      <c r="BN26" s="1202" t="str" cm="1">
        <f t="array" ref="BN26">IF($AP26="","",IF((IFERROR(_xlfn.IFS(TRIM(SUBSTITUTE($BH26,CHAR(160),""))="Devis 1", IFERROR(VALUE(TRIM(SUBSTITUTE(AV26,CHAR(160),""))),0),TRIM(SUBSTITUTE($BH26,CHAR(160),""))="Devis 2", IFERROR(VALUE(TRIM(SUBSTITUTE(BA26,CHAR(160),""))),0),TRIM(SUBSTITUTE($BH26,CHAR(160),""))="Devis 3", IFERROR(VALUE(TRIM(SUBSTITUTE(BF26,CHAR(160),""))),0)),0) * IFERROR(VALUE(TRIM(SUBSTITUTE($AP26,CHAR(160),""))),0)) = 0,IF(BM26&lt;&gt;"",0,""),(IFERROR(_xlfn.IFS(TRIM(SUBSTITUTE($BH26,CHAR(160),""))="Devis 1", IFERROR(VALUE(TRIM(SUBSTITUTE(AV26,CHAR(160),""))),0),TRIM(SUBSTITUTE($BH26,CHAR(160),""))="Devis 2", IFERROR(VALUE(TRIM(SUBSTITUTE(BA26,CHAR(160),""))),0),TRIM(SUBSTITUTE($BH26,CHAR(160),""))="Devis 3", IFERROR(VALUE(TRIM(SUBSTITUTE(BF26,CHAR(160),""))),0)),0) * IFERROR(VALUE(TRIM(SUBSTITUTE($AP26,CHAR(160),""))),0))))</f>
        <v/>
      </c>
      <c r="BO26" s="1202" t="str" cm="1">
        <f t="array" ref="BO26">IF($AP26="","",IF(IFERROR(_xlfn.IFS($BH26="Devis 1",IFERROR(VALUE(TRIM(SUBSTITUTE(AW26,CHAR(160),""))),0),$BH26="Devis 2",IFERROR(VALUE(TRIM(SUBSTITUTE(BB26,CHAR(160),""))),0),$BH26="Devis 3",IFERROR(VALUE(TRIM(SUBSTITUTE(BG26,CHAR(160),""))),0)),0)*IFERROR(VALUE(TRIM(SUBSTITUTE($AP26,CHAR(160),""))),0)=0,"",IFERROR(_xlfn.IFS($BH26="Devis 1",IFERROR(VALUE(TRIM(SUBSTITUTE(AW26,CHAR(160),""))),0),$BH26="Devis 2",IFERROR(VALUE(TRIM(SUBSTITUTE(BB26,CHAR(160),""))),0),$BH26="Devis 3",IFERROR(VALUE(TRIM(SUBSTITUTE(BG26,CHAR(160),""))),0)),0)*IFERROR(VALUE(TRIM(SUBSTITUTE($AP26,CHAR(160),""))),0)))</f>
        <v/>
      </c>
      <c r="BP26" s="194"/>
      <c r="BQ26" s="219" t="str" cm="1">
        <f t="array" ref="BQ26">IF(OR(BO26="",BL26="",BM26="",BJ26="",BN26="",BK26=""),"",_xlfn.IFS(
ROUND(IFERROR(VALUE(TRIM(SUBSTITUTE(BO26,CHAR(160),""))),0),2)&gt;
ROUND(IFERROR(VALUE(TRIM(SUBSTITUTE(BL26,CHAR(160),""))),0),2),
"KO : Le montant retenu TTC est supérieur au montant raisonnable TTC. Merci de revoir la ligne de dépense ou plafonner son montant.",
ROUND(IFERROR(VALUE(TRIM(SUBSTITUTE(BM26,CHAR(160),""))),0),2)&gt;
ROUND(IFERROR(VALUE(TRIM(SUBSTITUTE(BJ26,CHAR(160),""))),0),2),
"Attention : Le montant retenu HT est supérieur au montant HT raisonnable. Merci de revoir la ligne de dépense, plafonner son montant, ou justifier la reventillation HT / TVA.",
ROUND(IFERROR(VALUE(TRIM(SUBSTITUTE(BN26,CHAR(160),""))),0),2)&gt;
ROUND(IFERROR(VALUE(TRIM(SUBSTITUTE(BK26,CHAR(160),""))),0),2),
"Attention : Le montant TVA retenu est supérieur au montant TVA raisonnable. Merci de revoir la ligne de dépense, plafonner son montant, ou justifier la reventillation HT / TVA.",
ROUND(IFERROR(VALUE(TRIM(SUBSTITUTE(BO26,CHAR(160),""))),0),2)&gt;
ROUND(IFERROR(VALUE(TRIM(SUBSTITUTE(MIN(R26,W26,AB26),CHAR(160),""))),0),2),
"Attention : Le devis retenu n'est pas le moins cher. Une justification de la part du porteur est nécessaire.",
ROUND(IFERROR(VALUE(TRIM(SUBSTITUTE(BO26,CHAR(160),""))),0),2)=0,
"Attention : montant présenté entièrement écarté",
ROUND(IFERROR(VALUE(TRIM(SUBSTITUTE(BL26,CHAR(160),""))),0),2)=
ROUND(IFERROR(VALUE(TRIM(SUBSTITUTE(BO26,CHAR(160),""))),0),2),
"OK",
ROUND(IFERROR(VALUE(TRIM(SUBSTITUTE(BL26,CHAR(160),""))),0),2)&gt;
ROUND(IFERROR(VALUE(TRIM(SUBSTITUTE(BO26,CHAR(160),""))),0),2),
" OK : Montant instruit inférieur au montant raisonnable.",
TRUE,""
))</f>
        <v/>
      </c>
      <c r="BR26" s="216" t="str" cm="1">
        <f t="array" ref="BR26">IF(OR(BO26="",AF26="",BM26="",AD26="",BN26="",AE26=""),"",_xlfn.IFS(
ROUND(IFERROR(VALUE(TRIM(SUBSTITUTE(BO26,CHAR(160),""))),0),2)&gt;
ROUND(IFERROR(VALUE(TRIM(SUBSTITUTE(AF26,CHAR(160),""))),0),2),
"KO : Le montant retenu TTC est supérieur au montant présenté TTC. Merci de revoir la ligne de dépense ou plafonner son montant.",
ROUND(IFERROR(VALUE(TRIM(SUBSTITUTE(BM26,CHAR(160),""))),0),2)&gt;
ROUND(IFERROR(VALUE(TRIM(SUBSTITUTE(AD26,CHAR(160),""))),0),2),
"Attention : Le montant retenu HT est supérieur au montant HT présenté. Merci de revoir la ligne de dépense, plafonner son montant, ou justifier la reventillation HT / TVA.",
ROUND(IFERROR(VALUE(TRIM(SUBSTITUTE(BN26,CHAR(160),""))),0),2)&gt;
ROUND(IFERROR(VALUE(TRIM(SUBSTITUTE(AE26,CHAR(160),""))),0),2),
"Attention : Le montant TVA retenu est supérieur au montant TVA présenté. Merci de revoir la ligne de dépense, plafonner son montant, ou justifier la reventillation HT / TVA.",
ROUND(IFERROR(VALUE(TRIM(SUBSTITUTE(AF26,CHAR(160),""))),0),2)=0,
"",
ROUND(IFERROR(VALUE(TRIM(SUBSTITUTE(BO26,CHAR(160),""))),0),2)=
ROUND(IFERROR(VALUE(TRIM(SUBSTITUTE(AF26,CHAR(160),""))),0),2),
"OK",
ROUND(IFERROR(VALUE(TRIM(SUBSTITUTE(BO26,CHAR(160),""))),0),2)=0,
"Attention : Montant présenté entièrement rejeté.",
ROUND(IFERROR(VALUE(TRIM(SUBSTITUTE(BO26,CHAR(160),""))),0),2)&lt;
ROUND(IFERROR(VALUE(TRIM(SUBSTITUTE(AF26,CHAR(160),""))),0),2),
"Attention : Montant présenté partiellement rejeté.",
TRUE,""
))</f>
        <v/>
      </c>
      <c r="BS26" s="1202" t="str">
        <f t="shared" si="30"/>
        <v/>
      </c>
      <c r="BT26" s="1202" t="str">
        <f t="shared" si="31"/>
        <v/>
      </c>
      <c r="BU26" s="1216" t="str">
        <f t="shared" si="32"/>
        <v/>
      </c>
    </row>
    <row r="27" spans="2:73" ht="15.95" customHeight="1">
      <c r="B27" s="303">
        <v>18</v>
      </c>
      <c r="C27" s="11"/>
      <c r="D27" s="11"/>
      <c r="E27" s="22"/>
      <c r="F27" s="11"/>
      <c r="G27" s="11"/>
      <c r="H27" s="11"/>
      <c r="I27" s="22"/>
      <c r="J27" s="11"/>
      <c r="K27" s="2"/>
      <c r="L27" s="23"/>
      <c r="M27" s="11"/>
      <c r="N27" s="11"/>
      <c r="O27" s="11"/>
      <c r="P27" s="24"/>
      <c r="Q27" s="24"/>
      <c r="R27" s="300" t="str">
        <f t="shared" si="35"/>
        <v/>
      </c>
      <c r="S27" s="1205"/>
      <c r="T27" s="1205"/>
      <c r="U27" s="24"/>
      <c r="V27" s="24"/>
      <c r="W27" s="300" t="str">
        <f t="shared" si="33"/>
        <v/>
      </c>
      <c r="X27" s="1205"/>
      <c r="Y27" s="1205"/>
      <c r="Z27" s="24"/>
      <c r="AA27" s="24"/>
      <c r="AB27" s="300" t="str">
        <f t="shared" si="34"/>
        <v/>
      </c>
      <c r="AC27" s="11"/>
      <c r="AD27" s="1202" t="str" cm="1">
        <f t="array" ref="AD27">IF((_xlfn.IFS(TRIM(SUBSTITUTE(AC27,CHAR(160),""))="Devis 1",IFERROR(VALUE(TRIM(SUBSTITUTE(P27,CHAR(160),""))),0),TRIM(SUBSTITUTE(AC27,CHAR(160),""))="Devis 2",IFERROR(VALUE(TRIM(SUBSTITUTE(U27,CHAR(160),""))),0),TRIM(SUBSTITUTE(AC27,CHAR(160),""))="Devis 3",IFERROR(VALUE(TRIM(SUBSTITUTE(Z27,CHAR(160),""))),0),TRUE,0)*IFERROR(VALUE(TRIM(SUBSTITUTE(K27,CHAR(160),""))),0))=0,"",_xlfn.IFS(TRIM(SUBSTITUTE(AC27,CHAR(160),""))="Devis 1",IFERROR(VALUE(TRIM(SUBSTITUTE(P27,CHAR(160),""))),0),TRIM(SUBSTITUTE(AC27,CHAR(160),""))="Devis 2",IFERROR(VALUE(TRIM(SUBSTITUTE(U27,CHAR(160),""))),0),TRIM(SUBSTITUTE(AC27,CHAR(160),""))="Devis 3",IFERROR(VALUE(TRIM(SUBSTITUTE(Z27,CHAR(160),""))),0),TRUE,0)*IFERROR(VALUE(TRIM(SUBSTITUTE(K27,CHAR(160),""))),0))</f>
        <v/>
      </c>
      <c r="AE27" s="1202" t="str" cm="1">
        <f t="array" ref="AE27">IF((_xlfn.IFS(TRIM(SUBSTITUTE(AC27,CHAR(160),""))="Devis 1",IFERROR(VALUE(TRIM(SUBSTITUTE(Q27,CHAR(160),""))),0),TRIM(SUBSTITUTE(AC27,CHAR(160),""))="Devis 2",IFERROR(VALUE(TRIM(SUBSTITUTE(V27,CHAR(160),""))),0),TRIM(SUBSTITUTE(AC27,CHAR(160),""))="Devis 3",IFERROR(VALUE(TRIM(SUBSTITUTE(AA27,CHAR(160),""))),0),TRUE,0)*IFERROR(VALUE(TRIM(SUBSTITUTE(K27,CHAR(160),""))),0))=0,"",_xlfn.IFS(TRIM(SUBSTITUTE(AC27,CHAR(160),""))="Devis 1",IFERROR(VALUE(TRIM(SUBSTITUTE(Q27,CHAR(160),""))),0),TRIM(SUBSTITUTE(AD27,CHAR(160),""))="Devis 2",IFERROR(VALUE(TRIM(SUBSTITUTE(V27,CHAR(160),""))),0),TRIM(SUBSTITUTE(AD27,CHAR(160),""))="Devis 3",IFERROR(VALUE(TRIM(SUBSTITUTE(AA27,CHAR(160),""))),0),TRUE,0)*IFERROR(VALUE(TRIM(SUBSTITUTE(K27,CHAR(160),""))),0))</f>
        <v/>
      </c>
      <c r="AF27" s="1202" t="str" cm="1">
        <f t="array" ref="AF27">IF((_xlfn.IFS(TRIM(SUBSTITUTE(AC27,CHAR(160),""))="Devis 1",IFERROR(VALUE(TRIM(SUBSTITUTE(R27,CHAR(160),""))),0),TRIM(SUBSTITUTE(AC27,CHAR(160),""))="Devis 2",IFERROR(VALUE(TRIM(SUBSTITUTE(W27,CHAR(160),""))),0),TRIM(SUBSTITUTE(AC27,CHAR(160),""))="Devis 3",IFERROR(VALUE(TRIM(SUBSTITUTE(AB27,CHAR(160),""))),0),TRUE,0)*IFERROR(VALUE(TRIM(SUBSTITUTE(K27,CHAR(160),""))),0))=0,"",_xlfn.IFS(TRIM(SUBSTITUTE(AC27,CHAR(160),""))="Devis 1",IFERROR(VALUE(TRIM(SUBSTITUTE(R27,CHAR(160),""))),0),TRIM(SUBSTITUTE(AC27,CHAR(160),""))="Devis 2",IFERROR(VALUE(TRIM(SUBSTITUTE(W27,CHAR(160),""))),0),TRIM(SUBSTITUTE(AC27,CHAR(160),""))="Devis 3",IFERROR(VALUE(TRIM(SUBSTITUTE(AB27,CHAR(160),""))),0),TRUE,0)*IFERROR(VALUE(TRIM(SUBSTITUTE(K27,CHAR(160),""))),0))</f>
        <v/>
      </c>
      <c r="AG27" s="488"/>
      <c r="AH27" s="215" t="str">
        <f t="shared" si="0"/>
        <v/>
      </c>
      <c r="AI27" s="57" t="str">
        <f t="shared" si="1"/>
        <v/>
      </c>
      <c r="AJ27" s="57" t="str">
        <f t="shared" si="2"/>
        <v/>
      </c>
      <c r="AK27" s="57" t="str">
        <f t="shared" si="3"/>
        <v/>
      </c>
      <c r="AL27" s="57" t="str">
        <f t="shared" si="4"/>
        <v/>
      </c>
      <c r="AM27" s="57" t="str">
        <f t="shared" si="5"/>
        <v/>
      </c>
      <c r="AN27" s="57" t="str">
        <f t="shared" si="6"/>
        <v/>
      </c>
      <c r="AO27" s="57" t="str">
        <f t="shared" si="7"/>
        <v/>
      </c>
      <c r="AP27" s="57" t="str">
        <f t="shared" si="8"/>
        <v/>
      </c>
      <c r="AQ27" s="57" t="str">
        <f t="shared" si="9"/>
        <v/>
      </c>
      <c r="AR27" s="57" t="str">
        <f t="shared" si="10"/>
        <v/>
      </c>
      <c r="AS27" s="57" t="str">
        <f t="shared" si="11"/>
        <v/>
      </c>
      <c r="AT27" s="57" t="str">
        <f t="shared" si="12"/>
        <v/>
      </c>
      <c r="AU27" s="57" t="str">
        <f t="shared" si="13"/>
        <v/>
      </c>
      <c r="AV27" s="57" t="str">
        <f t="shared" si="14"/>
        <v/>
      </c>
      <c r="AW27" s="300" t="str">
        <f t="shared" si="15"/>
        <v/>
      </c>
      <c r="AX27" s="57" t="str">
        <f t="shared" si="16"/>
        <v/>
      </c>
      <c r="AY27" s="57" t="str">
        <f t="shared" si="17"/>
        <v/>
      </c>
      <c r="AZ27" s="57" t="str">
        <f t="shared" si="18"/>
        <v/>
      </c>
      <c r="BA27" s="57" t="str">
        <f t="shared" si="19"/>
        <v/>
      </c>
      <c r="BB27" s="300" t="str">
        <f t="shared" si="20"/>
        <v/>
      </c>
      <c r="BC27" s="57" t="str">
        <f t="shared" si="21"/>
        <v/>
      </c>
      <c r="BD27" s="57" t="str">
        <f t="shared" si="22"/>
        <v/>
      </c>
      <c r="BE27" s="57" t="str">
        <f t="shared" si="23"/>
        <v/>
      </c>
      <c r="BF27" s="57" t="str">
        <f t="shared" si="24"/>
        <v/>
      </c>
      <c r="BG27" s="300" t="str">
        <f t="shared" si="25"/>
        <v/>
      </c>
      <c r="BH27" s="1203" t="str">
        <f t="shared" si="26"/>
        <v/>
      </c>
      <c r="BI27" s="260"/>
      <c r="BJ27" s="300" t="str">
        <f t="shared" si="27"/>
        <v/>
      </c>
      <c r="BK27" s="300" t="str">
        <f t="shared" si="28"/>
        <v/>
      </c>
      <c r="BL27" s="300" t="str">
        <f t="shared" si="29"/>
        <v/>
      </c>
      <c r="BM27" s="1202" t="str" cm="1">
        <f t="array" ref="BM27">IF($AP27="","",IF((IFERROR(_xlfn.IFS($BH27="Devis 1",(IFERROR(VALUE(TRIM(SUBSTITUTE(AU27,CHAR(160),""))),0)),$BH27="Devis 2",(IFERROR(VALUE(TRIM(SUBSTITUTE(AZ27,CHAR(160),""))),0)),$BH27="Devis 3",(IFERROR(VALUE(TRIM(SUBSTITUTE(BE27,CHAR(160),""))),0))),0))*(IFERROR(VALUE(TRIM(SUBSTITUTE($AP27,CHAR(160),""))),0))=0,"",(IFERROR(_xlfn.IFS($BH27="Devis 1",(IFERROR(VALUE(TRIM(SUBSTITUTE(AU27,CHAR(160),""))),0)),$BH27="Devis 2",(IFERROR(VALUE(TRIM(SUBSTITUTE(AZ27,CHAR(160),""))),0)),$BH27="Devis 3",(IFERROR(VALUE(TRIM(SUBSTITUTE(BE27,CHAR(160),""))),0))),0))*(IFERROR(VALUE(TRIM(SUBSTITUTE($AP27,CHAR(160),""))),0))))</f>
        <v/>
      </c>
      <c r="BN27" s="1202" t="str" cm="1">
        <f t="array" ref="BN27">IF($AP27="","",IF((IFERROR(_xlfn.IFS(TRIM(SUBSTITUTE($BH27,CHAR(160),""))="Devis 1", IFERROR(VALUE(TRIM(SUBSTITUTE(AV27,CHAR(160),""))),0),TRIM(SUBSTITUTE($BH27,CHAR(160),""))="Devis 2", IFERROR(VALUE(TRIM(SUBSTITUTE(BA27,CHAR(160),""))),0),TRIM(SUBSTITUTE($BH27,CHAR(160),""))="Devis 3", IFERROR(VALUE(TRIM(SUBSTITUTE(BF27,CHAR(160),""))),0)),0) * IFERROR(VALUE(TRIM(SUBSTITUTE($AP27,CHAR(160),""))),0)) = 0,IF(BM27&lt;&gt;"",0,""),(IFERROR(_xlfn.IFS(TRIM(SUBSTITUTE($BH27,CHAR(160),""))="Devis 1", IFERROR(VALUE(TRIM(SUBSTITUTE(AV27,CHAR(160),""))),0),TRIM(SUBSTITUTE($BH27,CHAR(160),""))="Devis 2", IFERROR(VALUE(TRIM(SUBSTITUTE(BA27,CHAR(160),""))),0),TRIM(SUBSTITUTE($BH27,CHAR(160),""))="Devis 3", IFERROR(VALUE(TRIM(SUBSTITUTE(BF27,CHAR(160),""))),0)),0) * IFERROR(VALUE(TRIM(SUBSTITUTE($AP27,CHAR(160),""))),0))))</f>
        <v/>
      </c>
      <c r="BO27" s="1202" t="str" cm="1">
        <f t="array" ref="BO27">IF($AP27="","",IF(IFERROR(_xlfn.IFS($BH27="Devis 1",IFERROR(VALUE(TRIM(SUBSTITUTE(AW27,CHAR(160),""))),0),$BH27="Devis 2",IFERROR(VALUE(TRIM(SUBSTITUTE(BB27,CHAR(160),""))),0),$BH27="Devis 3",IFERROR(VALUE(TRIM(SUBSTITUTE(BG27,CHAR(160),""))),0)),0)*IFERROR(VALUE(TRIM(SUBSTITUTE($AP27,CHAR(160),""))),0)=0,"",IFERROR(_xlfn.IFS($BH27="Devis 1",IFERROR(VALUE(TRIM(SUBSTITUTE(AW27,CHAR(160),""))),0),$BH27="Devis 2",IFERROR(VALUE(TRIM(SUBSTITUTE(BB27,CHAR(160),""))),0),$BH27="Devis 3",IFERROR(VALUE(TRIM(SUBSTITUTE(BG27,CHAR(160),""))),0)),0)*IFERROR(VALUE(TRIM(SUBSTITUTE($AP27,CHAR(160),""))),0)))</f>
        <v/>
      </c>
      <c r="BP27" s="194"/>
      <c r="BQ27" s="219" t="str" cm="1">
        <f t="array" ref="BQ27">IF(OR(BO27="",BL27="",BM27="",BJ27="",BN27="",BK27=""),"",_xlfn.IFS(
ROUND(IFERROR(VALUE(TRIM(SUBSTITUTE(BO27,CHAR(160),""))),0),2)&gt;
ROUND(IFERROR(VALUE(TRIM(SUBSTITUTE(BL27,CHAR(160),""))),0),2),
"KO : Le montant retenu TTC est supérieur au montant raisonnable TTC. Merci de revoir la ligne de dépense ou plafonner son montant.",
ROUND(IFERROR(VALUE(TRIM(SUBSTITUTE(BM27,CHAR(160),""))),0),2)&gt;
ROUND(IFERROR(VALUE(TRIM(SUBSTITUTE(BJ27,CHAR(160),""))),0),2),
"Attention : Le montant retenu HT est supérieur au montant HT raisonnable. Merci de revoir la ligne de dépense, plafonner son montant, ou justifier la reventillation HT / TVA.",
ROUND(IFERROR(VALUE(TRIM(SUBSTITUTE(BN27,CHAR(160),""))),0),2)&gt;
ROUND(IFERROR(VALUE(TRIM(SUBSTITUTE(BK27,CHAR(160),""))),0),2),
"Attention : Le montant TVA retenu est supérieur au montant TVA raisonnable. Merci de revoir la ligne de dépense, plafonner son montant, ou justifier la reventillation HT / TVA.",
ROUND(IFERROR(VALUE(TRIM(SUBSTITUTE(BO27,CHAR(160),""))),0),2)&gt;
ROUND(IFERROR(VALUE(TRIM(SUBSTITUTE(MIN(R27,W27,AB27),CHAR(160),""))),0),2),
"Attention : Le devis retenu n'est pas le moins cher. Une justification de la part du porteur est nécessaire.",
ROUND(IFERROR(VALUE(TRIM(SUBSTITUTE(BO27,CHAR(160),""))),0),2)=0,
"Attention : montant présenté entièrement écarté",
ROUND(IFERROR(VALUE(TRIM(SUBSTITUTE(BL27,CHAR(160),""))),0),2)=
ROUND(IFERROR(VALUE(TRIM(SUBSTITUTE(BO27,CHAR(160),""))),0),2),
"OK",
ROUND(IFERROR(VALUE(TRIM(SUBSTITUTE(BL27,CHAR(160),""))),0),2)&gt;
ROUND(IFERROR(VALUE(TRIM(SUBSTITUTE(BO27,CHAR(160),""))),0),2),
" OK : Montant instruit inférieur au montant raisonnable.",
TRUE,""
))</f>
        <v/>
      </c>
      <c r="BR27" s="216" t="str" cm="1">
        <f t="array" ref="BR27">IF(OR(BO27="",AF27="",BM27="",AD27="",BN27="",AE27=""),"",_xlfn.IFS(
ROUND(IFERROR(VALUE(TRIM(SUBSTITUTE(BO27,CHAR(160),""))),0),2)&gt;
ROUND(IFERROR(VALUE(TRIM(SUBSTITUTE(AF27,CHAR(160),""))),0),2),
"KO : Le montant retenu TTC est supérieur au montant présenté TTC. Merci de revoir la ligne de dépense ou plafonner son montant.",
ROUND(IFERROR(VALUE(TRIM(SUBSTITUTE(BM27,CHAR(160),""))),0),2)&gt;
ROUND(IFERROR(VALUE(TRIM(SUBSTITUTE(AD27,CHAR(160),""))),0),2),
"Attention : Le montant retenu HT est supérieur au montant HT présenté. Merci de revoir la ligne de dépense, plafonner son montant, ou justifier la reventillation HT / TVA.",
ROUND(IFERROR(VALUE(TRIM(SUBSTITUTE(BN27,CHAR(160),""))),0),2)&gt;
ROUND(IFERROR(VALUE(TRIM(SUBSTITUTE(AE27,CHAR(160),""))),0),2),
"Attention : Le montant TVA retenu est supérieur au montant TVA présenté. Merci de revoir la ligne de dépense, plafonner son montant, ou justifier la reventillation HT / TVA.",
ROUND(IFERROR(VALUE(TRIM(SUBSTITUTE(AF27,CHAR(160),""))),0),2)=0,
"",
ROUND(IFERROR(VALUE(TRIM(SUBSTITUTE(BO27,CHAR(160),""))),0),2)=
ROUND(IFERROR(VALUE(TRIM(SUBSTITUTE(AF27,CHAR(160),""))),0),2),
"OK",
ROUND(IFERROR(VALUE(TRIM(SUBSTITUTE(BO27,CHAR(160),""))),0),2)=0,
"Attention : Montant présenté entièrement rejeté.",
ROUND(IFERROR(VALUE(TRIM(SUBSTITUTE(BO27,CHAR(160),""))),0),2)&lt;
ROUND(IFERROR(VALUE(TRIM(SUBSTITUTE(AF27,CHAR(160),""))),0),2),
"Attention : Montant présenté partiellement rejeté.",
TRUE,""
))</f>
        <v/>
      </c>
      <c r="BS27" s="1202" t="str">
        <f t="shared" si="30"/>
        <v/>
      </c>
      <c r="BT27" s="1202" t="str">
        <f t="shared" si="31"/>
        <v/>
      </c>
      <c r="BU27" s="1216" t="str">
        <f t="shared" si="32"/>
        <v/>
      </c>
    </row>
    <row r="28" spans="2:73" ht="15.95" customHeight="1">
      <c r="B28" s="303">
        <v>19</v>
      </c>
      <c r="C28" s="11"/>
      <c r="D28" s="11"/>
      <c r="E28" s="22"/>
      <c r="F28" s="11"/>
      <c r="G28" s="11"/>
      <c r="H28" s="11"/>
      <c r="I28" s="22"/>
      <c r="J28" s="11"/>
      <c r="K28" s="2"/>
      <c r="L28" s="23"/>
      <c r="M28" s="11"/>
      <c r="N28" s="11"/>
      <c r="O28" s="11"/>
      <c r="P28" s="24"/>
      <c r="Q28" s="24"/>
      <c r="R28" s="300" t="str">
        <f t="shared" si="35"/>
        <v/>
      </c>
      <c r="S28" s="1205"/>
      <c r="T28" s="1205"/>
      <c r="U28" s="24"/>
      <c r="V28" s="24"/>
      <c r="W28" s="300" t="str">
        <f t="shared" si="33"/>
        <v/>
      </c>
      <c r="X28" s="1205"/>
      <c r="Y28" s="1205"/>
      <c r="Z28" s="24"/>
      <c r="AA28" s="24"/>
      <c r="AB28" s="300" t="str">
        <f t="shared" si="34"/>
        <v/>
      </c>
      <c r="AC28" s="11"/>
      <c r="AD28" s="1202" t="str" cm="1">
        <f t="array" ref="AD28">IF((_xlfn.IFS(TRIM(SUBSTITUTE(AC28,CHAR(160),""))="Devis 1",IFERROR(VALUE(TRIM(SUBSTITUTE(P28,CHAR(160),""))),0),TRIM(SUBSTITUTE(AC28,CHAR(160),""))="Devis 2",IFERROR(VALUE(TRIM(SUBSTITUTE(U28,CHAR(160),""))),0),TRIM(SUBSTITUTE(AC28,CHAR(160),""))="Devis 3",IFERROR(VALUE(TRIM(SUBSTITUTE(Z28,CHAR(160),""))),0),TRUE,0)*IFERROR(VALUE(TRIM(SUBSTITUTE(K28,CHAR(160),""))),0))=0,"",_xlfn.IFS(TRIM(SUBSTITUTE(AC28,CHAR(160),""))="Devis 1",IFERROR(VALUE(TRIM(SUBSTITUTE(P28,CHAR(160),""))),0),TRIM(SUBSTITUTE(AC28,CHAR(160),""))="Devis 2",IFERROR(VALUE(TRIM(SUBSTITUTE(U28,CHAR(160),""))),0),TRIM(SUBSTITUTE(AC28,CHAR(160),""))="Devis 3",IFERROR(VALUE(TRIM(SUBSTITUTE(Z28,CHAR(160),""))),0),TRUE,0)*IFERROR(VALUE(TRIM(SUBSTITUTE(K28,CHAR(160),""))),0))</f>
        <v/>
      </c>
      <c r="AE28" s="1202" t="str" cm="1">
        <f t="array" ref="AE28">IF((_xlfn.IFS(TRIM(SUBSTITUTE(AC28,CHAR(160),""))="Devis 1",IFERROR(VALUE(TRIM(SUBSTITUTE(Q28,CHAR(160),""))),0),TRIM(SUBSTITUTE(AC28,CHAR(160),""))="Devis 2",IFERROR(VALUE(TRIM(SUBSTITUTE(V28,CHAR(160),""))),0),TRIM(SUBSTITUTE(AC28,CHAR(160),""))="Devis 3",IFERROR(VALUE(TRIM(SUBSTITUTE(AA28,CHAR(160),""))),0),TRUE,0)*IFERROR(VALUE(TRIM(SUBSTITUTE(K28,CHAR(160),""))),0))=0,"",_xlfn.IFS(TRIM(SUBSTITUTE(AC28,CHAR(160),""))="Devis 1",IFERROR(VALUE(TRIM(SUBSTITUTE(Q28,CHAR(160),""))),0),TRIM(SUBSTITUTE(AD28,CHAR(160),""))="Devis 2",IFERROR(VALUE(TRIM(SUBSTITUTE(V28,CHAR(160),""))),0),TRIM(SUBSTITUTE(AD28,CHAR(160),""))="Devis 3",IFERROR(VALUE(TRIM(SUBSTITUTE(AA28,CHAR(160),""))),0),TRUE,0)*IFERROR(VALUE(TRIM(SUBSTITUTE(K28,CHAR(160),""))),0))</f>
        <v/>
      </c>
      <c r="AF28" s="1202" t="str" cm="1">
        <f t="array" ref="AF28">IF((_xlfn.IFS(TRIM(SUBSTITUTE(AC28,CHAR(160),""))="Devis 1",IFERROR(VALUE(TRIM(SUBSTITUTE(R28,CHAR(160),""))),0),TRIM(SUBSTITUTE(AC28,CHAR(160),""))="Devis 2",IFERROR(VALUE(TRIM(SUBSTITUTE(W28,CHAR(160),""))),0),TRIM(SUBSTITUTE(AC28,CHAR(160),""))="Devis 3",IFERROR(VALUE(TRIM(SUBSTITUTE(AB28,CHAR(160),""))),0),TRUE,0)*IFERROR(VALUE(TRIM(SUBSTITUTE(K28,CHAR(160),""))),0))=0,"",_xlfn.IFS(TRIM(SUBSTITUTE(AC28,CHAR(160),""))="Devis 1",IFERROR(VALUE(TRIM(SUBSTITUTE(R28,CHAR(160),""))),0),TRIM(SUBSTITUTE(AC28,CHAR(160),""))="Devis 2",IFERROR(VALUE(TRIM(SUBSTITUTE(W28,CHAR(160),""))),0),TRIM(SUBSTITUTE(AC28,CHAR(160),""))="Devis 3",IFERROR(VALUE(TRIM(SUBSTITUTE(AB28,CHAR(160),""))),0),TRUE,0)*IFERROR(VALUE(TRIM(SUBSTITUTE(K28,CHAR(160),""))),0))</f>
        <v/>
      </c>
      <c r="AG28" s="488"/>
      <c r="AH28" s="215" t="str">
        <f t="shared" si="0"/>
        <v/>
      </c>
      <c r="AI28" s="57" t="str">
        <f t="shared" si="1"/>
        <v/>
      </c>
      <c r="AJ28" s="57" t="str">
        <f t="shared" si="2"/>
        <v/>
      </c>
      <c r="AK28" s="57" t="str">
        <f t="shared" si="3"/>
        <v/>
      </c>
      <c r="AL28" s="57" t="str">
        <f t="shared" si="4"/>
        <v/>
      </c>
      <c r="AM28" s="57" t="str">
        <f t="shared" si="5"/>
        <v/>
      </c>
      <c r="AN28" s="57" t="str">
        <f t="shared" si="6"/>
        <v/>
      </c>
      <c r="AO28" s="57" t="str">
        <f t="shared" si="7"/>
        <v/>
      </c>
      <c r="AP28" s="57" t="str">
        <f t="shared" si="8"/>
        <v/>
      </c>
      <c r="AQ28" s="57" t="str">
        <f t="shared" si="9"/>
        <v/>
      </c>
      <c r="AR28" s="57" t="str">
        <f t="shared" si="10"/>
        <v/>
      </c>
      <c r="AS28" s="57" t="str">
        <f t="shared" si="11"/>
        <v/>
      </c>
      <c r="AT28" s="57" t="str">
        <f t="shared" si="12"/>
        <v/>
      </c>
      <c r="AU28" s="57" t="str">
        <f t="shared" si="13"/>
        <v/>
      </c>
      <c r="AV28" s="57" t="str">
        <f t="shared" si="14"/>
        <v/>
      </c>
      <c r="AW28" s="300" t="str">
        <f t="shared" si="15"/>
        <v/>
      </c>
      <c r="AX28" s="57" t="str">
        <f t="shared" si="16"/>
        <v/>
      </c>
      <c r="AY28" s="57" t="str">
        <f t="shared" si="17"/>
        <v/>
      </c>
      <c r="AZ28" s="57" t="str">
        <f t="shared" si="18"/>
        <v/>
      </c>
      <c r="BA28" s="57" t="str">
        <f t="shared" si="19"/>
        <v/>
      </c>
      <c r="BB28" s="300" t="str">
        <f t="shared" si="20"/>
        <v/>
      </c>
      <c r="BC28" s="57" t="str">
        <f t="shared" si="21"/>
        <v/>
      </c>
      <c r="BD28" s="57" t="str">
        <f t="shared" si="22"/>
        <v/>
      </c>
      <c r="BE28" s="57" t="str">
        <f t="shared" si="23"/>
        <v/>
      </c>
      <c r="BF28" s="57" t="str">
        <f t="shared" si="24"/>
        <v/>
      </c>
      <c r="BG28" s="300" t="str">
        <f t="shared" si="25"/>
        <v/>
      </c>
      <c r="BH28" s="1203" t="str">
        <f t="shared" si="26"/>
        <v/>
      </c>
      <c r="BI28" s="260"/>
      <c r="BJ28" s="300" t="str">
        <f t="shared" si="27"/>
        <v/>
      </c>
      <c r="BK28" s="300" t="str">
        <f t="shared" si="28"/>
        <v/>
      </c>
      <c r="BL28" s="300" t="str">
        <f t="shared" si="29"/>
        <v/>
      </c>
      <c r="BM28" s="1202" t="str" cm="1">
        <f t="array" ref="BM28">IF($AP28="","",IF((IFERROR(_xlfn.IFS($BH28="Devis 1",(IFERROR(VALUE(TRIM(SUBSTITUTE(AU28,CHAR(160),""))),0)),$BH28="Devis 2",(IFERROR(VALUE(TRIM(SUBSTITUTE(AZ28,CHAR(160),""))),0)),$BH28="Devis 3",(IFERROR(VALUE(TRIM(SUBSTITUTE(BE28,CHAR(160),""))),0))),0))*(IFERROR(VALUE(TRIM(SUBSTITUTE($AP28,CHAR(160),""))),0))=0,"",(IFERROR(_xlfn.IFS($BH28="Devis 1",(IFERROR(VALUE(TRIM(SUBSTITUTE(AU28,CHAR(160),""))),0)),$BH28="Devis 2",(IFERROR(VALUE(TRIM(SUBSTITUTE(AZ28,CHAR(160),""))),0)),$BH28="Devis 3",(IFERROR(VALUE(TRIM(SUBSTITUTE(BE28,CHAR(160),""))),0))),0))*(IFERROR(VALUE(TRIM(SUBSTITUTE($AP28,CHAR(160),""))),0))))</f>
        <v/>
      </c>
      <c r="BN28" s="1202" t="str" cm="1">
        <f t="array" ref="BN28">IF($AP28="","",IF((IFERROR(_xlfn.IFS(TRIM(SUBSTITUTE($BH28,CHAR(160),""))="Devis 1", IFERROR(VALUE(TRIM(SUBSTITUTE(AV28,CHAR(160),""))),0),TRIM(SUBSTITUTE($BH28,CHAR(160),""))="Devis 2", IFERROR(VALUE(TRIM(SUBSTITUTE(BA28,CHAR(160),""))),0),TRIM(SUBSTITUTE($BH28,CHAR(160),""))="Devis 3", IFERROR(VALUE(TRIM(SUBSTITUTE(BF28,CHAR(160),""))),0)),0) * IFERROR(VALUE(TRIM(SUBSTITUTE($AP28,CHAR(160),""))),0)) = 0,IF(BM28&lt;&gt;"",0,""),(IFERROR(_xlfn.IFS(TRIM(SUBSTITUTE($BH28,CHAR(160),""))="Devis 1", IFERROR(VALUE(TRIM(SUBSTITUTE(AV28,CHAR(160),""))),0),TRIM(SUBSTITUTE($BH28,CHAR(160),""))="Devis 2", IFERROR(VALUE(TRIM(SUBSTITUTE(BA28,CHAR(160),""))),0),TRIM(SUBSTITUTE($BH28,CHAR(160),""))="Devis 3", IFERROR(VALUE(TRIM(SUBSTITUTE(BF28,CHAR(160),""))),0)),0) * IFERROR(VALUE(TRIM(SUBSTITUTE($AP28,CHAR(160),""))),0))))</f>
        <v/>
      </c>
      <c r="BO28" s="1202" t="str" cm="1">
        <f t="array" ref="BO28">IF($AP28="","",IF(IFERROR(_xlfn.IFS($BH28="Devis 1",IFERROR(VALUE(TRIM(SUBSTITUTE(AW28,CHAR(160),""))),0),$BH28="Devis 2",IFERROR(VALUE(TRIM(SUBSTITUTE(BB28,CHAR(160),""))),0),$BH28="Devis 3",IFERROR(VALUE(TRIM(SUBSTITUTE(BG28,CHAR(160),""))),0)),0)*IFERROR(VALUE(TRIM(SUBSTITUTE($AP28,CHAR(160),""))),0)=0,"",IFERROR(_xlfn.IFS($BH28="Devis 1",IFERROR(VALUE(TRIM(SUBSTITUTE(AW28,CHAR(160),""))),0),$BH28="Devis 2",IFERROR(VALUE(TRIM(SUBSTITUTE(BB28,CHAR(160),""))),0),$BH28="Devis 3",IFERROR(VALUE(TRIM(SUBSTITUTE(BG28,CHAR(160),""))),0)),0)*IFERROR(VALUE(TRIM(SUBSTITUTE($AP28,CHAR(160),""))),0)))</f>
        <v/>
      </c>
      <c r="BP28" s="194"/>
      <c r="BQ28" s="219" t="str" cm="1">
        <f t="array" ref="BQ28">IF(OR(BO28="",BL28="",BM28="",BJ28="",BN28="",BK28=""),"",_xlfn.IFS(
ROUND(IFERROR(VALUE(TRIM(SUBSTITUTE(BO28,CHAR(160),""))),0),2)&gt;
ROUND(IFERROR(VALUE(TRIM(SUBSTITUTE(BL28,CHAR(160),""))),0),2),
"KO : Le montant retenu TTC est supérieur au montant raisonnable TTC. Merci de revoir la ligne de dépense ou plafonner son montant.",
ROUND(IFERROR(VALUE(TRIM(SUBSTITUTE(BM28,CHAR(160),""))),0),2)&gt;
ROUND(IFERROR(VALUE(TRIM(SUBSTITUTE(BJ28,CHAR(160),""))),0),2),
"Attention : Le montant retenu HT est supérieur au montant HT raisonnable. Merci de revoir la ligne de dépense, plafonner son montant, ou justifier la reventillation HT / TVA.",
ROUND(IFERROR(VALUE(TRIM(SUBSTITUTE(BN28,CHAR(160),""))),0),2)&gt;
ROUND(IFERROR(VALUE(TRIM(SUBSTITUTE(BK28,CHAR(160),""))),0),2),
"Attention : Le montant TVA retenu est supérieur au montant TVA raisonnable. Merci de revoir la ligne de dépense, plafonner son montant, ou justifier la reventillation HT / TVA.",
ROUND(IFERROR(VALUE(TRIM(SUBSTITUTE(BO28,CHAR(160),""))),0),2)&gt;
ROUND(IFERROR(VALUE(TRIM(SUBSTITUTE(MIN(R28,W28,AB28),CHAR(160),""))),0),2),
"Attention : Le devis retenu n'est pas le moins cher. Une justification de la part du porteur est nécessaire.",
ROUND(IFERROR(VALUE(TRIM(SUBSTITUTE(BO28,CHAR(160),""))),0),2)=0,
"Attention : montant présenté entièrement écarté",
ROUND(IFERROR(VALUE(TRIM(SUBSTITUTE(BL28,CHAR(160),""))),0),2)=
ROUND(IFERROR(VALUE(TRIM(SUBSTITUTE(BO28,CHAR(160),""))),0),2),
"OK",
ROUND(IFERROR(VALUE(TRIM(SUBSTITUTE(BL28,CHAR(160),""))),0),2)&gt;
ROUND(IFERROR(VALUE(TRIM(SUBSTITUTE(BO28,CHAR(160),""))),0),2),
" OK : Montant instruit inférieur au montant raisonnable.",
TRUE,""
))</f>
        <v/>
      </c>
      <c r="BR28" s="216" t="str" cm="1">
        <f t="array" ref="BR28">IF(OR(BO28="",AF28="",BM28="",AD28="",BN28="",AE28=""),"",_xlfn.IFS(
ROUND(IFERROR(VALUE(TRIM(SUBSTITUTE(BO28,CHAR(160),""))),0),2)&gt;
ROUND(IFERROR(VALUE(TRIM(SUBSTITUTE(AF28,CHAR(160),""))),0),2),
"KO : Le montant retenu TTC est supérieur au montant présenté TTC. Merci de revoir la ligne de dépense ou plafonner son montant.",
ROUND(IFERROR(VALUE(TRIM(SUBSTITUTE(BM28,CHAR(160),""))),0),2)&gt;
ROUND(IFERROR(VALUE(TRIM(SUBSTITUTE(AD28,CHAR(160),""))),0),2),
"Attention : Le montant retenu HT est supérieur au montant HT présenté. Merci de revoir la ligne de dépense, plafonner son montant, ou justifier la reventillation HT / TVA.",
ROUND(IFERROR(VALUE(TRIM(SUBSTITUTE(BN28,CHAR(160),""))),0),2)&gt;
ROUND(IFERROR(VALUE(TRIM(SUBSTITUTE(AE28,CHAR(160),""))),0),2),
"Attention : Le montant TVA retenu est supérieur au montant TVA présenté. Merci de revoir la ligne de dépense, plafonner son montant, ou justifier la reventillation HT / TVA.",
ROUND(IFERROR(VALUE(TRIM(SUBSTITUTE(AF28,CHAR(160),""))),0),2)=0,
"",
ROUND(IFERROR(VALUE(TRIM(SUBSTITUTE(BO28,CHAR(160),""))),0),2)=
ROUND(IFERROR(VALUE(TRIM(SUBSTITUTE(AF28,CHAR(160),""))),0),2),
"OK",
ROUND(IFERROR(VALUE(TRIM(SUBSTITUTE(BO28,CHAR(160),""))),0),2)=0,
"Attention : Montant présenté entièrement rejeté.",
ROUND(IFERROR(VALUE(TRIM(SUBSTITUTE(BO28,CHAR(160),""))),0),2)&lt;
ROUND(IFERROR(VALUE(TRIM(SUBSTITUTE(AF28,CHAR(160),""))),0),2),
"Attention : Montant présenté partiellement rejeté.",
TRUE,""
))</f>
        <v/>
      </c>
      <c r="BS28" s="1202" t="str">
        <f t="shared" si="30"/>
        <v/>
      </c>
      <c r="BT28" s="1202" t="str">
        <f t="shared" si="31"/>
        <v/>
      </c>
      <c r="BU28" s="1216" t="str">
        <f t="shared" si="32"/>
        <v/>
      </c>
    </row>
    <row r="29" spans="2:73" ht="15.95" customHeight="1">
      <c r="B29" s="303">
        <v>20</v>
      </c>
      <c r="C29" s="11"/>
      <c r="D29" s="11"/>
      <c r="E29" s="22"/>
      <c r="F29" s="11"/>
      <c r="G29" s="11"/>
      <c r="H29" s="11"/>
      <c r="I29" s="22"/>
      <c r="J29" s="11"/>
      <c r="K29" s="2"/>
      <c r="L29" s="23"/>
      <c r="M29" s="11"/>
      <c r="N29" s="11"/>
      <c r="O29" s="11"/>
      <c r="P29" s="24"/>
      <c r="Q29" s="24"/>
      <c r="R29" s="300" t="str">
        <f t="shared" si="35"/>
        <v/>
      </c>
      <c r="S29" s="1205"/>
      <c r="T29" s="1205"/>
      <c r="U29" s="24"/>
      <c r="V29" s="24"/>
      <c r="W29" s="300" t="str">
        <f t="shared" si="33"/>
        <v/>
      </c>
      <c r="X29" s="1205"/>
      <c r="Y29" s="1205"/>
      <c r="Z29" s="24"/>
      <c r="AA29" s="24"/>
      <c r="AB29" s="300" t="str">
        <f t="shared" si="34"/>
        <v/>
      </c>
      <c r="AC29" s="11"/>
      <c r="AD29" s="1202" t="str" cm="1">
        <f t="array" ref="AD29">IF((_xlfn.IFS(TRIM(SUBSTITUTE(AC29,CHAR(160),""))="Devis 1",IFERROR(VALUE(TRIM(SUBSTITUTE(P29,CHAR(160),""))),0),TRIM(SUBSTITUTE(AC29,CHAR(160),""))="Devis 2",IFERROR(VALUE(TRIM(SUBSTITUTE(U29,CHAR(160),""))),0),TRIM(SUBSTITUTE(AC29,CHAR(160),""))="Devis 3",IFERROR(VALUE(TRIM(SUBSTITUTE(Z29,CHAR(160),""))),0),TRUE,0)*IFERROR(VALUE(TRIM(SUBSTITUTE(K29,CHAR(160),""))),0))=0,"",_xlfn.IFS(TRIM(SUBSTITUTE(AC29,CHAR(160),""))="Devis 1",IFERROR(VALUE(TRIM(SUBSTITUTE(P29,CHAR(160),""))),0),TRIM(SUBSTITUTE(AC29,CHAR(160),""))="Devis 2",IFERROR(VALUE(TRIM(SUBSTITUTE(U29,CHAR(160),""))),0),TRIM(SUBSTITUTE(AC29,CHAR(160),""))="Devis 3",IFERROR(VALUE(TRIM(SUBSTITUTE(Z29,CHAR(160),""))),0),TRUE,0)*IFERROR(VALUE(TRIM(SUBSTITUTE(K29,CHAR(160),""))),0))</f>
        <v/>
      </c>
      <c r="AE29" s="1202" t="str" cm="1">
        <f t="array" ref="AE29">IF((_xlfn.IFS(TRIM(SUBSTITUTE(AC29,CHAR(160),""))="Devis 1",IFERROR(VALUE(TRIM(SUBSTITUTE(Q29,CHAR(160),""))),0),TRIM(SUBSTITUTE(AC29,CHAR(160),""))="Devis 2",IFERROR(VALUE(TRIM(SUBSTITUTE(V29,CHAR(160),""))),0),TRIM(SUBSTITUTE(AC29,CHAR(160),""))="Devis 3",IFERROR(VALUE(TRIM(SUBSTITUTE(AA29,CHAR(160),""))),0),TRUE,0)*IFERROR(VALUE(TRIM(SUBSTITUTE(K29,CHAR(160),""))),0))=0,"",_xlfn.IFS(TRIM(SUBSTITUTE(AC29,CHAR(160),""))="Devis 1",IFERROR(VALUE(TRIM(SUBSTITUTE(Q29,CHAR(160),""))),0),TRIM(SUBSTITUTE(AD29,CHAR(160),""))="Devis 2",IFERROR(VALUE(TRIM(SUBSTITUTE(V29,CHAR(160),""))),0),TRIM(SUBSTITUTE(AD29,CHAR(160),""))="Devis 3",IFERROR(VALUE(TRIM(SUBSTITUTE(AA29,CHAR(160),""))),0),TRUE,0)*IFERROR(VALUE(TRIM(SUBSTITUTE(K29,CHAR(160),""))),0))</f>
        <v/>
      </c>
      <c r="AF29" s="1202" t="str" cm="1">
        <f t="array" ref="AF29">IF((_xlfn.IFS(TRIM(SUBSTITUTE(AC29,CHAR(160),""))="Devis 1",IFERROR(VALUE(TRIM(SUBSTITUTE(R29,CHAR(160),""))),0),TRIM(SUBSTITUTE(AC29,CHAR(160),""))="Devis 2",IFERROR(VALUE(TRIM(SUBSTITUTE(W29,CHAR(160),""))),0),TRIM(SUBSTITUTE(AC29,CHAR(160),""))="Devis 3",IFERROR(VALUE(TRIM(SUBSTITUTE(AB29,CHAR(160),""))),0),TRUE,0)*IFERROR(VALUE(TRIM(SUBSTITUTE(K29,CHAR(160),""))),0))=0,"",_xlfn.IFS(TRIM(SUBSTITUTE(AC29,CHAR(160),""))="Devis 1",IFERROR(VALUE(TRIM(SUBSTITUTE(R29,CHAR(160),""))),0),TRIM(SUBSTITUTE(AC29,CHAR(160),""))="Devis 2",IFERROR(VALUE(TRIM(SUBSTITUTE(W29,CHAR(160),""))),0),TRIM(SUBSTITUTE(AC29,CHAR(160),""))="Devis 3",IFERROR(VALUE(TRIM(SUBSTITUTE(AB29,CHAR(160),""))),0),TRUE,0)*IFERROR(VALUE(TRIM(SUBSTITUTE(K29,CHAR(160),""))),0))</f>
        <v/>
      </c>
      <c r="AG29" s="488"/>
      <c r="AH29" s="215" t="str">
        <f t="shared" si="0"/>
        <v/>
      </c>
      <c r="AI29" s="57" t="str">
        <f t="shared" si="1"/>
        <v/>
      </c>
      <c r="AJ29" s="57" t="str">
        <f t="shared" si="2"/>
        <v/>
      </c>
      <c r="AK29" s="57" t="str">
        <f t="shared" si="3"/>
        <v/>
      </c>
      <c r="AL29" s="57" t="str">
        <f t="shared" si="4"/>
        <v/>
      </c>
      <c r="AM29" s="57" t="str">
        <f t="shared" si="5"/>
        <v/>
      </c>
      <c r="AN29" s="57" t="str">
        <f t="shared" si="6"/>
        <v/>
      </c>
      <c r="AO29" s="57" t="str">
        <f t="shared" si="7"/>
        <v/>
      </c>
      <c r="AP29" s="57" t="str">
        <f t="shared" si="8"/>
        <v/>
      </c>
      <c r="AQ29" s="57" t="str">
        <f t="shared" si="9"/>
        <v/>
      </c>
      <c r="AR29" s="57" t="str">
        <f t="shared" si="10"/>
        <v/>
      </c>
      <c r="AS29" s="57" t="str">
        <f t="shared" si="11"/>
        <v/>
      </c>
      <c r="AT29" s="57" t="str">
        <f t="shared" si="12"/>
        <v/>
      </c>
      <c r="AU29" s="57" t="str">
        <f t="shared" si="13"/>
        <v/>
      </c>
      <c r="AV29" s="57" t="str">
        <f t="shared" si="14"/>
        <v/>
      </c>
      <c r="AW29" s="300" t="str">
        <f t="shared" si="15"/>
        <v/>
      </c>
      <c r="AX29" s="57" t="str">
        <f t="shared" si="16"/>
        <v/>
      </c>
      <c r="AY29" s="57" t="str">
        <f t="shared" si="17"/>
        <v/>
      </c>
      <c r="AZ29" s="57" t="str">
        <f t="shared" si="18"/>
        <v/>
      </c>
      <c r="BA29" s="57" t="str">
        <f t="shared" si="19"/>
        <v/>
      </c>
      <c r="BB29" s="300" t="str">
        <f t="shared" si="20"/>
        <v/>
      </c>
      <c r="BC29" s="57" t="str">
        <f t="shared" si="21"/>
        <v/>
      </c>
      <c r="BD29" s="57" t="str">
        <f t="shared" si="22"/>
        <v/>
      </c>
      <c r="BE29" s="57" t="str">
        <f t="shared" si="23"/>
        <v/>
      </c>
      <c r="BF29" s="57" t="str">
        <f t="shared" si="24"/>
        <v/>
      </c>
      <c r="BG29" s="300" t="str">
        <f t="shared" si="25"/>
        <v/>
      </c>
      <c r="BH29" s="1203" t="str">
        <f t="shared" si="26"/>
        <v/>
      </c>
      <c r="BI29" s="260"/>
      <c r="BJ29" s="300" t="str">
        <f t="shared" si="27"/>
        <v/>
      </c>
      <c r="BK29" s="300" t="str">
        <f t="shared" si="28"/>
        <v/>
      </c>
      <c r="BL29" s="300" t="str">
        <f t="shared" si="29"/>
        <v/>
      </c>
      <c r="BM29" s="1202" t="str" cm="1">
        <f t="array" ref="BM29">IF($AP29="","",IF((IFERROR(_xlfn.IFS($BH29="Devis 1",(IFERROR(VALUE(TRIM(SUBSTITUTE(AU29,CHAR(160),""))),0)),$BH29="Devis 2",(IFERROR(VALUE(TRIM(SUBSTITUTE(AZ29,CHAR(160),""))),0)),$BH29="Devis 3",(IFERROR(VALUE(TRIM(SUBSTITUTE(BE29,CHAR(160),""))),0))),0))*(IFERROR(VALUE(TRIM(SUBSTITUTE($AP29,CHAR(160),""))),0))=0,"",(IFERROR(_xlfn.IFS($BH29="Devis 1",(IFERROR(VALUE(TRIM(SUBSTITUTE(AU29,CHAR(160),""))),0)),$BH29="Devis 2",(IFERROR(VALUE(TRIM(SUBSTITUTE(AZ29,CHAR(160),""))),0)),$BH29="Devis 3",(IFERROR(VALUE(TRIM(SUBSTITUTE(BE29,CHAR(160),""))),0))),0))*(IFERROR(VALUE(TRIM(SUBSTITUTE($AP29,CHAR(160),""))),0))))</f>
        <v/>
      </c>
      <c r="BN29" s="1202" t="str" cm="1">
        <f t="array" ref="BN29">IF($AP29="","",IF((IFERROR(_xlfn.IFS(TRIM(SUBSTITUTE($BH29,CHAR(160),""))="Devis 1", IFERROR(VALUE(TRIM(SUBSTITUTE(AV29,CHAR(160),""))),0),TRIM(SUBSTITUTE($BH29,CHAR(160),""))="Devis 2", IFERROR(VALUE(TRIM(SUBSTITUTE(BA29,CHAR(160),""))),0),TRIM(SUBSTITUTE($BH29,CHAR(160),""))="Devis 3", IFERROR(VALUE(TRIM(SUBSTITUTE(BF29,CHAR(160),""))),0)),0) * IFERROR(VALUE(TRIM(SUBSTITUTE($AP29,CHAR(160),""))),0)) = 0,IF(BM29&lt;&gt;"",0,""),(IFERROR(_xlfn.IFS(TRIM(SUBSTITUTE($BH29,CHAR(160),""))="Devis 1", IFERROR(VALUE(TRIM(SUBSTITUTE(AV29,CHAR(160),""))),0),TRIM(SUBSTITUTE($BH29,CHAR(160),""))="Devis 2", IFERROR(VALUE(TRIM(SUBSTITUTE(BA29,CHAR(160),""))),0),TRIM(SUBSTITUTE($BH29,CHAR(160),""))="Devis 3", IFERROR(VALUE(TRIM(SUBSTITUTE(BF29,CHAR(160),""))),0)),0) * IFERROR(VALUE(TRIM(SUBSTITUTE($AP29,CHAR(160),""))),0))))</f>
        <v/>
      </c>
      <c r="BO29" s="1202" t="str" cm="1">
        <f t="array" ref="BO29">IF($AP29="","",IF(IFERROR(_xlfn.IFS($BH29="Devis 1",IFERROR(VALUE(TRIM(SUBSTITUTE(AW29,CHAR(160),""))),0),$BH29="Devis 2",IFERROR(VALUE(TRIM(SUBSTITUTE(BB29,CHAR(160),""))),0),$BH29="Devis 3",IFERROR(VALUE(TRIM(SUBSTITUTE(BG29,CHAR(160),""))),0)),0)*IFERROR(VALUE(TRIM(SUBSTITUTE($AP29,CHAR(160),""))),0)=0,"",IFERROR(_xlfn.IFS($BH29="Devis 1",IFERROR(VALUE(TRIM(SUBSTITUTE(AW29,CHAR(160),""))),0),$BH29="Devis 2",IFERROR(VALUE(TRIM(SUBSTITUTE(BB29,CHAR(160),""))),0),$BH29="Devis 3",IFERROR(VALUE(TRIM(SUBSTITUTE(BG29,CHAR(160),""))),0)),0)*IFERROR(VALUE(TRIM(SUBSTITUTE($AP29,CHAR(160),""))),0)))</f>
        <v/>
      </c>
      <c r="BP29" s="194"/>
      <c r="BQ29" s="219" t="str" cm="1">
        <f t="array" ref="BQ29">IF(OR(BO29="",BL29="",BM29="",BJ29="",BN29="",BK29=""),"",_xlfn.IFS(
ROUND(IFERROR(VALUE(TRIM(SUBSTITUTE(BO29,CHAR(160),""))),0),2)&gt;
ROUND(IFERROR(VALUE(TRIM(SUBSTITUTE(BL29,CHAR(160),""))),0),2),
"KO : Le montant retenu TTC est supérieur au montant raisonnable TTC. Merci de revoir la ligne de dépense ou plafonner son montant.",
ROUND(IFERROR(VALUE(TRIM(SUBSTITUTE(BM29,CHAR(160),""))),0),2)&gt;
ROUND(IFERROR(VALUE(TRIM(SUBSTITUTE(BJ29,CHAR(160),""))),0),2),
"Attention : Le montant retenu HT est supérieur au montant HT raisonnable. Merci de revoir la ligne de dépense, plafonner son montant, ou justifier la reventillation HT / TVA.",
ROUND(IFERROR(VALUE(TRIM(SUBSTITUTE(BN29,CHAR(160),""))),0),2)&gt;
ROUND(IFERROR(VALUE(TRIM(SUBSTITUTE(BK29,CHAR(160),""))),0),2),
"Attention : Le montant TVA retenu est supérieur au montant TVA raisonnable. Merci de revoir la ligne de dépense, plafonner son montant, ou justifier la reventillation HT / TVA.",
ROUND(IFERROR(VALUE(TRIM(SUBSTITUTE(BO29,CHAR(160),""))),0),2)&gt;
ROUND(IFERROR(VALUE(TRIM(SUBSTITUTE(MIN(R29,W29,AB29),CHAR(160),""))),0),2),
"Attention : Le devis retenu n'est pas le moins cher. Une justification de la part du porteur est nécessaire.",
ROUND(IFERROR(VALUE(TRIM(SUBSTITUTE(BO29,CHAR(160),""))),0),2)=0,
"Attention : montant présenté entièrement écarté",
ROUND(IFERROR(VALUE(TRIM(SUBSTITUTE(BL29,CHAR(160),""))),0),2)=
ROUND(IFERROR(VALUE(TRIM(SUBSTITUTE(BO29,CHAR(160),""))),0),2),
"OK",
ROUND(IFERROR(VALUE(TRIM(SUBSTITUTE(BL29,CHAR(160),""))),0),2)&gt;
ROUND(IFERROR(VALUE(TRIM(SUBSTITUTE(BO29,CHAR(160),""))),0),2),
" OK : Montant instruit inférieur au montant raisonnable.",
TRUE,""
))</f>
        <v/>
      </c>
      <c r="BR29" s="216" t="str" cm="1">
        <f t="array" ref="BR29">IF(OR(BO29="",AF29="",BM29="",AD29="",BN29="",AE29=""),"",_xlfn.IFS(
ROUND(IFERROR(VALUE(TRIM(SUBSTITUTE(BO29,CHAR(160),""))),0),2)&gt;
ROUND(IFERROR(VALUE(TRIM(SUBSTITUTE(AF29,CHAR(160),""))),0),2),
"KO : Le montant retenu TTC est supérieur au montant présenté TTC. Merci de revoir la ligne de dépense ou plafonner son montant.",
ROUND(IFERROR(VALUE(TRIM(SUBSTITUTE(BM29,CHAR(160),""))),0),2)&gt;
ROUND(IFERROR(VALUE(TRIM(SUBSTITUTE(AD29,CHAR(160),""))),0),2),
"Attention : Le montant retenu HT est supérieur au montant HT présenté. Merci de revoir la ligne de dépense, plafonner son montant, ou justifier la reventillation HT / TVA.",
ROUND(IFERROR(VALUE(TRIM(SUBSTITUTE(BN29,CHAR(160),""))),0),2)&gt;
ROUND(IFERROR(VALUE(TRIM(SUBSTITUTE(AE29,CHAR(160),""))),0),2),
"Attention : Le montant TVA retenu est supérieur au montant TVA présenté. Merci de revoir la ligne de dépense, plafonner son montant, ou justifier la reventillation HT / TVA.",
ROUND(IFERROR(VALUE(TRIM(SUBSTITUTE(AF29,CHAR(160),""))),0),2)=0,
"",
ROUND(IFERROR(VALUE(TRIM(SUBSTITUTE(BO29,CHAR(160),""))),0),2)=
ROUND(IFERROR(VALUE(TRIM(SUBSTITUTE(AF29,CHAR(160),""))),0),2),
"OK",
ROUND(IFERROR(VALUE(TRIM(SUBSTITUTE(BO29,CHAR(160),""))),0),2)=0,
"Attention : Montant présenté entièrement rejeté.",
ROUND(IFERROR(VALUE(TRIM(SUBSTITUTE(BO29,CHAR(160),""))),0),2)&lt;
ROUND(IFERROR(VALUE(TRIM(SUBSTITUTE(AF29,CHAR(160),""))),0),2),
"Attention : Montant présenté partiellement rejeté.",
TRUE,""
))</f>
        <v/>
      </c>
      <c r="BS29" s="1202" t="str">
        <f t="shared" si="30"/>
        <v/>
      </c>
      <c r="BT29" s="1202" t="str">
        <f t="shared" si="31"/>
        <v/>
      </c>
      <c r="BU29" s="1216" t="str">
        <f t="shared" si="32"/>
        <v/>
      </c>
    </row>
    <row r="30" spans="2:73" ht="15.95" customHeight="1">
      <c r="B30" s="303">
        <v>21</v>
      </c>
      <c r="C30" s="11"/>
      <c r="D30" s="11"/>
      <c r="E30" s="22"/>
      <c r="F30" s="11"/>
      <c r="G30" s="11"/>
      <c r="H30" s="11"/>
      <c r="I30" s="22"/>
      <c r="J30" s="11"/>
      <c r="K30" s="2"/>
      <c r="L30" s="23"/>
      <c r="M30" s="11"/>
      <c r="N30" s="11"/>
      <c r="O30" s="11"/>
      <c r="P30" s="24"/>
      <c r="Q30" s="24"/>
      <c r="R30" s="300" t="str">
        <f t="shared" si="35"/>
        <v/>
      </c>
      <c r="S30" s="1205"/>
      <c r="T30" s="1205"/>
      <c r="U30" s="24"/>
      <c r="V30" s="24"/>
      <c r="W30" s="300" t="str">
        <f t="shared" si="33"/>
        <v/>
      </c>
      <c r="X30" s="1205"/>
      <c r="Y30" s="1205"/>
      <c r="Z30" s="24"/>
      <c r="AA30" s="24"/>
      <c r="AB30" s="300" t="str">
        <f t="shared" si="34"/>
        <v/>
      </c>
      <c r="AC30" s="11"/>
      <c r="AD30" s="1202" t="str" cm="1">
        <f t="array" ref="AD30">IF((_xlfn.IFS(TRIM(SUBSTITUTE(AC30,CHAR(160),""))="Devis 1",IFERROR(VALUE(TRIM(SUBSTITUTE(P30,CHAR(160),""))),0),TRIM(SUBSTITUTE(AC30,CHAR(160),""))="Devis 2",IFERROR(VALUE(TRIM(SUBSTITUTE(U30,CHAR(160),""))),0),TRIM(SUBSTITUTE(AC30,CHAR(160),""))="Devis 3",IFERROR(VALUE(TRIM(SUBSTITUTE(Z30,CHAR(160),""))),0),TRUE,0)*IFERROR(VALUE(TRIM(SUBSTITUTE(K30,CHAR(160),""))),0))=0,"",_xlfn.IFS(TRIM(SUBSTITUTE(AC30,CHAR(160),""))="Devis 1",IFERROR(VALUE(TRIM(SUBSTITUTE(P30,CHAR(160),""))),0),TRIM(SUBSTITUTE(AC30,CHAR(160),""))="Devis 2",IFERROR(VALUE(TRIM(SUBSTITUTE(U30,CHAR(160),""))),0),TRIM(SUBSTITUTE(AC30,CHAR(160),""))="Devis 3",IFERROR(VALUE(TRIM(SUBSTITUTE(Z30,CHAR(160),""))),0),TRUE,0)*IFERROR(VALUE(TRIM(SUBSTITUTE(K30,CHAR(160),""))),0))</f>
        <v/>
      </c>
      <c r="AE30" s="1202" t="str" cm="1">
        <f t="array" ref="AE30">IF((_xlfn.IFS(TRIM(SUBSTITUTE(AC30,CHAR(160),""))="Devis 1",IFERROR(VALUE(TRIM(SUBSTITUTE(Q30,CHAR(160),""))),0),TRIM(SUBSTITUTE(AC30,CHAR(160),""))="Devis 2",IFERROR(VALUE(TRIM(SUBSTITUTE(V30,CHAR(160),""))),0),TRIM(SUBSTITUTE(AC30,CHAR(160),""))="Devis 3",IFERROR(VALUE(TRIM(SUBSTITUTE(AA30,CHAR(160),""))),0),TRUE,0)*IFERROR(VALUE(TRIM(SUBSTITUTE(K30,CHAR(160),""))),0))=0,"",_xlfn.IFS(TRIM(SUBSTITUTE(AC30,CHAR(160),""))="Devis 1",IFERROR(VALUE(TRIM(SUBSTITUTE(Q30,CHAR(160),""))),0),TRIM(SUBSTITUTE(AD30,CHAR(160),""))="Devis 2",IFERROR(VALUE(TRIM(SUBSTITUTE(V30,CHAR(160),""))),0),TRIM(SUBSTITUTE(AD30,CHAR(160),""))="Devis 3",IFERROR(VALUE(TRIM(SUBSTITUTE(AA30,CHAR(160),""))),0),TRUE,0)*IFERROR(VALUE(TRIM(SUBSTITUTE(K30,CHAR(160),""))),0))</f>
        <v/>
      </c>
      <c r="AF30" s="1202" t="str" cm="1">
        <f t="array" ref="AF30">IF((_xlfn.IFS(TRIM(SUBSTITUTE(AC30,CHAR(160),""))="Devis 1",IFERROR(VALUE(TRIM(SUBSTITUTE(R30,CHAR(160),""))),0),TRIM(SUBSTITUTE(AC30,CHAR(160),""))="Devis 2",IFERROR(VALUE(TRIM(SUBSTITUTE(W30,CHAR(160),""))),0),TRIM(SUBSTITUTE(AC30,CHAR(160),""))="Devis 3",IFERROR(VALUE(TRIM(SUBSTITUTE(AB30,CHAR(160),""))),0),TRUE,0)*IFERROR(VALUE(TRIM(SUBSTITUTE(K30,CHAR(160),""))),0))=0,"",_xlfn.IFS(TRIM(SUBSTITUTE(AC30,CHAR(160),""))="Devis 1",IFERROR(VALUE(TRIM(SUBSTITUTE(R30,CHAR(160),""))),0),TRIM(SUBSTITUTE(AC30,CHAR(160),""))="Devis 2",IFERROR(VALUE(TRIM(SUBSTITUTE(W30,CHAR(160),""))),0),TRIM(SUBSTITUTE(AC30,CHAR(160),""))="Devis 3",IFERROR(VALUE(TRIM(SUBSTITUTE(AB30,CHAR(160),""))),0),TRUE,0)*IFERROR(VALUE(TRIM(SUBSTITUTE(K30,CHAR(160),""))),0))</f>
        <v/>
      </c>
      <c r="AG30" s="488"/>
      <c r="AH30" s="215" t="str">
        <f t="shared" si="0"/>
        <v/>
      </c>
      <c r="AI30" s="57" t="str">
        <f t="shared" si="1"/>
        <v/>
      </c>
      <c r="AJ30" s="57" t="str">
        <f t="shared" si="2"/>
        <v/>
      </c>
      <c r="AK30" s="57" t="str">
        <f t="shared" si="3"/>
        <v/>
      </c>
      <c r="AL30" s="57" t="str">
        <f t="shared" si="4"/>
        <v/>
      </c>
      <c r="AM30" s="57" t="str">
        <f t="shared" si="5"/>
        <v/>
      </c>
      <c r="AN30" s="57" t="str">
        <f t="shared" si="6"/>
        <v/>
      </c>
      <c r="AO30" s="57" t="str">
        <f t="shared" si="7"/>
        <v/>
      </c>
      <c r="AP30" s="57" t="str">
        <f t="shared" si="8"/>
        <v/>
      </c>
      <c r="AQ30" s="57" t="str">
        <f t="shared" si="9"/>
        <v/>
      </c>
      <c r="AR30" s="57" t="str">
        <f t="shared" si="10"/>
        <v/>
      </c>
      <c r="AS30" s="57" t="str">
        <f t="shared" si="11"/>
        <v/>
      </c>
      <c r="AT30" s="57" t="str">
        <f t="shared" si="12"/>
        <v/>
      </c>
      <c r="AU30" s="57" t="str">
        <f t="shared" si="13"/>
        <v/>
      </c>
      <c r="AV30" s="57" t="str">
        <f t="shared" si="14"/>
        <v/>
      </c>
      <c r="AW30" s="300" t="str">
        <f t="shared" si="15"/>
        <v/>
      </c>
      <c r="AX30" s="57" t="str">
        <f t="shared" si="16"/>
        <v/>
      </c>
      <c r="AY30" s="57" t="str">
        <f t="shared" si="17"/>
        <v/>
      </c>
      <c r="AZ30" s="57" t="str">
        <f t="shared" si="18"/>
        <v/>
      </c>
      <c r="BA30" s="57" t="str">
        <f t="shared" si="19"/>
        <v/>
      </c>
      <c r="BB30" s="300" t="str">
        <f t="shared" si="20"/>
        <v/>
      </c>
      <c r="BC30" s="57" t="str">
        <f t="shared" si="21"/>
        <v/>
      </c>
      <c r="BD30" s="57" t="str">
        <f t="shared" si="22"/>
        <v/>
      </c>
      <c r="BE30" s="57" t="str">
        <f t="shared" si="23"/>
        <v/>
      </c>
      <c r="BF30" s="57" t="str">
        <f t="shared" si="24"/>
        <v/>
      </c>
      <c r="BG30" s="300" t="str">
        <f t="shared" si="25"/>
        <v/>
      </c>
      <c r="BH30" s="1203" t="str">
        <f t="shared" si="26"/>
        <v/>
      </c>
      <c r="BI30" s="260"/>
      <c r="BJ30" s="300" t="str">
        <f t="shared" si="27"/>
        <v/>
      </c>
      <c r="BK30" s="300" t="str">
        <f t="shared" si="28"/>
        <v/>
      </c>
      <c r="BL30" s="300" t="str">
        <f t="shared" si="29"/>
        <v/>
      </c>
      <c r="BM30" s="1202" t="str" cm="1">
        <f t="array" ref="BM30">IF($AP30="","",IF((IFERROR(_xlfn.IFS($BH30="Devis 1",(IFERROR(VALUE(TRIM(SUBSTITUTE(AU30,CHAR(160),""))),0)),$BH30="Devis 2",(IFERROR(VALUE(TRIM(SUBSTITUTE(AZ30,CHAR(160),""))),0)),$BH30="Devis 3",(IFERROR(VALUE(TRIM(SUBSTITUTE(BE30,CHAR(160),""))),0))),0))*(IFERROR(VALUE(TRIM(SUBSTITUTE($AP30,CHAR(160),""))),0))=0,"",(IFERROR(_xlfn.IFS($BH30="Devis 1",(IFERROR(VALUE(TRIM(SUBSTITUTE(AU30,CHAR(160),""))),0)),$BH30="Devis 2",(IFERROR(VALUE(TRIM(SUBSTITUTE(AZ30,CHAR(160),""))),0)),$BH30="Devis 3",(IFERROR(VALUE(TRIM(SUBSTITUTE(BE30,CHAR(160),""))),0))),0))*(IFERROR(VALUE(TRIM(SUBSTITUTE($AP30,CHAR(160),""))),0))))</f>
        <v/>
      </c>
      <c r="BN30" s="1202" t="str" cm="1">
        <f t="array" ref="BN30">IF($AP30="","",IF((IFERROR(_xlfn.IFS(TRIM(SUBSTITUTE($BH30,CHAR(160),""))="Devis 1", IFERROR(VALUE(TRIM(SUBSTITUTE(AV30,CHAR(160),""))),0),TRIM(SUBSTITUTE($BH30,CHAR(160),""))="Devis 2", IFERROR(VALUE(TRIM(SUBSTITUTE(BA30,CHAR(160),""))),0),TRIM(SUBSTITUTE($BH30,CHAR(160),""))="Devis 3", IFERROR(VALUE(TRIM(SUBSTITUTE(BF30,CHAR(160),""))),0)),0) * IFERROR(VALUE(TRIM(SUBSTITUTE($AP30,CHAR(160),""))),0)) = 0,IF(BM30&lt;&gt;"",0,""),(IFERROR(_xlfn.IFS(TRIM(SUBSTITUTE($BH30,CHAR(160),""))="Devis 1", IFERROR(VALUE(TRIM(SUBSTITUTE(AV30,CHAR(160),""))),0),TRIM(SUBSTITUTE($BH30,CHAR(160),""))="Devis 2", IFERROR(VALUE(TRIM(SUBSTITUTE(BA30,CHAR(160),""))),0),TRIM(SUBSTITUTE($BH30,CHAR(160),""))="Devis 3", IFERROR(VALUE(TRIM(SUBSTITUTE(BF30,CHAR(160),""))),0)),0) * IFERROR(VALUE(TRIM(SUBSTITUTE($AP30,CHAR(160),""))),0))))</f>
        <v/>
      </c>
      <c r="BO30" s="1202" t="str" cm="1">
        <f t="array" ref="BO30">IF($AP30="","",IF(IFERROR(_xlfn.IFS($BH30="Devis 1",IFERROR(VALUE(TRIM(SUBSTITUTE(AW30,CHAR(160),""))),0),$BH30="Devis 2",IFERROR(VALUE(TRIM(SUBSTITUTE(BB30,CHAR(160),""))),0),$BH30="Devis 3",IFERROR(VALUE(TRIM(SUBSTITUTE(BG30,CHAR(160),""))),0)),0)*IFERROR(VALUE(TRIM(SUBSTITUTE($AP30,CHAR(160),""))),0)=0,"",IFERROR(_xlfn.IFS($BH30="Devis 1",IFERROR(VALUE(TRIM(SUBSTITUTE(AW30,CHAR(160),""))),0),$BH30="Devis 2",IFERROR(VALUE(TRIM(SUBSTITUTE(BB30,CHAR(160),""))),0),$BH30="Devis 3",IFERROR(VALUE(TRIM(SUBSTITUTE(BG30,CHAR(160),""))),0)),0)*IFERROR(VALUE(TRIM(SUBSTITUTE($AP30,CHAR(160),""))),0)))</f>
        <v/>
      </c>
      <c r="BP30" s="194"/>
      <c r="BQ30" s="219" t="str" cm="1">
        <f t="array" ref="BQ30">IF(OR(BO30="",BL30="",BM30="",BJ30="",BN30="",BK30=""),"",_xlfn.IFS(
ROUND(IFERROR(VALUE(TRIM(SUBSTITUTE(BO30,CHAR(160),""))),0),2)&gt;
ROUND(IFERROR(VALUE(TRIM(SUBSTITUTE(BL30,CHAR(160),""))),0),2),
"KO : Le montant retenu TTC est supérieur au montant raisonnable TTC. Merci de revoir la ligne de dépense ou plafonner son montant.",
ROUND(IFERROR(VALUE(TRIM(SUBSTITUTE(BM30,CHAR(160),""))),0),2)&gt;
ROUND(IFERROR(VALUE(TRIM(SUBSTITUTE(BJ30,CHAR(160),""))),0),2),
"Attention : Le montant retenu HT est supérieur au montant HT raisonnable. Merci de revoir la ligne de dépense, plafonner son montant, ou justifier la reventillation HT / TVA.",
ROUND(IFERROR(VALUE(TRIM(SUBSTITUTE(BN30,CHAR(160),""))),0),2)&gt;
ROUND(IFERROR(VALUE(TRIM(SUBSTITUTE(BK30,CHAR(160),""))),0),2),
"Attention : Le montant TVA retenu est supérieur au montant TVA raisonnable. Merci de revoir la ligne de dépense, plafonner son montant, ou justifier la reventillation HT / TVA.",
ROUND(IFERROR(VALUE(TRIM(SUBSTITUTE(BO30,CHAR(160),""))),0),2)&gt;
ROUND(IFERROR(VALUE(TRIM(SUBSTITUTE(MIN(R30,W30,AB30),CHAR(160),""))),0),2),
"Attention : Le devis retenu n'est pas le moins cher. Une justification de la part du porteur est nécessaire.",
ROUND(IFERROR(VALUE(TRIM(SUBSTITUTE(BO30,CHAR(160),""))),0),2)=0,
"Attention : montant présenté entièrement écarté",
ROUND(IFERROR(VALUE(TRIM(SUBSTITUTE(BL30,CHAR(160),""))),0),2)=
ROUND(IFERROR(VALUE(TRIM(SUBSTITUTE(BO30,CHAR(160),""))),0),2),
"OK",
ROUND(IFERROR(VALUE(TRIM(SUBSTITUTE(BL30,CHAR(160),""))),0),2)&gt;
ROUND(IFERROR(VALUE(TRIM(SUBSTITUTE(BO30,CHAR(160),""))),0),2),
" OK : Montant instruit inférieur au montant raisonnable.",
TRUE,""
))</f>
        <v/>
      </c>
      <c r="BR30" s="216" t="str" cm="1">
        <f t="array" ref="BR30">IF(OR(BO30="",AF30="",BM30="",AD30="",BN30="",AE30=""),"",_xlfn.IFS(
ROUND(IFERROR(VALUE(TRIM(SUBSTITUTE(BO30,CHAR(160),""))),0),2)&gt;
ROUND(IFERROR(VALUE(TRIM(SUBSTITUTE(AF30,CHAR(160),""))),0),2),
"KO : Le montant retenu TTC est supérieur au montant présenté TTC. Merci de revoir la ligne de dépense ou plafonner son montant.",
ROUND(IFERROR(VALUE(TRIM(SUBSTITUTE(BM30,CHAR(160),""))),0),2)&gt;
ROUND(IFERROR(VALUE(TRIM(SUBSTITUTE(AD30,CHAR(160),""))),0),2),
"Attention : Le montant retenu HT est supérieur au montant HT présenté. Merci de revoir la ligne de dépense, plafonner son montant, ou justifier la reventillation HT / TVA.",
ROUND(IFERROR(VALUE(TRIM(SUBSTITUTE(BN30,CHAR(160),""))),0),2)&gt;
ROUND(IFERROR(VALUE(TRIM(SUBSTITUTE(AE30,CHAR(160),""))),0),2),
"Attention : Le montant TVA retenu est supérieur au montant TVA présenté. Merci de revoir la ligne de dépense, plafonner son montant, ou justifier la reventillation HT / TVA.",
ROUND(IFERROR(VALUE(TRIM(SUBSTITUTE(AF30,CHAR(160),""))),0),2)=0,
"",
ROUND(IFERROR(VALUE(TRIM(SUBSTITUTE(BO30,CHAR(160),""))),0),2)=
ROUND(IFERROR(VALUE(TRIM(SUBSTITUTE(AF30,CHAR(160),""))),0),2),
"OK",
ROUND(IFERROR(VALUE(TRIM(SUBSTITUTE(BO30,CHAR(160),""))),0),2)=0,
"Attention : Montant présenté entièrement rejeté.",
ROUND(IFERROR(VALUE(TRIM(SUBSTITUTE(BO30,CHAR(160),""))),0),2)&lt;
ROUND(IFERROR(VALUE(TRIM(SUBSTITUTE(AF30,CHAR(160),""))),0),2),
"Attention : Montant présenté partiellement rejeté.",
TRUE,""
))</f>
        <v/>
      </c>
      <c r="BS30" s="1202" t="str">
        <f t="shared" si="30"/>
        <v/>
      </c>
      <c r="BT30" s="1202" t="str">
        <f t="shared" si="31"/>
        <v/>
      </c>
      <c r="BU30" s="1216" t="str">
        <f t="shared" si="32"/>
        <v/>
      </c>
    </row>
    <row r="31" spans="2:73" ht="15.95" customHeight="1">
      <c r="B31" s="303">
        <v>22</v>
      </c>
      <c r="C31" s="11"/>
      <c r="D31" s="11"/>
      <c r="E31" s="22"/>
      <c r="F31" s="11"/>
      <c r="G31" s="11"/>
      <c r="H31" s="11"/>
      <c r="I31" s="22"/>
      <c r="J31" s="11"/>
      <c r="K31" s="2"/>
      <c r="L31" s="23"/>
      <c r="M31" s="11"/>
      <c r="N31" s="11"/>
      <c r="O31" s="11"/>
      <c r="P31" s="24"/>
      <c r="Q31" s="24"/>
      <c r="R31" s="300" t="str">
        <f t="shared" si="35"/>
        <v/>
      </c>
      <c r="S31" s="1205"/>
      <c r="T31" s="1205"/>
      <c r="U31" s="24"/>
      <c r="V31" s="24"/>
      <c r="W31" s="300" t="str">
        <f t="shared" si="33"/>
        <v/>
      </c>
      <c r="X31" s="1205"/>
      <c r="Y31" s="1205"/>
      <c r="Z31" s="24"/>
      <c r="AA31" s="24"/>
      <c r="AB31" s="300" t="str">
        <f t="shared" si="34"/>
        <v/>
      </c>
      <c r="AC31" s="11"/>
      <c r="AD31" s="1202" t="str" cm="1">
        <f t="array" ref="AD31">IF((_xlfn.IFS(TRIM(SUBSTITUTE(AC31,CHAR(160),""))="Devis 1",IFERROR(VALUE(TRIM(SUBSTITUTE(P31,CHAR(160),""))),0),TRIM(SUBSTITUTE(AC31,CHAR(160),""))="Devis 2",IFERROR(VALUE(TRIM(SUBSTITUTE(U31,CHAR(160),""))),0),TRIM(SUBSTITUTE(AC31,CHAR(160),""))="Devis 3",IFERROR(VALUE(TRIM(SUBSTITUTE(Z31,CHAR(160),""))),0),TRUE,0)*IFERROR(VALUE(TRIM(SUBSTITUTE(K31,CHAR(160),""))),0))=0,"",_xlfn.IFS(TRIM(SUBSTITUTE(AC31,CHAR(160),""))="Devis 1",IFERROR(VALUE(TRIM(SUBSTITUTE(P31,CHAR(160),""))),0),TRIM(SUBSTITUTE(AC31,CHAR(160),""))="Devis 2",IFERROR(VALUE(TRIM(SUBSTITUTE(U31,CHAR(160),""))),0),TRIM(SUBSTITUTE(AC31,CHAR(160),""))="Devis 3",IFERROR(VALUE(TRIM(SUBSTITUTE(Z31,CHAR(160),""))),0),TRUE,0)*IFERROR(VALUE(TRIM(SUBSTITUTE(K31,CHAR(160),""))),0))</f>
        <v/>
      </c>
      <c r="AE31" s="1202" t="str" cm="1">
        <f t="array" ref="AE31">IF((_xlfn.IFS(TRIM(SUBSTITUTE(AC31,CHAR(160),""))="Devis 1",IFERROR(VALUE(TRIM(SUBSTITUTE(Q31,CHAR(160),""))),0),TRIM(SUBSTITUTE(AC31,CHAR(160),""))="Devis 2",IFERROR(VALUE(TRIM(SUBSTITUTE(V31,CHAR(160),""))),0),TRIM(SUBSTITUTE(AC31,CHAR(160),""))="Devis 3",IFERROR(VALUE(TRIM(SUBSTITUTE(AA31,CHAR(160),""))),0),TRUE,0)*IFERROR(VALUE(TRIM(SUBSTITUTE(K31,CHAR(160),""))),0))=0,"",_xlfn.IFS(TRIM(SUBSTITUTE(AC31,CHAR(160),""))="Devis 1",IFERROR(VALUE(TRIM(SUBSTITUTE(Q31,CHAR(160),""))),0),TRIM(SUBSTITUTE(AD31,CHAR(160),""))="Devis 2",IFERROR(VALUE(TRIM(SUBSTITUTE(V31,CHAR(160),""))),0),TRIM(SUBSTITUTE(AD31,CHAR(160),""))="Devis 3",IFERROR(VALUE(TRIM(SUBSTITUTE(AA31,CHAR(160),""))),0),TRUE,0)*IFERROR(VALUE(TRIM(SUBSTITUTE(K31,CHAR(160),""))),0))</f>
        <v/>
      </c>
      <c r="AF31" s="1202" t="str" cm="1">
        <f t="array" ref="AF31">IF((_xlfn.IFS(TRIM(SUBSTITUTE(AC31,CHAR(160),""))="Devis 1",IFERROR(VALUE(TRIM(SUBSTITUTE(R31,CHAR(160),""))),0),TRIM(SUBSTITUTE(AC31,CHAR(160),""))="Devis 2",IFERROR(VALUE(TRIM(SUBSTITUTE(W31,CHAR(160),""))),0),TRIM(SUBSTITUTE(AC31,CHAR(160),""))="Devis 3",IFERROR(VALUE(TRIM(SUBSTITUTE(AB31,CHAR(160),""))),0),TRUE,0)*IFERROR(VALUE(TRIM(SUBSTITUTE(K31,CHAR(160),""))),0))=0,"",_xlfn.IFS(TRIM(SUBSTITUTE(AC31,CHAR(160),""))="Devis 1",IFERROR(VALUE(TRIM(SUBSTITUTE(R31,CHAR(160),""))),0),TRIM(SUBSTITUTE(AC31,CHAR(160),""))="Devis 2",IFERROR(VALUE(TRIM(SUBSTITUTE(W31,CHAR(160),""))),0),TRIM(SUBSTITUTE(AC31,CHAR(160),""))="Devis 3",IFERROR(VALUE(TRIM(SUBSTITUTE(AB31,CHAR(160),""))),0),TRUE,0)*IFERROR(VALUE(TRIM(SUBSTITUTE(K31,CHAR(160),""))),0))</f>
        <v/>
      </c>
      <c r="AG31" s="488"/>
      <c r="AH31" s="215" t="str">
        <f t="shared" si="0"/>
        <v/>
      </c>
      <c r="AI31" s="57" t="str">
        <f t="shared" si="1"/>
        <v/>
      </c>
      <c r="AJ31" s="57" t="str">
        <f t="shared" si="2"/>
        <v/>
      </c>
      <c r="AK31" s="57" t="str">
        <f t="shared" si="3"/>
        <v/>
      </c>
      <c r="AL31" s="57" t="str">
        <f t="shared" si="4"/>
        <v/>
      </c>
      <c r="AM31" s="57" t="str">
        <f t="shared" si="5"/>
        <v/>
      </c>
      <c r="AN31" s="57" t="str">
        <f t="shared" si="6"/>
        <v/>
      </c>
      <c r="AO31" s="57" t="str">
        <f t="shared" si="7"/>
        <v/>
      </c>
      <c r="AP31" s="57" t="str">
        <f t="shared" si="8"/>
        <v/>
      </c>
      <c r="AQ31" s="57" t="str">
        <f t="shared" si="9"/>
        <v/>
      </c>
      <c r="AR31" s="57" t="str">
        <f t="shared" si="10"/>
        <v/>
      </c>
      <c r="AS31" s="57" t="str">
        <f t="shared" si="11"/>
        <v/>
      </c>
      <c r="AT31" s="57" t="str">
        <f t="shared" si="12"/>
        <v/>
      </c>
      <c r="AU31" s="57" t="str">
        <f t="shared" si="13"/>
        <v/>
      </c>
      <c r="AV31" s="57" t="str">
        <f t="shared" si="14"/>
        <v/>
      </c>
      <c r="AW31" s="300" t="str">
        <f t="shared" si="15"/>
        <v/>
      </c>
      <c r="AX31" s="57" t="str">
        <f t="shared" si="16"/>
        <v/>
      </c>
      <c r="AY31" s="57" t="str">
        <f t="shared" si="17"/>
        <v/>
      </c>
      <c r="AZ31" s="57" t="str">
        <f t="shared" si="18"/>
        <v/>
      </c>
      <c r="BA31" s="57" t="str">
        <f t="shared" si="19"/>
        <v/>
      </c>
      <c r="BB31" s="300" t="str">
        <f t="shared" si="20"/>
        <v/>
      </c>
      <c r="BC31" s="57" t="str">
        <f t="shared" si="21"/>
        <v/>
      </c>
      <c r="BD31" s="57" t="str">
        <f t="shared" si="22"/>
        <v/>
      </c>
      <c r="BE31" s="57" t="str">
        <f t="shared" si="23"/>
        <v/>
      </c>
      <c r="BF31" s="57" t="str">
        <f t="shared" si="24"/>
        <v/>
      </c>
      <c r="BG31" s="300" t="str">
        <f t="shared" si="25"/>
        <v/>
      </c>
      <c r="BH31" s="1203" t="str">
        <f t="shared" si="26"/>
        <v/>
      </c>
      <c r="BI31" s="260"/>
      <c r="BJ31" s="300" t="str">
        <f t="shared" si="27"/>
        <v/>
      </c>
      <c r="BK31" s="300" t="str">
        <f t="shared" si="28"/>
        <v/>
      </c>
      <c r="BL31" s="300" t="str">
        <f t="shared" si="29"/>
        <v/>
      </c>
      <c r="BM31" s="1202" t="str" cm="1">
        <f t="array" ref="BM31">IF($AP31="","",IF((IFERROR(_xlfn.IFS($BH31="Devis 1",(IFERROR(VALUE(TRIM(SUBSTITUTE(AU31,CHAR(160),""))),0)),$BH31="Devis 2",(IFERROR(VALUE(TRIM(SUBSTITUTE(AZ31,CHAR(160),""))),0)),$BH31="Devis 3",(IFERROR(VALUE(TRIM(SUBSTITUTE(BE31,CHAR(160),""))),0))),0))*(IFERROR(VALUE(TRIM(SUBSTITUTE($AP31,CHAR(160),""))),0))=0,"",(IFERROR(_xlfn.IFS($BH31="Devis 1",(IFERROR(VALUE(TRIM(SUBSTITUTE(AU31,CHAR(160),""))),0)),$BH31="Devis 2",(IFERROR(VALUE(TRIM(SUBSTITUTE(AZ31,CHAR(160),""))),0)),$BH31="Devis 3",(IFERROR(VALUE(TRIM(SUBSTITUTE(BE31,CHAR(160),""))),0))),0))*(IFERROR(VALUE(TRIM(SUBSTITUTE($AP31,CHAR(160),""))),0))))</f>
        <v/>
      </c>
      <c r="BN31" s="1202" t="str" cm="1">
        <f t="array" ref="BN31">IF($AP31="","",IF((IFERROR(_xlfn.IFS(TRIM(SUBSTITUTE($BH31,CHAR(160),""))="Devis 1", IFERROR(VALUE(TRIM(SUBSTITUTE(AV31,CHAR(160),""))),0),TRIM(SUBSTITUTE($BH31,CHAR(160),""))="Devis 2", IFERROR(VALUE(TRIM(SUBSTITUTE(BA31,CHAR(160),""))),0),TRIM(SUBSTITUTE($BH31,CHAR(160),""))="Devis 3", IFERROR(VALUE(TRIM(SUBSTITUTE(BF31,CHAR(160),""))),0)),0) * IFERROR(VALUE(TRIM(SUBSTITUTE($AP31,CHAR(160),""))),0)) = 0,IF(BM31&lt;&gt;"",0,""),(IFERROR(_xlfn.IFS(TRIM(SUBSTITUTE($BH31,CHAR(160),""))="Devis 1", IFERROR(VALUE(TRIM(SUBSTITUTE(AV31,CHAR(160),""))),0),TRIM(SUBSTITUTE($BH31,CHAR(160),""))="Devis 2", IFERROR(VALUE(TRIM(SUBSTITUTE(BA31,CHAR(160),""))),0),TRIM(SUBSTITUTE($BH31,CHAR(160),""))="Devis 3", IFERROR(VALUE(TRIM(SUBSTITUTE(BF31,CHAR(160),""))),0)),0) * IFERROR(VALUE(TRIM(SUBSTITUTE($AP31,CHAR(160),""))),0))))</f>
        <v/>
      </c>
      <c r="BO31" s="1202" t="str" cm="1">
        <f t="array" ref="BO31">IF($AP31="","",IF(IFERROR(_xlfn.IFS($BH31="Devis 1",IFERROR(VALUE(TRIM(SUBSTITUTE(AW31,CHAR(160),""))),0),$BH31="Devis 2",IFERROR(VALUE(TRIM(SUBSTITUTE(BB31,CHAR(160),""))),0),$BH31="Devis 3",IFERROR(VALUE(TRIM(SUBSTITUTE(BG31,CHAR(160),""))),0)),0)*IFERROR(VALUE(TRIM(SUBSTITUTE($AP31,CHAR(160),""))),0)=0,"",IFERROR(_xlfn.IFS($BH31="Devis 1",IFERROR(VALUE(TRIM(SUBSTITUTE(AW31,CHAR(160),""))),0),$BH31="Devis 2",IFERROR(VALUE(TRIM(SUBSTITUTE(BB31,CHAR(160),""))),0),$BH31="Devis 3",IFERROR(VALUE(TRIM(SUBSTITUTE(BG31,CHAR(160),""))),0)),0)*IFERROR(VALUE(TRIM(SUBSTITUTE($AP31,CHAR(160),""))),0)))</f>
        <v/>
      </c>
      <c r="BP31" s="194"/>
      <c r="BQ31" s="219" t="str" cm="1">
        <f t="array" ref="BQ31">IF(OR(BO31="",BL31="",BM31="",BJ31="",BN31="",BK31=""),"",_xlfn.IFS(
ROUND(IFERROR(VALUE(TRIM(SUBSTITUTE(BO31,CHAR(160),""))),0),2)&gt;
ROUND(IFERROR(VALUE(TRIM(SUBSTITUTE(BL31,CHAR(160),""))),0),2),
"KO : Le montant retenu TTC est supérieur au montant raisonnable TTC. Merci de revoir la ligne de dépense ou plafonner son montant.",
ROUND(IFERROR(VALUE(TRIM(SUBSTITUTE(BM31,CHAR(160),""))),0),2)&gt;
ROUND(IFERROR(VALUE(TRIM(SUBSTITUTE(BJ31,CHAR(160),""))),0),2),
"Attention : Le montant retenu HT est supérieur au montant HT raisonnable. Merci de revoir la ligne de dépense, plafonner son montant, ou justifier la reventillation HT / TVA.",
ROUND(IFERROR(VALUE(TRIM(SUBSTITUTE(BN31,CHAR(160),""))),0),2)&gt;
ROUND(IFERROR(VALUE(TRIM(SUBSTITUTE(BK31,CHAR(160),""))),0),2),
"Attention : Le montant TVA retenu est supérieur au montant TVA raisonnable. Merci de revoir la ligne de dépense, plafonner son montant, ou justifier la reventillation HT / TVA.",
ROUND(IFERROR(VALUE(TRIM(SUBSTITUTE(BO31,CHAR(160),""))),0),2)&gt;
ROUND(IFERROR(VALUE(TRIM(SUBSTITUTE(MIN(R31,W31,AB31),CHAR(160),""))),0),2),
"Attention : Le devis retenu n'est pas le moins cher. Une justification de la part du porteur est nécessaire.",
ROUND(IFERROR(VALUE(TRIM(SUBSTITUTE(BO31,CHAR(160),""))),0),2)=0,
"Attention : montant présenté entièrement écarté",
ROUND(IFERROR(VALUE(TRIM(SUBSTITUTE(BL31,CHAR(160),""))),0),2)=
ROUND(IFERROR(VALUE(TRIM(SUBSTITUTE(BO31,CHAR(160),""))),0),2),
"OK",
ROUND(IFERROR(VALUE(TRIM(SUBSTITUTE(BL31,CHAR(160),""))),0),2)&gt;
ROUND(IFERROR(VALUE(TRIM(SUBSTITUTE(BO31,CHAR(160),""))),0),2),
" OK : Montant instruit inférieur au montant raisonnable.",
TRUE,""
))</f>
        <v/>
      </c>
      <c r="BR31" s="216" t="str" cm="1">
        <f t="array" ref="BR31">IF(OR(BO31="",AF31="",BM31="",AD31="",BN31="",AE31=""),"",_xlfn.IFS(
ROUND(IFERROR(VALUE(TRIM(SUBSTITUTE(BO31,CHAR(160),""))),0),2)&gt;
ROUND(IFERROR(VALUE(TRIM(SUBSTITUTE(AF31,CHAR(160),""))),0),2),
"KO : Le montant retenu TTC est supérieur au montant présenté TTC. Merci de revoir la ligne de dépense ou plafonner son montant.",
ROUND(IFERROR(VALUE(TRIM(SUBSTITUTE(BM31,CHAR(160),""))),0),2)&gt;
ROUND(IFERROR(VALUE(TRIM(SUBSTITUTE(AD31,CHAR(160),""))),0),2),
"Attention : Le montant retenu HT est supérieur au montant HT présenté. Merci de revoir la ligne de dépense, plafonner son montant, ou justifier la reventillation HT / TVA.",
ROUND(IFERROR(VALUE(TRIM(SUBSTITUTE(BN31,CHAR(160),""))),0),2)&gt;
ROUND(IFERROR(VALUE(TRIM(SUBSTITUTE(AE31,CHAR(160),""))),0),2),
"Attention : Le montant TVA retenu est supérieur au montant TVA présenté. Merci de revoir la ligne de dépense, plafonner son montant, ou justifier la reventillation HT / TVA.",
ROUND(IFERROR(VALUE(TRIM(SUBSTITUTE(AF31,CHAR(160),""))),0),2)=0,
"",
ROUND(IFERROR(VALUE(TRIM(SUBSTITUTE(BO31,CHAR(160),""))),0),2)=
ROUND(IFERROR(VALUE(TRIM(SUBSTITUTE(AF31,CHAR(160),""))),0),2),
"OK",
ROUND(IFERROR(VALUE(TRIM(SUBSTITUTE(BO31,CHAR(160),""))),0),2)=0,
"Attention : Montant présenté entièrement rejeté.",
ROUND(IFERROR(VALUE(TRIM(SUBSTITUTE(BO31,CHAR(160),""))),0),2)&lt;
ROUND(IFERROR(VALUE(TRIM(SUBSTITUTE(AF31,CHAR(160),""))),0),2),
"Attention : Montant présenté partiellement rejeté.",
TRUE,""
))</f>
        <v/>
      </c>
      <c r="BS31" s="1202" t="str">
        <f t="shared" si="30"/>
        <v/>
      </c>
      <c r="BT31" s="1202" t="str">
        <f t="shared" si="31"/>
        <v/>
      </c>
      <c r="BU31" s="1216" t="str">
        <f t="shared" si="32"/>
        <v/>
      </c>
    </row>
    <row r="32" spans="2:73" ht="15.95" customHeight="1">
      <c r="B32" s="303">
        <v>23</v>
      </c>
      <c r="C32" s="11"/>
      <c r="D32" s="11"/>
      <c r="E32" s="22"/>
      <c r="F32" s="11"/>
      <c r="G32" s="11"/>
      <c r="H32" s="11"/>
      <c r="I32" s="22"/>
      <c r="J32" s="11"/>
      <c r="K32" s="2"/>
      <c r="L32" s="23"/>
      <c r="M32" s="11"/>
      <c r="N32" s="11"/>
      <c r="O32" s="11"/>
      <c r="P32" s="24"/>
      <c r="Q32" s="24"/>
      <c r="R32" s="300" t="str">
        <f t="shared" si="35"/>
        <v/>
      </c>
      <c r="S32" s="1205"/>
      <c r="T32" s="1205"/>
      <c r="U32" s="24"/>
      <c r="V32" s="24"/>
      <c r="W32" s="300" t="str">
        <f t="shared" si="33"/>
        <v/>
      </c>
      <c r="X32" s="1205"/>
      <c r="Y32" s="1205"/>
      <c r="Z32" s="24"/>
      <c r="AA32" s="24"/>
      <c r="AB32" s="300" t="str">
        <f t="shared" si="34"/>
        <v/>
      </c>
      <c r="AC32" s="11"/>
      <c r="AD32" s="1202" t="str" cm="1">
        <f t="array" ref="AD32">IF((_xlfn.IFS(TRIM(SUBSTITUTE(AC32,CHAR(160),""))="Devis 1",IFERROR(VALUE(TRIM(SUBSTITUTE(P32,CHAR(160),""))),0),TRIM(SUBSTITUTE(AC32,CHAR(160),""))="Devis 2",IFERROR(VALUE(TRIM(SUBSTITUTE(U32,CHAR(160),""))),0),TRIM(SUBSTITUTE(AC32,CHAR(160),""))="Devis 3",IFERROR(VALUE(TRIM(SUBSTITUTE(Z32,CHAR(160),""))),0),TRUE,0)*IFERROR(VALUE(TRIM(SUBSTITUTE(K32,CHAR(160),""))),0))=0,"",_xlfn.IFS(TRIM(SUBSTITUTE(AC32,CHAR(160),""))="Devis 1",IFERROR(VALUE(TRIM(SUBSTITUTE(P32,CHAR(160),""))),0),TRIM(SUBSTITUTE(AC32,CHAR(160),""))="Devis 2",IFERROR(VALUE(TRIM(SUBSTITUTE(U32,CHAR(160),""))),0),TRIM(SUBSTITUTE(AC32,CHAR(160),""))="Devis 3",IFERROR(VALUE(TRIM(SUBSTITUTE(Z32,CHAR(160),""))),0),TRUE,0)*IFERROR(VALUE(TRIM(SUBSTITUTE(K32,CHAR(160),""))),0))</f>
        <v/>
      </c>
      <c r="AE32" s="1202" t="str" cm="1">
        <f t="array" ref="AE32">IF((_xlfn.IFS(TRIM(SUBSTITUTE(AC32,CHAR(160),""))="Devis 1",IFERROR(VALUE(TRIM(SUBSTITUTE(Q32,CHAR(160),""))),0),TRIM(SUBSTITUTE(AC32,CHAR(160),""))="Devis 2",IFERROR(VALUE(TRIM(SUBSTITUTE(V32,CHAR(160),""))),0),TRIM(SUBSTITUTE(AC32,CHAR(160),""))="Devis 3",IFERROR(VALUE(TRIM(SUBSTITUTE(AA32,CHAR(160),""))),0),TRUE,0)*IFERROR(VALUE(TRIM(SUBSTITUTE(K32,CHAR(160),""))),0))=0,"",_xlfn.IFS(TRIM(SUBSTITUTE(AC32,CHAR(160),""))="Devis 1",IFERROR(VALUE(TRIM(SUBSTITUTE(Q32,CHAR(160),""))),0),TRIM(SUBSTITUTE(AD32,CHAR(160),""))="Devis 2",IFERROR(VALUE(TRIM(SUBSTITUTE(V32,CHAR(160),""))),0),TRIM(SUBSTITUTE(AD32,CHAR(160),""))="Devis 3",IFERROR(VALUE(TRIM(SUBSTITUTE(AA32,CHAR(160),""))),0),TRUE,0)*IFERROR(VALUE(TRIM(SUBSTITUTE(K32,CHAR(160),""))),0))</f>
        <v/>
      </c>
      <c r="AF32" s="1202" t="str" cm="1">
        <f t="array" ref="AF32">IF((_xlfn.IFS(TRIM(SUBSTITUTE(AC32,CHAR(160),""))="Devis 1",IFERROR(VALUE(TRIM(SUBSTITUTE(R32,CHAR(160),""))),0),TRIM(SUBSTITUTE(AC32,CHAR(160),""))="Devis 2",IFERROR(VALUE(TRIM(SUBSTITUTE(W32,CHAR(160),""))),0),TRIM(SUBSTITUTE(AC32,CHAR(160),""))="Devis 3",IFERROR(VALUE(TRIM(SUBSTITUTE(AB32,CHAR(160),""))),0),TRUE,0)*IFERROR(VALUE(TRIM(SUBSTITUTE(K32,CHAR(160),""))),0))=0,"",_xlfn.IFS(TRIM(SUBSTITUTE(AC32,CHAR(160),""))="Devis 1",IFERROR(VALUE(TRIM(SUBSTITUTE(R32,CHAR(160),""))),0),TRIM(SUBSTITUTE(AC32,CHAR(160),""))="Devis 2",IFERROR(VALUE(TRIM(SUBSTITUTE(W32,CHAR(160),""))),0),TRIM(SUBSTITUTE(AC32,CHAR(160),""))="Devis 3",IFERROR(VALUE(TRIM(SUBSTITUTE(AB32,CHAR(160),""))),0),TRUE,0)*IFERROR(VALUE(TRIM(SUBSTITUTE(K32,CHAR(160),""))),0))</f>
        <v/>
      </c>
      <c r="AG32" s="488"/>
      <c r="AH32" s="215" t="str">
        <f t="shared" si="0"/>
        <v/>
      </c>
      <c r="AI32" s="57" t="str">
        <f t="shared" si="1"/>
        <v/>
      </c>
      <c r="AJ32" s="57" t="str">
        <f t="shared" si="2"/>
        <v/>
      </c>
      <c r="AK32" s="57" t="str">
        <f t="shared" si="3"/>
        <v/>
      </c>
      <c r="AL32" s="57" t="str">
        <f t="shared" si="4"/>
        <v/>
      </c>
      <c r="AM32" s="57" t="str">
        <f t="shared" si="5"/>
        <v/>
      </c>
      <c r="AN32" s="57" t="str">
        <f t="shared" si="6"/>
        <v/>
      </c>
      <c r="AO32" s="57" t="str">
        <f t="shared" si="7"/>
        <v/>
      </c>
      <c r="AP32" s="57" t="str">
        <f t="shared" si="8"/>
        <v/>
      </c>
      <c r="AQ32" s="57" t="str">
        <f t="shared" si="9"/>
        <v/>
      </c>
      <c r="AR32" s="57" t="str">
        <f t="shared" si="10"/>
        <v/>
      </c>
      <c r="AS32" s="57" t="str">
        <f t="shared" si="11"/>
        <v/>
      </c>
      <c r="AT32" s="57" t="str">
        <f t="shared" si="12"/>
        <v/>
      </c>
      <c r="AU32" s="57" t="str">
        <f t="shared" si="13"/>
        <v/>
      </c>
      <c r="AV32" s="57" t="str">
        <f t="shared" si="14"/>
        <v/>
      </c>
      <c r="AW32" s="300" t="str">
        <f t="shared" si="15"/>
        <v/>
      </c>
      <c r="AX32" s="57" t="str">
        <f t="shared" si="16"/>
        <v/>
      </c>
      <c r="AY32" s="57" t="str">
        <f t="shared" si="17"/>
        <v/>
      </c>
      <c r="AZ32" s="57" t="str">
        <f t="shared" si="18"/>
        <v/>
      </c>
      <c r="BA32" s="57" t="str">
        <f t="shared" si="19"/>
        <v/>
      </c>
      <c r="BB32" s="300" t="str">
        <f t="shared" si="20"/>
        <v/>
      </c>
      <c r="BC32" s="57" t="str">
        <f t="shared" si="21"/>
        <v/>
      </c>
      <c r="BD32" s="57" t="str">
        <f t="shared" si="22"/>
        <v/>
      </c>
      <c r="BE32" s="57" t="str">
        <f t="shared" si="23"/>
        <v/>
      </c>
      <c r="BF32" s="57" t="str">
        <f t="shared" si="24"/>
        <v/>
      </c>
      <c r="BG32" s="300" t="str">
        <f t="shared" si="25"/>
        <v/>
      </c>
      <c r="BH32" s="1203" t="str">
        <f t="shared" si="26"/>
        <v/>
      </c>
      <c r="BI32" s="260"/>
      <c r="BJ32" s="300" t="str">
        <f t="shared" si="27"/>
        <v/>
      </c>
      <c r="BK32" s="300" t="str">
        <f t="shared" si="28"/>
        <v/>
      </c>
      <c r="BL32" s="300" t="str">
        <f t="shared" si="29"/>
        <v/>
      </c>
      <c r="BM32" s="1202" t="str" cm="1">
        <f t="array" ref="BM32">IF($AP32="","",IF((IFERROR(_xlfn.IFS($BH32="Devis 1",(IFERROR(VALUE(TRIM(SUBSTITUTE(AU32,CHAR(160),""))),0)),$BH32="Devis 2",(IFERROR(VALUE(TRIM(SUBSTITUTE(AZ32,CHAR(160),""))),0)),$BH32="Devis 3",(IFERROR(VALUE(TRIM(SUBSTITUTE(BE32,CHAR(160),""))),0))),0))*(IFERROR(VALUE(TRIM(SUBSTITUTE($AP32,CHAR(160),""))),0))=0,"",(IFERROR(_xlfn.IFS($BH32="Devis 1",(IFERROR(VALUE(TRIM(SUBSTITUTE(AU32,CHAR(160),""))),0)),$BH32="Devis 2",(IFERROR(VALUE(TRIM(SUBSTITUTE(AZ32,CHAR(160),""))),0)),$BH32="Devis 3",(IFERROR(VALUE(TRIM(SUBSTITUTE(BE32,CHAR(160),""))),0))),0))*(IFERROR(VALUE(TRIM(SUBSTITUTE($AP32,CHAR(160),""))),0))))</f>
        <v/>
      </c>
      <c r="BN32" s="1202" t="str" cm="1">
        <f t="array" ref="BN32">IF($AP32="","",IF((IFERROR(_xlfn.IFS(TRIM(SUBSTITUTE($BH32,CHAR(160),""))="Devis 1", IFERROR(VALUE(TRIM(SUBSTITUTE(AV32,CHAR(160),""))),0),TRIM(SUBSTITUTE($BH32,CHAR(160),""))="Devis 2", IFERROR(VALUE(TRIM(SUBSTITUTE(BA32,CHAR(160),""))),0),TRIM(SUBSTITUTE($BH32,CHAR(160),""))="Devis 3", IFERROR(VALUE(TRIM(SUBSTITUTE(BF32,CHAR(160),""))),0)),0) * IFERROR(VALUE(TRIM(SUBSTITUTE($AP32,CHAR(160),""))),0)) = 0,IF(BM32&lt;&gt;"",0,""),(IFERROR(_xlfn.IFS(TRIM(SUBSTITUTE($BH32,CHAR(160),""))="Devis 1", IFERROR(VALUE(TRIM(SUBSTITUTE(AV32,CHAR(160),""))),0),TRIM(SUBSTITUTE($BH32,CHAR(160),""))="Devis 2", IFERROR(VALUE(TRIM(SUBSTITUTE(BA32,CHAR(160),""))),0),TRIM(SUBSTITUTE($BH32,CHAR(160),""))="Devis 3", IFERROR(VALUE(TRIM(SUBSTITUTE(BF32,CHAR(160),""))),0)),0) * IFERROR(VALUE(TRIM(SUBSTITUTE($AP32,CHAR(160),""))),0))))</f>
        <v/>
      </c>
      <c r="BO32" s="1202" t="str" cm="1">
        <f t="array" ref="BO32">IF($AP32="","",IF(IFERROR(_xlfn.IFS($BH32="Devis 1",IFERROR(VALUE(TRIM(SUBSTITUTE(AW32,CHAR(160),""))),0),$BH32="Devis 2",IFERROR(VALUE(TRIM(SUBSTITUTE(BB32,CHAR(160),""))),0),$BH32="Devis 3",IFERROR(VALUE(TRIM(SUBSTITUTE(BG32,CHAR(160),""))),0)),0)*IFERROR(VALUE(TRIM(SUBSTITUTE($AP32,CHAR(160),""))),0)=0,"",IFERROR(_xlfn.IFS($BH32="Devis 1",IFERROR(VALUE(TRIM(SUBSTITUTE(AW32,CHAR(160),""))),0),$BH32="Devis 2",IFERROR(VALUE(TRIM(SUBSTITUTE(BB32,CHAR(160),""))),0),$BH32="Devis 3",IFERROR(VALUE(TRIM(SUBSTITUTE(BG32,CHAR(160),""))),0)),0)*IFERROR(VALUE(TRIM(SUBSTITUTE($AP32,CHAR(160),""))),0)))</f>
        <v/>
      </c>
      <c r="BP32" s="194"/>
      <c r="BQ32" s="219" t="str" cm="1">
        <f t="array" ref="BQ32">IF(OR(BO32="",BL32="",BM32="",BJ32="",BN32="",BK32=""),"",_xlfn.IFS(
ROUND(IFERROR(VALUE(TRIM(SUBSTITUTE(BO32,CHAR(160),""))),0),2)&gt;
ROUND(IFERROR(VALUE(TRIM(SUBSTITUTE(BL32,CHAR(160),""))),0),2),
"KO : Le montant retenu TTC est supérieur au montant raisonnable TTC. Merci de revoir la ligne de dépense ou plafonner son montant.",
ROUND(IFERROR(VALUE(TRIM(SUBSTITUTE(BM32,CHAR(160),""))),0),2)&gt;
ROUND(IFERROR(VALUE(TRIM(SUBSTITUTE(BJ32,CHAR(160),""))),0),2),
"Attention : Le montant retenu HT est supérieur au montant HT raisonnable. Merci de revoir la ligne de dépense, plafonner son montant, ou justifier la reventillation HT / TVA.",
ROUND(IFERROR(VALUE(TRIM(SUBSTITUTE(BN32,CHAR(160),""))),0),2)&gt;
ROUND(IFERROR(VALUE(TRIM(SUBSTITUTE(BK32,CHAR(160),""))),0),2),
"Attention : Le montant TVA retenu est supérieur au montant TVA raisonnable. Merci de revoir la ligne de dépense, plafonner son montant, ou justifier la reventillation HT / TVA.",
ROUND(IFERROR(VALUE(TRIM(SUBSTITUTE(BO32,CHAR(160),""))),0),2)&gt;
ROUND(IFERROR(VALUE(TRIM(SUBSTITUTE(MIN(R32,W32,AB32),CHAR(160),""))),0),2),
"Attention : Le devis retenu n'est pas le moins cher. Une justification de la part du porteur est nécessaire.",
ROUND(IFERROR(VALUE(TRIM(SUBSTITUTE(BO32,CHAR(160),""))),0),2)=0,
"Attention : montant présenté entièrement écarté",
ROUND(IFERROR(VALUE(TRIM(SUBSTITUTE(BL32,CHAR(160),""))),0),2)=
ROUND(IFERROR(VALUE(TRIM(SUBSTITUTE(BO32,CHAR(160),""))),0),2),
"OK",
ROUND(IFERROR(VALUE(TRIM(SUBSTITUTE(BL32,CHAR(160),""))),0),2)&gt;
ROUND(IFERROR(VALUE(TRIM(SUBSTITUTE(BO32,CHAR(160),""))),0),2),
" OK : Montant instruit inférieur au montant raisonnable.",
TRUE,""
))</f>
        <v/>
      </c>
      <c r="BR32" s="216" t="str" cm="1">
        <f t="array" ref="BR32">IF(OR(BO32="",AF32="",BM32="",AD32="",BN32="",AE32=""),"",_xlfn.IFS(
ROUND(IFERROR(VALUE(TRIM(SUBSTITUTE(BO32,CHAR(160),""))),0),2)&gt;
ROUND(IFERROR(VALUE(TRIM(SUBSTITUTE(AF32,CHAR(160),""))),0),2),
"KO : Le montant retenu TTC est supérieur au montant présenté TTC. Merci de revoir la ligne de dépense ou plafonner son montant.",
ROUND(IFERROR(VALUE(TRIM(SUBSTITUTE(BM32,CHAR(160),""))),0),2)&gt;
ROUND(IFERROR(VALUE(TRIM(SUBSTITUTE(AD32,CHAR(160),""))),0),2),
"Attention : Le montant retenu HT est supérieur au montant HT présenté. Merci de revoir la ligne de dépense, plafonner son montant, ou justifier la reventillation HT / TVA.",
ROUND(IFERROR(VALUE(TRIM(SUBSTITUTE(BN32,CHAR(160),""))),0),2)&gt;
ROUND(IFERROR(VALUE(TRIM(SUBSTITUTE(AE32,CHAR(160),""))),0),2),
"Attention : Le montant TVA retenu est supérieur au montant TVA présenté. Merci de revoir la ligne de dépense, plafonner son montant, ou justifier la reventillation HT / TVA.",
ROUND(IFERROR(VALUE(TRIM(SUBSTITUTE(AF32,CHAR(160),""))),0),2)=0,
"",
ROUND(IFERROR(VALUE(TRIM(SUBSTITUTE(BO32,CHAR(160),""))),0),2)=
ROUND(IFERROR(VALUE(TRIM(SUBSTITUTE(AF32,CHAR(160),""))),0),2),
"OK",
ROUND(IFERROR(VALUE(TRIM(SUBSTITUTE(BO32,CHAR(160),""))),0),2)=0,
"Attention : Montant présenté entièrement rejeté.",
ROUND(IFERROR(VALUE(TRIM(SUBSTITUTE(BO32,CHAR(160),""))),0),2)&lt;
ROUND(IFERROR(VALUE(TRIM(SUBSTITUTE(AF32,CHAR(160),""))),0),2),
"Attention : Montant présenté partiellement rejeté.",
TRUE,""
))</f>
        <v/>
      </c>
      <c r="BS32" s="1202" t="str">
        <f t="shared" si="30"/>
        <v/>
      </c>
      <c r="BT32" s="1202" t="str">
        <f t="shared" si="31"/>
        <v/>
      </c>
      <c r="BU32" s="1216" t="str">
        <f t="shared" si="32"/>
        <v/>
      </c>
    </row>
    <row r="33" spans="2:73" ht="15.95" customHeight="1">
      <c r="B33" s="303">
        <v>24</v>
      </c>
      <c r="C33" s="11"/>
      <c r="D33" s="11"/>
      <c r="E33" s="22"/>
      <c r="F33" s="11"/>
      <c r="G33" s="11"/>
      <c r="H33" s="11"/>
      <c r="I33" s="22"/>
      <c r="J33" s="11"/>
      <c r="K33" s="2"/>
      <c r="L33" s="23"/>
      <c r="M33" s="11"/>
      <c r="N33" s="11"/>
      <c r="O33" s="11"/>
      <c r="P33" s="24"/>
      <c r="Q33" s="24"/>
      <c r="R33" s="300" t="str">
        <f t="shared" si="35"/>
        <v/>
      </c>
      <c r="S33" s="1205"/>
      <c r="T33" s="1205"/>
      <c r="U33" s="24"/>
      <c r="V33" s="24"/>
      <c r="W33" s="300" t="str">
        <f t="shared" si="33"/>
        <v/>
      </c>
      <c r="X33" s="1205"/>
      <c r="Y33" s="1205"/>
      <c r="Z33" s="24"/>
      <c r="AA33" s="24"/>
      <c r="AB33" s="300" t="str">
        <f t="shared" si="34"/>
        <v/>
      </c>
      <c r="AC33" s="11"/>
      <c r="AD33" s="1202" t="str" cm="1">
        <f t="array" ref="AD33">IF((_xlfn.IFS(TRIM(SUBSTITUTE(AC33,CHAR(160),""))="Devis 1",IFERROR(VALUE(TRIM(SUBSTITUTE(P33,CHAR(160),""))),0),TRIM(SUBSTITUTE(AC33,CHAR(160),""))="Devis 2",IFERROR(VALUE(TRIM(SUBSTITUTE(U33,CHAR(160),""))),0),TRIM(SUBSTITUTE(AC33,CHAR(160),""))="Devis 3",IFERROR(VALUE(TRIM(SUBSTITUTE(Z33,CHAR(160),""))),0),TRUE,0)*IFERROR(VALUE(TRIM(SUBSTITUTE(K33,CHAR(160),""))),0))=0,"",_xlfn.IFS(TRIM(SUBSTITUTE(AC33,CHAR(160),""))="Devis 1",IFERROR(VALUE(TRIM(SUBSTITUTE(P33,CHAR(160),""))),0),TRIM(SUBSTITUTE(AC33,CHAR(160),""))="Devis 2",IFERROR(VALUE(TRIM(SUBSTITUTE(U33,CHAR(160),""))),0),TRIM(SUBSTITUTE(AC33,CHAR(160),""))="Devis 3",IFERROR(VALUE(TRIM(SUBSTITUTE(Z33,CHAR(160),""))),0),TRUE,0)*IFERROR(VALUE(TRIM(SUBSTITUTE(K33,CHAR(160),""))),0))</f>
        <v/>
      </c>
      <c r="AE33" s="1202" t="str" cm="1">
        <f t="array" ref="AE33">IF((_xlfn.IFS(TRIM(SUBSTITUTE(AC33,CHAR(160),""))="Devis 1",IFERROR(VALUE(TRIM(SUBSTITUTE(Q33,CHAR(160),""))),0),TRIM(SUBSTITUTE(AC33,CHAR(160),""))="Devis 2",IFERROR(VALUE(TRIM(SUBSTITUTE(V33,CHAR(160),""))),0),TRIM(SUBSTITUTE(AC33,CHAR(160),""))="Devis 3",IFERROR(VALUE(TRIM(SUBSTITUTE(AA33,CHAR(160),""))),0),TRUE,0)*IFERROR(VALUE(TRIM(SUBSTITUTE(K33,CHAR(160),""))),0))=0,"",_xlfn.IFS(TRIM(SUBSTITUTE(AC33,CHAR(160),""))="Devis 1",IFERROR(VALUE(TRIM(SUBSTITUTE(Q33,CHAR(160),""))),0),TRIM(SUBSTITUTE(AD33,CHAR(160),""))="Devis 2",IFERROR(VALUE(TRIM(SUBSTITUTE(V33,CHAR(160),""))),0),TRIM(SUBSTITUTE(AD33,CHAR(160),""))="Devis 3",IFERROR(VALUE(TRIM(SUBSTITUTE(AA33,CHAR(160),""))),0),TRUE,0)*IFERROR(VALUE(TRIM(SUBSTITUTE(K33,CHAR(160),""))),0))</f>
        <v/>
      </c>
      <c r="AF33" s="1202" t="str" cm="1">
        <f t="array" ref="AF33">IF((_xlfn.IFS(TRIM(SUBSTITUTE(AC33,CHAR(160),""))="Devis 1",IFERROR(VALUE(TRIM(SUBSTITUTE(R33,CHAR(160),""))),0),TRIM(SUBSTITUTE(AC33,CHAR(160),""))="Devis 2",IFERROR(VALUE(TRIM(SUBSTITUTE(W33,CHAR(160),""))),0),TRIM(SUBSTITUTE(AC33,CHAR(160),""))="Devis 3",IFERROR(VALUE(TRIM(SUBSTITUTE(AB33,CHAR(160),""))),0),TRUE,0)*IFERROR(VALUE(TRIM(SUBSTITUTE(K33,CHAR(160),""))),0))=0,"",_xlfn.IFS(TRIM(SUBSTITUTE(AC33,CHAR(160),""))="Devis 1",IFERROR(VALUE(TRIM(SUBSTITUTE(R33,CHAR(160),""))),0),TRIM(SUBSTITUTE(AC33,CHAR(160),""))="Devis 2",IFERROR(VALUE(TRIM(SUBSTITUTE(W33,CHAR(160),""))),0),TRIM(SUBSTITUTE(AC33,CHAR(160),""))="Devis 3",IFERROR(VALUE(TRIM(SUBSTITUTE(AB33,CHAR(160),""))),0),TRUE,0)*IFERROR(VALUE(TRIM(SUBSTITUTE(K33,CHAR(160),""))),0))</f>
        <v/>
      </c>
      <c r="AG33" s="488"/>
      <c r="AH33" s="215" t="str">
        <f t="shared" si="0"/>
        <v/>
      </c>
      <c r="AI33" s="57" t="str">
        <f t="shared" si="1"/>
        <v/>
      </c>
      <c r="AJ33" s="57" t="str">
        <f t="shared" si="2"/>
        <v/>
      </c>
      <c r="AK33" s="57" t="str">
        <f t="shared" si="3"/>
        <v/>
      </c>
      <c r="AL33" s="57" t="str">
        <f t="shared" si="4"/>
        <v/>
      </c>
      <c r="AM33" s="57" t="str">
        <f t="shared" si="5"/>
        <v/>
      </c>
      <c r="AN33" s="57" t="str">
        <f t="shared" si="6"/>
        <v/>
      </c>
      <c r="AO33" s="57" t="str">
        <f t="shared" si="7"/>
        <v/>
      </c>
      <c r="AP33" s="57" t="str">
        <f t="shared" si="8"/>
        <v/>
      </c>
      <c r="AQ33" s="57" t="str">
        <f t="shared" si="9"/>
        <v/>
      </c>
      <c r="AR33" s="57" t="str">
        <f t="shared" si="10"/>
        <v/>
      </c>
      <c r="AS33" s="57" t="str">
        <f t="shared" si="11"/>
        <v/>
      </c>
      <c r="AT33" s="57" t="str">
        <f t="shared" si="12"/>
        <v/>
      </c>
      <c r="AU33" s="57" t="str">
        <f t="shared" si="13"/>
        <v/>
      </c>
      <c r="AV33" s="57" t="str">
        <f t="shared" si="14"/>
        <v/>
      </c>
      <c r="AW33" s="300" t="str">
        <f t="shared" si="15"/>
        <v/>
      </c>
      <c r="AX33" s="57" t="str">
        <f t="shared" si="16"/>
        <v/>
      </c>
      <c r="AY33" s="57" t="str">
        <f t="shared" si="17"/>
        <v/>
      </c>
      <c r="AZ33" s="57" t="str">
        <f t="shared" si="18"/>
        <v/>
      </c>
      <c r="BA33" s="57" t="str">
        <f t="shared" si="19"/>
        <v/>
      </c>
      <c r="BB33" s="300" t="str">
        <f t="shared" si="20"/>
        <v/>
      </c>
      <c r="BC33" s="57" t="str">
        <f t="shared" si="21"/>
        <v/>
      </c>
      <c r="BD33" s="57" t="str">
        <f t="shared" si="22"/>
        <v/>
      </c>
      <c r="BE33" s="57" t="str">
        <f t="shared" si="23"/>
        <v/>
      </c>
      <c r="BF33" s="57" t="str">
        <f t="shared" si="24"/>
        <v/>
      </c>
      <c r="BG33" s="300" t="str">
        <f t="shared" si="25"/>
        <v/>
      </c>
      <c r="BH33" s="1203" t="str">
        <f t="shared" si="26"/>
        <v/>
      </c>
      <c r="BI33" s="260"/>
      <c r="BJ33" s="300" t="str">
        <f t="shared" si="27"/>
        <v/>
      </c>
      <c r="BK33" s="300" t="str">
        <f t="shared" si="28"/>
        <v/>
      </c>
      <c r="BL33" s="300" t="str">
        <f t="shared" si="29"/>
        <v/>
      </c>
      <c r="BM33" s="1202" t="str" cm="1">
        <f t="array" ref="BM33">IF($AP33="","",IF((IFERROR(_xlfn.IFS($BH33="Devis 1",(IFERROR(VALUE(TRIM(SUBSTITUTE(AU33,CHAR(160),""))),0)),$BH33="Devis 2",(IFERROR(VALUE(TRIM(SUBSTITUTE(AZ33,CHAR(160),""))),0)),$BH33="Devis 3",(IFERROR(VALUE(TRIM(SUBSTITUTE(BE33,CHAR(160),""))),0))),0))*(IFERROR(VALUE(TRIM(SUBSTITUTE($AP33,CHAR(160),""))),0))=0,"",(IFERROR(_xlfn.IFS($BH33="Devis 1",(IFERROR(VALUE(TRIM(SUBSTITUTE(AU33,CHAR(160),""))),0)),$BH33="Devis 2",(IFERROR(VALUE(TRIM(SUBSTITUTE(AZ33,CHAR(160),""))),0)),$BH33="Devis 3",(IFERROR(VALUE(TRIM(SUBSTITUTE(BE33,CHAR(160),""))),0))),0))*(IFERROR(VALUE(TRIM(SUBSTITUTE($AP33,CHAR(160),""))),0))))</f>
        <v/>
      </c>
      <c r="BN33" s="1202" t="str" cm="1">
        <f t="array" ref="BN33">IF($AP33="","",IF((IFERROR(_xlfn.IFS(TRIM(SUBSTITUTE($BH33,CHAR(160),""))="Devis 1", IFERROR(VALUE(TRIM(SUBSTITUTE(AV33,CHAR(160),""))),0),TRIM(SUBSTITUTE($BH33,CHAR(160),""))="Devis 2", IFERROR(VALUE(TRIM(SUBSTITUTE(BA33,CHAR(160),""))),0),TRIM(SUBSTITUTE($BH33,CHAR(160),""))="Devis 3", IFERROR(VALUE(TRIM(SUBSTITUTE(BF33,CHAR(160),""))),0)),0) * IFERROR(VALUE(TRIM(SUBSTITUTE($AP33,CHAR(160),""))),0)) = 0,IF(BM33&lt;&gt;"",0,""),(IFERROR(_xlfn.IFS(TRIM(SUBSTITUTE($BH33,CHAR(160),""))="Devis 1", IFERROR(VALUE(TRIM(SUBSTITUTE(AV33,CHAR(160),""))),0),TRIM(SUBSTITUTE($BH33,CHAR(160),""))="Devis 2", IFERROR(VALUE(TRIM(SUBSTITUTE(BA33,CHAR(160),""))),0),TRIM(SUBSTITUTE($BH33,CHAR(160),""))="Devis 3", IFERROR(VALUE(TRIM(SUBSTITUTE(BF33,CHAR(160),""))),0)),0) * IFERROR(VALUE(TRIM(SUBSTITUTE($AP33,CHAR(160),""))),0))))</f>
        <v/>
      </c>
      <c r="BO33" s="1202" t="str" cm="1">
        <f t="array" ref="BO33">IF($AP33="","",IF(IFERROR(_xlfn.IFS($BH33="Devis 1",IFERROR(VALUE(TRIM(SUBSTITUTE(AW33,CHAR(160),""))),0),$BH33="Devis 2",IFERROR(VALUE(TRIM(SUBSTITUTE(BB33,CHAR(160),""))),0),$BH33="Devis 3",IFERROR(VALUE(TRIM(SUBSTITUTE(BG33,CHAR(160),""))),0)),0)*IFERROR(VALUE(TRIM(SUBSTITUTE($AP33,CHAR(160),""))),0)=0,"",IFERROR(_xlfn.IFS($BH33="Devis 1",IFERROR(VALUE(TRIM(SUBSTITUTE(AW33,CHAR(160),""))),0),$BH33="Devis 2",IFERROR(VALUE(TRIM(SUBSTITUTE(BB33,CHAR(160),""))),0),$BH33="Devis 3",IFERROR(VALUE(TRIM(SUBSTITUTE(BG33,CHAR(160),""))),0)),0)*IFERROR(VALUE(TRIM(SUBSTITUTE($AP33,CHAR(160),""))),0)))</f>
        <v/>
      </c>
      <c r="BP33" s="194"/>
      <c r="BQ33" s="219" t="str" cm="1">
        <f t="array" ref="BQ33">IF(OR(BO33="",BL33="",BM33="",BJ33="",BN33="",BK33=""),"",_xlfn.IFS(
ROUND(IFERROR(VALUE(TRIM(SUBSTITUTE(BO33,CHAR(160),""))),0),2)&gt;
ROUND(IFERROR(VALUE(TRIM(SUBSTITUTE(BL33,CHAR(160),""))),0),2),
"KO : Le montant retenu TTC est supérieur au montant raisonnable TTC. Merci de revoir la ligne de dépense ou plafonner son montant.",
ROUND(IFERROR(VALUE(TRIM(SUBSTITUTE(BM33,CHAR(160),""))),0),2)&gt;
ROUND(IFERROR(VALUE(TRIM(SUBSTITUTE(BJ33,CHAR(160),""))),0),2),
"Attention : Le montant retenu HT est supérieur au montant HT raisonnable. Merci de revoir la ligne de dépense, plafonner son montant, ou justifier la reventillation HT / TVA.",
ROUND(IFERROR(VALUE(TRIM(SUBSTITUTE(BN33,CHAR(160),""))),0),2)&gt;
ROUND(IFERROR(VALUE(TRIM(SUBSTITUTE(BK33,CHAR(160),""))),0),2),
"Attention : Le montant TVA retenu est supérieur au montant TVA raisonnable. Merci de revoir la ligne de dépense, plafonner son montant, ou justifier la reventillation HT / TVA.",
ROUND(IFERROR(VALUE(TRIM(SUBSTITUTE(BO33,CHAR(160),""))),0),2)&gt;
ROUND(IFERROR(VALUE(TRIM(SUBSTITUTE(MIN(R33,W33,AB33),CHAR(160),""))),0),2),
"Attention : Le devis retenu n'est pas le moins cher. Une justification de la part du porteur est nécessaire.",
ROUND(IFERROR(VALUE(TRIM(SUBSTITUTE(BO33,CHAR(160),""))),0),2)=0,
"Attention : montant présenté entièrement écarté",
ROUND(IFERROR(VALUE(TRIM(SUBSTITUTE(BL33,CHAR(160),""))),0),2)=
ROUND(IFERROR(VALUE(TRIM(SUBSTITUTE(BO33,CHAR(160),""))),0),2),
"OK",
ROUND(IFERROR(VALUE(TRIM(SUBSTITUTE(BL33,CHAR(160),""))),0),2)&gt;
ROUND(IFERROR(VALUE(TRIM(SUBSTITUTE(BO33,CHAR(160),""))),0),2),
" OK : Montant instruit inférieur au montant raisonnable.",
TRUE,""
))</f>
        <v/>
      </c>
      <c r="BR33" s="216" t="str" cm="1">
        <f t="array" ref="BR33">IF(OR(BO33="",AF33="",BM33="",AD33="",BN33="",AE33=""),"",_xlfn.IFS(
ROUND(IFERROR(VALUE(TRIM(SUBSTITUTE(BO33,CHAR(160),""))),0),2)&gt;
ROUND(IFERROR(VALUE(TRIM(SUBSTITUTE(AF33,CHAR(160),""))),0),2),
"KO : Le montant retenu TTC est supérieur au montant présenté TTC. Merci de revoir la ligne de dépense ou plafonner son montant.",
ROUND(IFERROR(VALUE(TRIM(SUBSTITUTE(BM33,CHAR(160),""))),0),2)&gt;
ROUND(IFERROR(VALUE(TRIM(SUBSTITUTE(AD33,CHAR(160),""))),0),2),
"Attention : Le montant retenu HT est supérieur au montant HT présenté. Merci de revoir la ligne de dépense, plafonner son montant, ou justifier la reventillation HT / TVA.",
ROUND(IFERROR(VALUE(TRIM(SUBSTITUTE(BN33,CHAR(160),""))),0),2)&gt;
ROUND(IFERROR(VALUE(TRIM(SUBSTITUTE(AE33,CHAR(160),""))),0),2),
"Attention : Le montant TVA retenu est supérieur au montant TVA présenté. Merci de revoir la ligne de dépense, plafonner son montant, ou justifier la reventillation HT / TVA.",
ROUND(IFERROR(VALUE(TRIM(SUBSTITUTE(AF33,CHAR(160),""))),0),2)=0,
"",
ROUND(IFERROR(VALUE(TRIM(SUBSTITUTE(BO33,CHAR(160),""))),0),2)=
ROUND(IFERROR(VALUE(TRIM(SUBSTITUTE(AF33,CHAR(160),""))),0),2),
"OK",
ROUND(IFERROR(VALUE(TRIM(SUBSTITUTE(BO33,CHAR(160),""))),0),2)=0,
"Attention : Montant présenté entièrement rejeté.",
ROUND(IFERROR(VALUE(TRIM(SUBSTITUTE(BO33,CHAR(160),""))),0),2)&lt;
ROUND(IFERROR(VALUE(TRIM(SUBSTITUTE(AF33,CHAR(160),""))),0),2),
"Attention : Montant présenté partiellement rejeté.",
TRUE,""
))</f>
        <v/>
      </c>
      <c r="BS33" s="1202" t="str">
        <f t="shared" si="30"/>
        <v/>
      </c>
      <c r="BT33" s="1202" t="str">
        <f t="shared" si="31"/>
        <v/>
      </c>
      <c r="BU33" s="1216" t="str">
        <f t="shared" si="32"/>
        <v/>
      </c>
    </row>
    <row r="34" spans="2:73" ht="15.95" customHeight="1">
      <c r="B34" s="303">
        <v>25</v>
      </c>
      <c r="C34" s="11"/>
      <c r="D34" s="11"/>
      <c r="E34" s="22"/>
      <c r="F34" s="11"/>
      <c r="G34" s="11"/>
      <c r="H34" s="11"/>
      <c r="I34" s="22"/>
      <c r="J34" s="11"/>
      <c r="K34" s="2"/>
      <c r="L34" s="23"/>
      <c r="M34" s="11"/>
      <c r="N34" s="11"/>
      <c r="O34" s="11"/>
      <c r="P34" s="24"/>
      <c r="Q34" s="24"/>
      <c r="R34" s="300" t="str">
        <f t="shared" si="35"/>
        <v/>
      </c>
      <c r="S34" s="1205"/>
      <c r="T34" s="1205"/>
      <c r="U34" s="24"/>
      <c r="V34" s="24"/>
      <c r="W34" s="300" t="str">
        <f t="shared" si="33"/>
        <v/>
      </c>
      <c r="X34" s="1205"/>
      <c r="Y34" s="1205"/>
      <c r="Z34" s="24"/>
      <c r="AA34" s="24"/>
      <c r="AB34" s="300" t="str">
        <f t="shared" si="34"/>
        <v/>
      </c>
      <c r="AC34" s="11"/>
      <c r="AD34" s="1202" t="str" cm="1">
        <f t="array" ref="AD34">IF((_xlfn.IFS(TRIM(SUBSTITUTE(AC34,CHAR(160),""))="Devis 1",IFERROR(VALUE(TRIM(SUBSTITUTE(P34,CHAR(160),""))),0),TRIM(SUBSTITUTE(AC34,CHAR(160),""))="Devis 2",IFERROR(VALUE(TRIM(SUBSTITUTE(U34,CHAR(160),""))),0),TRIM(SUBSTITUTE(AC34,CHAR(160),""))="Devis 3",IFERROR(VALUE(TRIM(SUBSTITUTE(Z34,CHAR(160),""))),0),TRUE,0)*IFERROR(VALUE(TRIM(SUBSTITUTE(K34,CHAR(160),""))),0))=0,"",_xlfn.IFS(TRIM(SUBSTITUTE(AC34,CHAR(160),""))="Devis 1",IFERROR(VALUE(TRIM(SUBSTITUTE(P34,CHAR(160),""))),0),TRIM(SUBSTITUTE(AC34,CHAR(160),""))="Devis 2",IFERROR(VALUE(TRIM(SUBSTITUTE(U34,CHAR(160),""))),0),TRIM(SUBSTITUTE(AC34,CHAR(160),""))="Devis 3",IFERROR(VALUE(TRIM(SUBSTITUTE(Z34,CHAR(160),""))),0),TRUE,0)*IFERROR(VALUE(TRIM(SUBSTITUTE(K34,CHAR(160),""))),0))</f>
        <v/>
      </c>
      <c r="AE34" s="1202" t="str" cm="1">
        <f t="array" ref="AE34">IF((_xlfn.IFS(TRIM(SUBSTITUTE(AC34,CHAR(160),""))="Devis 1",IFERROR(VALUE(TRIM(SUBSTITUTE(Q34,CHAR(160),""))),0),TRIM(SUBSTITUTE(AC34,CHAR(160),""))="Devis 2",IFERROR(VALUE(TRIM(SUBSTITUTE(V34,CHAR(160),""))),0),TRIM(SUBSTITUTE(AC34,CHAR(160),""))="Devis 3",IFERROR(VALUE(TRIM(SUBSTITUTE(AA34,CHAR(160),""))),0),TRUE,0)*IFERROR(VALUE(TRIM(SUBSTITUTE(K34,CHAR(160),""))),0))=0,"",_xlfn.IFS(TRIM(SUBSTITUTE(AC34,CHAR(160),""))="Devis 1",IFERROR(VALUE(TRIM(SUBSTITUTE(Q34,CHAR(160),""))),0),TRIM(SUBSTITUTE(AD34,CHAR(160),""))="Devis 2",IFERROR(VALUE(TRIM(SUBSTITUTE(V34,CHAR(160),""))),0),TRIM(SUBSTITUTE(AD34,CHAR(160),""))="Devis 3",IFERROR(VALUE(TRIM(SUBSTITUTE(AA34,CHAR(160),""))),0),TRUE,0)*IFERROR(VALUE(TRIM(SUBSTITUTE(K34,CHAR(160),""))),0))</f>
        <v/>
      </c>
      <c r="AF34" s="1202" t="str" cm="1">
        <f t="array" ref="AF34">IF((_xlfn.IFS(TRIM(SUBSTITUTE(AC34,CHAR(160),""))="Devis 1",IFERROR(VALUE(TRIM(SUBSTITUTE(R34,CHAR(160),""))),0),TRIM(SUBSTITUTE(AC34,CHAR(160),""))="Devis 2",IFERROR(VALUE(TRIM(SUBSTITUTE(W34,CHAR(160),""))),0),TRIM(SUBSTITUTE(AC34,CHAR(160),""))="Devis 3",IFERROR(VALUE(TRIM(SUBSTITUTE(AB34,CHAR(160),""))),0),TRUE,0)*IFERROR(VALUE(TRIM(SUBSTITUTE(K34,CHAR(160),""))),0))=0,"",_xlfn.IFS(TRIM(SUBSTITUTE(AC34,CHAR(160),""))="Devis 1",IFERROR(VALUE(TRIM(SUBSTITUTE(R34,CHAR(160),""))),0),TRIM(SUBSTITUTE(AC34,CHAR(160),""))="Devis 2",IFERROR(VALUE(TRIM(SUBSTITUTE(W34,CHAR(160),""))),0),TRIM(SUBSTITUTE(AC34,CHAR(160),""))="Devis 3",IFERROR(VALUE(TRIM(SUBSTITUTE(AB34,CHAR(160),""))),0),TRUE,0)*IFERROR(VALUE(TRIM(SUBSTITUTE(K34,CHAR(160),""))),0))</f>
        <v/>
      </c>
      <c r="AG34" s="488"/>
      <c r="AH34" s="215" t="str">
        <f t="shared" si="0"/>
        <v/>
      </c>
      <c r="AI34" s="57" t="str">
        <f t="shared" si="1"/>
        <v/>
      </c>
      <c r="AJ34" s="57" t="str">
        <f t="shared" si="2"/>
        <v/>
      </c>
      <c r="AK34" s="57" t="str">
        <f t="shared" si="3"/>
        <v/>
      </c>
      <c r="AL34" s="57" t="str">
        <f t="shared" si="4"/>
        <v/>
      </c>
      <c r="AM34" s="57" t="str">
        <f t="shared" si="5"/>
        <v/>
      </c>
      <c r="AN34" s="57" t="str">
        <f t="shared" si="6"/>
        <v/>
      </c>
      <c r="AO34" s="57" t="str">
        <f t="shared" si="7"/>
        <v/>
      </c>
      <c r="AP34" s="57" t="str">
        <f t="shared" si="8"/>
        <v/>
      </c>
      <c r="AQ34" s="57" t="str">
        <f t="shared" si="9"/>
        <v/>
      </c>
      <c r="AR34" s="57" t="str">
        <f t="shared" si="10"/>
        <v/>
      </c>
      <c r="AS34" s="57" t="str">
        <f t="shared" si="11"/>
        <v/>
      </c>
      <c r="AT34" s="57" t="str">
        <f t="shared" si="12"/>
        <v/>
      </c>
      <c r="AU34" s="57" t="str">
        <f t="shared" si="13"/>
        <v/>
      </c>
      <c r="AV34" s="57" t="str">
        <f t="shared" si="14"/>
        <v/>
      </c>
      <c r="AW34" s="300" t="str">
        <f t="shared" si="15"/>
        <v/>
      </c>
      <c r="AX34" s="57" t="str">
        <f t="shared" si="16"/>
        <v/>
      </c>
      <c r="AY34" s="57" t="str">
        <f t="shared" si="17"/>
        <v/>
      </c>
      <c r="AZ34" s="57" t="str">
        <f t="shared" si="18"/>
        <v/>
      </c>
      <c r="BA34" s="57" t="str">
        <f t="shared" si="19"/>
        <v/>
      </c>
      <c r="BB34" s="300" t="str">
        <f t="shared" si="20"/>
        <v/>
      </c>
      <c r="BC34" s="57" t="str">
        <f t="shared" si="21"/>
        <v/>
      </c>
      <c r="BD34" s="57" t="str">
        <f t="shared" si="22"/>
        <v/>
      </c>
      <c r="BE34" s="57" t="str">
        <f t="shared" si="23"/>
        <v/>
      </c>
      <c r="BF34" s="57" t="str">
        <f t="shared" si="24"/>
        <v/>
      </c>
      <c r="BG34" s="300" t="str">
        <f t="shared" si="25"/>
        <v/>
      </c>
      <c r="BH34" s="1203" t="str">
        <f t="shared" si="26"/>
        <v/>
      </c>
      <c r="BI34" s="260"/>
      <c r="BJ34" s="300" t="str">
        <f t="shared" si="27"/>
        <v/>
      </c>
      <c r="BK34" s="300" t="str">
        <f t="shared" si="28"/>
        <v/>
      </c>
      <c r="BL34" s="300" t="str">
        <f t="shared" si="29"/>
        <v/>
      </c>
      <c r="BM34" s="1202" t="str" cm="1">
        <f t="array" ref="BM34">IF($AP34="","",IF((IFERROR(_xlfn.IFS($BH34="Devis 1",(IFERROR(VALUE(TRIM(SUBSTITUTE(AU34,CHAR(160),""))),0)),$BH34="Devis 2",(IFERROR(VALUE(TRIM(SUBSTITUTE(AZ34,CHAR(160),""))),0)),$BH34="Devis 3",(IFERROR(VALUE(TRIM(SUBSTITUTE(BE34,CHAR(160),""))),0))),0))*(IFERROR(VALUE(TRIM(SUBSTITUTE($AP34,CHAR(160),""))),0))=0,"",(IFERROR(_xlfn.IFS($BH34="Devis 1",(IFERROR(VALUE(TRIM(SUBSTITUTE(AU34,CHAR(160),""))),0)),$BH34="Devis 2",(IFERROR(VALUE(TRIM(SUBSTITUTE(AZ34,CHAR(160),""))),0)),$BH34="Devis 3",(IFERROR(VALUE(TRIM(SUBSTITUTE(BE34,CHAR(160),""))),0))),0))*(IFERROR(VALUE(TRIM(SUBSTITUTE($AP34,CHAR(160),""))),0))))</f>
        <v/>
      </c>
      <c r="BN34" s="1202" t="str" cm="1">
        <f t="array" ref="BN34">IF($AP34="","",IF((IFERROR(_xlfn.IFS(TRIM(SUBSTITUTE($BH34,CHAR(160),""))="Devis 1", IFERROR(VALUE(TRIM(SUBSTITUTE(AV34,CHAR(160),""))),0),TRIM(SUBSTITUTE($BH34,CHAR(160),""))="Devis 2", IFERROR(VALUE(TRIM(SUBSTITUTE(BA34,CHAR(160),""))),0),TRIM(SUBSTITUTE($BH34,CHAR(160),""))="Devis 3", IFERROR(VALUE(TRIM(SUBSTITUTE(BF34,CHAR(160),""))),0)),0) * IFERROR(VALUE(TRIM(SUBSTITUTE($AP34,CHAR(160),""))),0)) = 0,IF(BM34&lt;&gt;"",0,""),(IFERROR(_xlfn.IFS(TRIM(SUBSTITUTE($BH34,CHAR(160),""))="Devis 1", IFERROR(VALUE(TRIM(SUBSTITUTE(AV34,CHAR(160),""))),0),TRIM(SUBSTITUTE($BH34,CHAR(160),""))="Devis 2", IFERROR(VALUE(TRIM(SUBSTITUTE(BA34,CHAR(160),""))),0),TRIM(SUBSTITUTE($BH34,CHAR(160),""))="Devis 3", IFERROR(VALUE(TRIM(SUBSTITUTE(BF34,CHAR(160),""))),0)),0) * IFERROR(VALUE(TRIM(SUBSTITUTE($AP34,CHAR(160),""))),0))))</f>
        <v/>
      </c>
      <c r="BO34" s="1202" t="str" cm="1">
        <f t="array" ref="BO34">IF($AP34="","",IF(IFERROR(_xlfn.IFS($BH34="Devis 1",IFERROR(VALUE(TRIM(SUBSTITUTE(AW34,CHAR(160),""))),0),$BH34="Devis 2",IFERROR(VALUE(TRIM(SUBSTITUTE(BB34,CHAR(160),""))),0),$BH34="Devis 3",IFERROR(VALUE(TRIM(SUBSTITUTE(BG34,CHAR(160),""))),0)),0)*IFERROR(VALUE(TRIM(SUBSTITUTE($AP34,CHAR(160),""))),0)=0,"",IFERROR(_xlfn.IFS($BH34="Devis 1",IFERROR(VALUE(TRIM(SUBSTITUTE(AW34,CHAR(160),""))),0),$BH34="Devis 2",IFERROR(VALUE(TRIM(SUBSTITUTE(BB34,CHAR(160),""))),0),$BH34="Devis 3",IFERROR(VALUE(TRIM(SUBSTITUTE(BG34,CHAR(160),""))),0)),0)*IFERROR(VALUE(TRIM(SUBSTITUTE($AP34,CHAR(160),""))),0)))</f>
        <v/>
      </c>
      <c r="BP34" s="194"/>
      <c r="BQ34" s="219" t="str" cm="1">
        <f t="array" ref="BQ34">IF(OR(BO34="",BL34="",BM34="",BJ34="",BN34="",BK34=""),"",_xlfn.IFS(
ROUND(IFERROR(VALUE(TRIM(SUBSTITUTE(BO34,CHAR(160),""))),0),2)&gt;
ROUND(IFERROR(VALUE(TRIM(SUBSTITUTE(BL34,CHAR(160),""))),0),2),
"KO : Le montant retenu TTC est supérieur au montant raisonnable TTC. Merci de revoir la ligne de dépense ou plafonner son montant.",
ROUND(IFERROR(VALUE(TRIM(SUBSTITUTE(BM34,CHAR(160),""))),0),2)&gt;
ROUND(IFERROR(VALUE(TRIM(SUBSTITUTE(BJ34,CHAR(160),""))),0),2),
"Attention : Le montant retenu HT est supérieur au montant HT raisonnable. Merci de revoir la ligne de dépense, plafonner son montant, ou justifier la reventillation HT / TVA.",
ROUND(IFERROR(VALUE(TRIM(SUBSTITUTE(BN34,CHAR(160),""))),0),2)&gt;
ROUND(IFERROR(VALUE(TRIM(SUBSTITUTE(BK34,CHAR(160),""))),0),2),
"Attention : Le montant TVA retenu est supérieur au montant TVA raisonnable. Merci de revoir la ligne de dépense, plafonner son montant, ou justifier la reventillation HT / TVA.",
ROUND(IFERROR(VALUE(TRIM(SUBSTITUTE(BO34,CHAR(160),""))),0),2)&gt;
ROUND(IFERROR(VALUE(TRIM(SUBSTITUTE(MIN(R34,W34,AB34),CHAR(160),""))),0),2),
"Attention : Le devis retenu n'est pas le moins cher. Une justification de la part du porteur est nécessaire.",
ROUND(IFERROR(VALUE(TRIM(SUBSTITUTE(BO34,CHAR(160),""))),0),2)=0,
"Attention : montant présenté entièrement écarté",
ROUND(IFERROR(VALUE(TRIM(SUBSTITUTE(BL34,CHAR(160),""))),0),2)=
ROUND(IFERROR(VALUE(TRIM(SUBSTITUTE(BO34,CHAR(160),""))),0),2),
"OK",
ROUND(IFERROR(VALUE(TRIM(SUBSTITUTE(BL34,CHAR(160),""))),0),2)&gt;
ROUND(IFERROR(VALUE(TRIM(SUBSTITUTE(BO34,CHAR(160),""))),0),2),
" OK : Montant instruit inférieur au montant raisonnable.",
TRUE,""
))</f>
        <v/>
      </c>
      <c r="BR34" s="216" t="str" cm="1">
        <f t="array" ref="BR34">IF(OR(BO34="",AF34="",BM34="",AD34="",BN34="",AE34=""),"",_xlfn.IFS(
ROUND(IFERROR(VALUE(TRIM(SUBSTITUTE(BO34,CHAR(160),""))),0),2)&gt;
ROUND(IFERROR(VALUE(TRIM(SUBSTITUTE(AF34,CHAR(160),""))),0),2),
"KO : Le montant retenu TTC est supérieur au montant présenté TTC. Merci de revoir la ligne de dépense ou plafonner son montant.",
ROUND(IFERROR(VALUE(TRIM(SUBSTITUTE(BM34,CHAR(160),""))),0),2)&gt;
ROUND(IFERROR(VALUE(TRIM(SUBSTITUTE(AD34,CHAR(160),""))),0),2),
"Attention : Le montant retenu HT est supérieur au montant HT présenté. Merci de revoir la ligne de dépense, plafonner son montant, ou justifier la reventillation HT / TVA.",
ROUND(IFERROR(VALUE(TRIM(SUBSTITUTE(BN34,CHAR(160),""))),0),2)&gt;
ROUND(IFERROR(VALUE(TRIM(SUBSTITUTE(AE34,CHAR(160),""))),0),2),
"Attention : Le montant TVA retenu est supérieur au montant TVA présenté. Merci de revoir la ligne de dépense, plafonner son montant, ou justifier la reventillation HT / TVA.",
ROUND(IFERROR(VALUE(TRIM(SUBSTITUTE(AF34,CHAR(160),""))),0),2)=0,
"",
ROUND(IFERROR(VALUE(TRIM(SUBSTITUTE(BO34,CHAR(160),""))),0),2)=
ROUND(IFERROR(VALUE(TRIM(SUBSTITUTE(AF34,CHAR(160),""))),0),2),
"OK",
ROUND(IFERROR(VALUE(TRIM(SUBSTITUTE(BO34,CHAR(160),""))),0),2)=0,
"Attention : Montant présenté entièrement rejeté.",
ROUND(IFERROR(VALUE(TRIM(SUBSTITUTE(BO34,CHAR(160),""))),0),2)&lt;
ROUND(IFERROR(VALUE(TRIM(SUBSTITUTE(AF34,CHAR(160),""))),0),2),
"Attention : Montant présenté partiellement rejeté.",
TRUE,""
))</f>
        <v/>
      </c>
      <c r="BS34" s="1202" t="str">
        <f t="shared" si="30"/>
        <v/>
      </c>
      <c r="BT34" s="1202" t="str">
        <f t="shared" si="31"/>
        <v/>
      </c>
      <c r="BU34" s="1216" t="str">
        <f t="shared" si="32"/>
        <v/>
      </c>
    </row>
    <row r="35" spans="2:73" ht="15.95" customHeight="1">
      <c r="B35" s="303">
        <v>26</v>
      </c>
      <c r="C35" s="11"/>
      <c r="D35" s="11"/>
      <c r="E35" s="22"/>
      <c r="F35" s="11"/>
      <c r="G35" s="11"/>
      <c r="H35" s="11"/>
      <c r="I35" s="22"/>
      <c r="J35" s="11"/>
      <c r="K35" s="2"/>
      <c r="L35" s="23"/>
      <c r="M35" s="11"/>
      <c r="N35" s="11"/>
      <c r="O35" s="11"/>
      <c r="P35" s="24"/>
      <c r="Q35" s="24"/>
      <c r="R35" s="300" t="str">
        <f t="shared" si="35"/>
        <v/>
      </c>
      <c r="S35" s="1205"/>
      <c r="T35" s="1205"/>
      <c r="U35" s="24"/>
      <c r="V35" s="24"/>
      <c r="W35" s="300" t="str">
        <f t="shared" si="33"/>
        <v/>
      </c>
      <c r="X35" s="1205"/>
      <c r="Y35" s="1205"/>
      <c r="Z35" s="24"/>
      <c r="AA35" s="24"/>
      <c r="AB35" s="300" t="str">
        <f t="shared" si="34"/>
        <v/>
      </c>
      <c r="AC35" s="11"/>
      <c r="AD35" s="1202" t="str" cm="1">
        <f t="array" ref="AD35">IF((_xlfn.IFS(TRIM(SUBSTITUTE(AC35,CHAR(160),""))="Devis 1",IFERROR(VALUE(TRIM(SUBSTITUTE(P35,CHAR(160),""))),0),TRIM(SUBSTITUTE(AC35,CHAR(160),""))="Devis 2",IFERROR(VALUE(TRIM(SUBSTITUTE(U35,CHAR(160),""))),0),TRIM(SUBSTITUTE(AC35,CHAR(160),""))="Devis 3",IFERROR(VALUE(TRIM(SUBSTITUTE(Z35,CHAR(160),""))),0),TRUE,0)*IFERROR(VALUE(TRIM(SUBSTITUTE(K35,CHAR(160),""))),0))=0,"",_xlfn.IFS(TRIM(SUBSTITUTE(AC35,CHAR(160),""))="Devis 1",IFERROR(VALUE(TRIM(SUBSTITUTE(P35,CHAR(160),""))),0),TRIM(SUBSTITUTE(AC35,CHAR(160),""))="Devis 2",IFERROR(VALUE(TRIM(SUBSTITUTE(U35,CHAR(160),""))),0),TRIM(SUBSTITUTE(AC35,CHAR(160),""))="Devis 3",IFERROR(VALUE(TRIM(SUBSTITUTE(Z35,CHAR(160),""))),0),TRUE,0)*IFERROR(VALUE(TRIM(SUBSTITUTE(K35,CHAR(160),""))),0))</f>
        <v/>
      </c>
      <c r="AE35" s="1202" t="str" cm="1">
        <f t="array" ref="AE35">IF((_xlfn.IFS(TRIM(SUBSTITUTE(AC35,CHAR(160),""))="Devis 1",IFERROR(VALUE(TRIM(SUBSTITUTE(Q35,CHAR(160),""))),0),TRIM(SUBSTITUTE(AC35,CHAR(160),""))="Devis 2",IFERROR(VALUE(TRIM(SUBSTITUTE(V35,CHAR(160),""))),0),TRIM(SUBSTITUTE(AC35,CHAR(160),""))="Devis 3",IFERROR(VALUE(TRIM(SUBSTITUTE(AA35,CHAR(160),""))),0),TRUE,0)*IFERROR(VALUE(TRIM(SUBSTITUTE(K35,CHAR(160),""))),0))=0,"",_xlfn.IFS(TRIM(SUBSTITUTE(AC35,CHAR(160),""))="Devis 1",IFERROR(VALUE(TRIM(SUBSTITUTE(Q35,CHAR(160),""))),0),TRIM(SUBSTITUTE(AD35,CHAR(160),""))="Devis 2",IFERROR(VALUE(TRIM(SUBSTITUTE(V35,CHAR(160),""))),0),TRIM(SUBSTITUTE(AD35,CHAR(160),""))="Devis 3",IFERROR(VALUE(TRIM(SUBSTITUTE(AA35,CHAR(160),""))),0),TRUE,0)*IFERROR(VALUE(TRIM(SUBSTITUTE(K35,CHAR(160),""))),0))</f>
        <v/>
      </c>
      <c r="AF35" s="1202" t="str" cm="1">
        <f t="array" ref="AF35">IF((_xlfn.IFS(TRIM(SUBSTITUTE(AC35,CHAR(160),""))="Devis 1",IFERROR(VALUE(TRIM(SUBSTITUTE(R35,CHAR(160),""))),0),TRIM(SUBSTITUTE(AC35,CHAR(160),""))="Devis 2",IFERROR(VALUE(TRIM(SUBSTITUTE(W35,CHAR(160),""))),0),TRIM(SUBSTITUTE(AC35,CHAR(160),""))="Devis 3",IFERROR(VALUE(TRIM(SUBSTITUTE(AB35,CHAR(160),""))),0),TRUE,0)*IFERROR(VALUE(TRIM(SUBSTITUTE(K35,CHAR(160),""))),0))=0,"",_xlfn.IFS(TRIM(SUBSTITUTE(AC35,CHAR(160),""))="Devis 1",IFERROR(VALUE(TRIM(SUBSTITUTE(R35,CHAR(160),""))),0),TRIM(SUBSTITUTE(AC35,CHAR(160),""))="Devis 2",IFERROR(VALUE(TRIM(SUBSTITUTE(W35,CHAR(160),""))),0),TRIM(SUBSTITUTE(AC35,CHAR(160),""))="Devis 3",IFERROR(VALUE(TRIM(SUBSTITUTE(AB35,CHAR(160),""))),0),TRUE,0)*IFERROR(VALUE(TRIM(SUBSTITUTE(K35,CHAR(160),""))),0))</f>
        <v/>
      </c>
      <c r="AG35" s="488"/>
      <c r="AH35" s="215" t="str">
        <f t="shared" si="0"/>
        <v/>
      </c>
      <c r="AI35" s="57" t="str">
        <f t="shared" si="1"/>
        <v/>
      </c>
      <c r="AJ35" s="57" t="str">
        <f t="shared" si="2"/>
        <v/>
      </c>
      <c r="AK35" s="57" t="str">
        <f t="shared" si="3"/>
        <v/>
      </c>
      <c r="AL35" s="57" t="str">
        <f t="shared" si="4"/>
        <v/>
      </c>
      <c r="AM35" s="57" t="str">
        <f t="shared" si="5"/>
        <v/>
      </c>
      <c r="AN35" s="57" t="str">
        <f t="shared" si="6"/>
        <v/>
      </c>
      <c r="AO35" s="57" t="str">
        <f t="shared" si="7"/>
        <v/>
      </c>
      <c r="AP35" s="57" t="str">
        <f t="shared" si="8"/>
        <v/>
      </c>
      <c r="AQ35" s="57" t="str">
        <f t="shared" si="9"/>
        <v/>
      </c>
      <c r="AR35" s="57" t="str">
        <f t="shared" si="10"/>
        <v/>
      </c>
      <c r="AS35" s="57" t="str">
        <f t="shared" si="11"/>
        <v/>
      </c>
      <c r="AT35" s="57" t="str">
        <f t="shared" si="12"/>
        <v/>
      </c>
      <c r="AU35" s="57" t="str">
        <f t="shared" si="13"/>
        <v/>
      </c>
      <c r="AV35" s="57" t="str">
        <f t="shared" si="14"/>
        <v/>
      </c>
      <c r="AW35" s="300" t="str">
        <f t="shared" si="15"/>
        <v/>
      </c>
      <c r="AX35" s="57" t="str">
        <f t="shared" si="16"/>
        <v/>
      </c>
      <c r="AY35" s="57" t="str">
        <f t="shared" si="17"/>
        <v/>
      </c>
      <c r="AZ35" s="57" t="str">
        <f t="shared" si="18"/>
        <v/>
      </c>
      <c r="BA35" s="57" t="str">
        <f t="shared" si="19"/>
        <v/>
      </c>
      <c r="BB35" s="300" t="str">
        <f t="shared" si="20"/>
        <v/>
      </c>
      <c r="BC35" s="57" t="str">
        <f t="shared" si="21"/>
        <v/>
      </c>
      <c r="BD35" s="57" t="str">
        <f t="shared" si="22"/>
        <v/>
      </c>
      <c r="BE35" s="57" t="str">
        <f t="shared" si="23"/>
        <v/>
      </c>
      <c r="BF35" s="57" t="str">
        <f t="shared" si="24"/>
        <v/>
      </c>
      <c r="BG35" s="300" t="str">
        <f t="shared" si="25"/>
        <v/>
      </c>
      <c r="BH35" s="1203" t="str">
        <f t="shared" si="26"/>
        <v/>
      </c>
      <c r="BI35" s="260"/>
      <c r="BJ35" s="300" t="str">
        <f t="shared" si="27"/>
        <v/>
      </c>
      <c r="BK35" s="300" t="str">
        <f t="shared" si="28"/>
        <v/>
      </c>
      <c r="BL35" s="300" t="str">
        <f t="shared" si="29"/>
        <v/>
      </c>
      <c r="BM35" s="1202" t="str" cm="1">
        <f t="array" ref="BM35">IF($AP35="","",IF((IFERROR(_xlfn.IFS($BH35="Devis 1",(IFERROR(VALUE(TRIM(SUBSTITUTE(AU35,CHAR(160),""))),0)),$BH35="Devis 2",(IFERROR(VALUE(TRIM(SUBSTITUTE(AZ35,CHAR(160),""))),0)),$BH35="Devis 3",(IFERROR(VALUE(TRIM(SUBSTITUTE(BE35,CHAR(160),""))),0))),0))*(IFERROR(VALUE(TRIM(SUBSTITUTE($AP35,CHAR(160),""))),0))=0,"",(IFERROR(_xlfn.IFS($BH35="Devis 1",(IFERROR(VALUE(TRIM(SUBSTITUTE(AU35,CHAR(160),""))),0)),$BH35="Devis 2",(IFERROR(VALUE(TRIM(SUBSTITUTE(AZ35,CHAR(160),""))),0)),$BH35="Devis 3",(IFERROR(VALUE(TRIM(SUBSTITUTE(BE35,CHAR(160),""))),0))),0))*(IFERROR(VALUE(TRIM(SUBSTITUTE($AP35,CHAR(160),""))),0))))</f>
        <v/>
      </c>
      <c r="BN35" s="1202" t="str" cm="1">
        <f t="array" ref="BN35">IF($AP35="","",IF((IFERROR(_xlfn.IFS(TRIM(SUBSTITUTE($BH35,CHAR(160),""))="Devis 1", IFERROR(VALUE(TRIM(SUBSTITUTE(AV35,CHAR(160),""))),0),TRIM(SUBSTITUTE($BH35,CHAR(160),""))="Devis 2", IFERROR(VALUE(TRIM(SUBSTITUTE(BA35,CHAR(160),""))),0),TRIM(SUBSTITUTE($BH35,CHAR(160),""))="Devis 3", IFERROR(VALUE(TRIM(SUBSTITUTE(BF35,CHAR(160),""))),0)),0) * IFERROR(VALUE(TRIM(SUBSTITUTE($AP35,CHAR(160),""))),0)) = 0,IF(BM35&lt;&gt;"",0,""),(IFERROR(_xlfn.IFS(TRIM(SUBSTITUTE($BH35,CHAR(160),""))="Devis 1", IFERROR(VALUE(TRIM(SUBSTITUTE(AV35,CHAR(160),""))),0),TRIM(SUBSTITUTE($BH35,CHAR(160),""))="Devis 2", IFERROR(VALUE(TRIM(SUBSTITUTE(BA35,CHAR(160),""))),0),TRIM(SUBSTITUTE($BH35,CHAR(160),""))="Devis 3", IFERROR(VALUE(TRIM(SUBSTITUTE(BF35,CHAR(160),""))),0)),0) * IFERROR(VALUE(TRIM(SUBSTITUTE($AP35,CHAR(160),""))),0))))</f>
        <v/>
      </c>
      <c r="BO35" s="1202" t="str" cm="1">
        <f t="array" ref="BO35">IF($AP35="","",IF(IFERROR(_xlfn.IFS($BH35="Devis 1",IFERROR(VALUE(TRIM(SUBSTITUTE(AW35,CHAR(160),""))),0),$BH35="Devis 2",IFERROR(VALUE(TRIM(SUBSTITUTE(BB35,CHAR(160),""))),0),$BH35="Devis 3",IFERROR(VALUE(TRIM(SUBSTITUTE(BG35,CHAR(160),""))),0)),0)*IFERROR(VALUE(TRIM(SUBSTITUTE($AP35,CHAR(160),""))),0)=0,"",IFERROR(_xlfn.IFS($BH35="Devis 1",IFERROR(VALUE(TRIM(SUBSTITUTE(AW35,CHAR(160),""))),0),$BH35="Devis 2",IFERROR(VALUE(TRIM(SUBSTITUTE(BB35,CHAR(160),""))),0),$BH35="Devis 3",IFERROR(VALUE(TRIM(SUBSTITUTE(BG35,CHAR(160),""))),0)),0)*IFERROR(VALUE(TRIM(SUBSTITUTE($AP35,CHAR(160),""))),0)))</f>
        <v/>
      </c>
      <c r="BP35" s="194"/>
      <c r="BQ35" s="219" t="str" cm="1">
        <f t="array" ref="BQ35">IF(OR(BO35="",BL35="",BM35="",BJ35="",BN35="",BK35=""),"",_xlfn.IFS(
ROUND(IFERROR(VALUE(TRIM(SUBSTITUTE(BO35,CHAR(160),""))),0),2)&gt;
ROUND(IFERROR(VALUE(TRIM(SUBSTITUTE(BL35,CHAR(160),""))),0),2),
"KO : Le montant retenu TTC est supérieur au montant raisonnable TTC. Merci de revoir la ligne de dépense ou plafonner son montant.",
ROUND(IFERROR(VALUE(TRIM(SUBSTITUTE(BM35,CHAR(160),""))),0),2)&gt;
ROUND(IFERROR(VALUE(TRIM(SUBSTITUTE(BJ35,CHAR(160),""))),0),2),
"Attention : Le montant retenu HT est supérieur au montant HT raisonnable. Merci de revoir la ligne de dépense, plafonner son montant, ou justifier la reventillation HT / TVA.",
ROUND(IFERROR(VALUE(TRIM(SUBSTITUTE(BN35,CHAR(160),""))),0),2)&gt;
ROUND(IFERROR(VALUE(TRIM(SUBSTITUTE(BK35,CHAR(160),""))),0),2),
"Attention : Le montant TVA retenu est supérieur au montant TVA raisonnable. Merci de revoir la ligne de dépense, plafonner son montant, ou justifier la reventillation HT / TVA.",
ROUND(IFERROR(VALUE(TRIM(SUBSTITUTE(BO35,CHAR(160),""))),0),2)&gt;
ROUND(IFERROR(VALUE(TRIM(SUBSTITUTE(MIN(R35,W35,AB35),CHAR(160),""))),0),2),
"Attention : Le devis retenu n'est pas le moins cher. Une justification de la part du porteur est nécessaire.",
ROUND(IFERROR(VALUE(TRIM(SUBSTITUTE(BO35,CHAR(160),""))),0),2)=0,
"Attention : montant présenté entièrement écarté",
ROUND(IFERROR(VALUE(TRIM(SUBSTITUTE(BL35,CHAR(160),""))),0),2)=
ROUND(IFERROR(VALUE(TRIM(SUBSTITUTE(BO35,CHAR(160),""))),0),2),
"OK",
ROUND(IFERROR(VALUE(TRIM(SUBSTITUTE(BL35,CHAR(160),""))),0),2)&gt;
ROUND(IFERROR(VALUE(TRIM(SUBSTITUTE(BO35,CHAR(160),""))),0),2),
" OK : Montant instruit inférieur au montant raisonnable.",
TRUE,""
))</f>
        <v/>
      </c>
      <c r="BR35" s="216" t="str" cm="1">
        <f t="array" ref="BR35">IF(OR(BO35="",AF35="",BM35="",AD35="",BN35="",AE35=""),"",_xlfn.IFS(
ROUND(IFERROR(VALUE(TRIM(SUBSTITUTE(BO35,CHAR(160),""))),0),2)&gt;
ROUND(IFERROR(VALUE(TRIM(SUBSTITUTE(AF35,CHAR(160),""))),0),2),
"KO : Le montant retenu TTC est supérieur au montant présenté TTC. Merci de revoir la ligne de dépense ou plafonner son montant.",
ROUND(IFERROR(VALUE(TRIM(SUBSTITUTE(BM35,CHAR(160),""))),0),2)&gt;
ROUND(IFERROR(VALUE(TRIM(SUBSTITUTE(AD35,CHAR(160),""))),0),2),
"Attention : Le montant retenu HT est supérieur au montant HT présenté. Merci de revoir la ligne de dépense, plafonner son montant, ou justifier la reventillation HT / TVA.",
ROUND(IFERROR(VALUE(TRIM(SUBSTITUTE(BN35,CHAR(160),""))),0),2)&gt;
ROUND(IFERROR(VALUE(TRIM(SUBSTITUTE(AE35,CHAR(160),""))),0),2),
"Attention : Le montant TVA retenu est supérieur au montant TVA présenté. Merci de revoir la ligne de dépense, plafonner son montant, ou justifier la reventillation HT / TVA.",
ROUND(IFERROR(VALUE(TRIM(SUBSTITUTE(AF35,CHAR(160),""))),0),2)=0,
"",
ROUND(IFERROR(VALUE(TRIM(SUBSTITUTE(BO35,CHAR(160),""))),0),2)=
ROUND(IFERROR(VALUE(TRIM(SUBSTITUTE(AF35,CHAR(160),""))),0),2),
"OK",
ROUND(IFERROR(VALUE(TRIM(SUBSTITUTE(BO35,CHAR(160),""))),0),2)=0,
"Attention : Montant présenté entièrement rejeté.",
ROUND(IFERROR(VALUE(TRIM(SUBSTITUTE(BO35,CHAR(160),""))),0),2)&lt;
ROUND(IFERROR(VALUE(TRIM(SUBSTITUTE(AF35,CHAR(160),""))),0),2),
"Attention : Montant présenté partiellement rejeté.",
TRUE,""
))</f>
        <v/>
      </c>
      <c r="BS35" s="1202" t="str">
        <f t="shared" si="30"/>
        <v/>
      </c>
      <c r="BT35" s="1202" t="str">
        <f t="shared" si="31"/>
        <v/>
      </c>
      <c r="BU35" s="1216" t="str">
        <f t="shared" si="32"/>
        <v/>
      </c>
    </row>
    <row r="36" spans="2:73" ht="15.95" customHeight="1">
      <c r="B36" s="303">
        <v>27</v>
      </c>
      <c r="C36" s="11"/>
      <c r="D36" s="11"/>
      <c r="E36" s="22"/>
      <c r="F36" s="11"/>
      <c r="G36" s="11"/>
      <c r="H36" s="11"/>
      <c r="I36" s="22"/>
      <c r="J36" s="11"/>
      <c r="K36" s="2"/>
      <c r="L36" s="23"/>
      <c r="M36" s="11"/>
      <c r="N36" s="11"/>
      <c r="O36" s="11"/>
      <c r="P36" s="24"/>
      <c r="Q36" s="24"/>
      <c r="R36" s="300" t="str">
        <f t="shared" si="35"/>
        <v/>
      </c>
      <c r="S36" s="1205"/>
      <c r="T36" s="1205"/>
      <c r="U36" s="24"/>
      <c r="V36" s="24"/>
      <c r="W36" s="300" t="str">
        <f t="shared" si="33"/>
        <v/>
      </c>
      <c r="X36" s="1205"/>
      <c r="Y36" s="1205"/>
      <c r="Z36" s="24"/>
      <c r="AA36" s="24"/>
      <c r="AB36" s="300" t="str">
        <f t="shared" si="34"/>
        <v/>
      </c>
      <c r="AC36" s="11"/>
      <c r="AD36" s="1202" t="str" cm="1">
        <f t="array" ref="AD36">IF((_xlfn.IFS(TRIM(SUBSTITUTE(AC36,CHAR(160),""))="Devis 1",IFERROR(VALUE(TRIM(SUBSTITUTE(P36,CHAR(160),""))),0),TRIM(SUBSTITUTE(AC36,CHAR(160),""))="Devis 2",IFERROR(VALUE(TRIM(SUBSTITUTE(U36,CHAR(160),""))),0),TRIM(SUBSTITUTE(AC36,CHAR(160),""))="Devis 3",IFERROR(VALUE(TRIM(SUBSTITUTE(Z36,CHAR(160),""))),0),TRUE,0)*IFERROR(VALUE(TRIM(SUBSTITUTE(K36,CHAR(160),""))),0))=0,"",_xlfn.IFS(TRIM(SUBSTITUTE(AC36,CHAR(160),""))="Devis 1",IFERROR(VALUE(TRIM(SUBSTITUTE(P36,CHAR(160),""))),0),TRIM(SUBSTITUTE(AC36,CHAR(160),""))="Devis 2",IFERROR(VALUE(TRIM(SUBSTITUTE(U36,CHAR(160),""))),0),TRIM(SUBSTITUTE(AC36,CHAR(160),""))="Devis 3",IFERROR(VALUE(TRIM(SUBSTITUTE(Z36,CHAR(160),""))),0),TRUE,0)*IFERROR(VALUE(TRIM(SUBSTITUTE(K36,CHAR(160),""))),0))</f>
        <v/>
      </c>
      <c r="AE36" s="1202" t="str" cm="1">
        <f t="array" ref="AE36">IF((_xlfn.IFS(TRIM(SUBSTITUTE(AC36,CHAR(160),""))="Devis 1",IFERROR(VALUE(TRIM(SUBSTITUTE(Q36,CHAR(160),""))),0),TRIM(SUBSTITUTE(AC36,CHAR(160),""))="Devis 2",IFERROR(VALUE(TRIM(SUBSTITUTE(V36,CHAR(160),""))),0),TRIM(SUBSTITUTE(AC36,CHAR(160),""))="Devis 3",IFERROR(VALUE(TRIM(SUBSTITUTE(AA36,CHAR(160),""))),0),TRUE,0)*IFERROR(VALUE(TRIM(SUBSTITUTE(K36,CHAR(160),""))),0))=0,"",_xlfn.IFS(TRIM(SUBSTITUTE(AC36,CHAR(160),""))="Devis 1",IFERROR(VALUE(TRIM(SUBSTITUTE(Q36,CHAR(160),""))),0),TRIM(SUBSTITUTE(AD36,CHAR(160),""))="Devis 2",IFERROR(VALUE(TRIM(SUBSTITUTE(V36,CHAR(160),""))),0),TRIM(SUBSTITUTE(AD36,CHAR(160),""))="Devis 3",IFERROR(VALUE(TRIM(SUBSTITUTE(AA36,CHAR(160),""))),0),TRUE,0)*IFERROR(VALUE(TRIM(SUBSTITUTE(K36,CHAR(160),""))),0))</f>
        <v/>
      </c>
      <c r="AF36" s="1202" t="str" cm="1">
        <f t="array" ref="AF36">IF((_xlfn.IFS(TRIM(SUBSTITUTE(AC36,CHAR(160),""))="Devis 1",IFERROR(VALUE(TRIM(SUBSTITUTE(R36,CHAR(160),""))),0),TRIM(SUBSTITUTE(AC36,CHAR(160),""))="Devis 2",IFERROR(VALUE(TRIM(SUBSTITUTE(W36,CHAR(160),""))),0),TRIM(SUBSTITUTE(AC36,CHAR(160),""))="Devis 3",IFERROR(VALUE(TRIM(SUBSTITUTE(AB36,CHAR(160),""))),0),TRUE,0)*IFERROR(VALUE(TRIM(SUBSTITUTE(K36,CHAR(160),""))),0))=0,"",_xlfn.IFS(TRIM(SUBSTITUTE(AC36,CHAR(160),""))="Devis 1",IFERROR(VALUE(TRIM(SUBSTITUTE(R36,CHAR(160),""))),0),TRIM(SUBSTITUTE(AC36,CHAR(160),""))="Devis 2",IFERROR(VALUE(TRIM(SUBSTITUTE(W36,CHAR(160),""))),0),TRIM(SUBSTITUTE(AC36,CHAR(160),""))="Devis 3",IFERROR(VALUE(TRIM(SUBSTITUTE(AB36,CHAR(160),""))),0),TRUE,0)*IFERROR(VALUE(TRIM(SUBSTITUTE(K36,CHAR(160),""))),0))</f>
        <v/>
      </c>
      <c r="AG36" s="488"/>
      <c r="AH36" s="215" t="str">
        <f t="shared" si="0"/>
        <v/>
      </c>
      <c r="AI36" s="57" t="str">
        <f t="shared" si="1"/>
        <v/>
      </c>
      <c r="AJ36" s="57" t="str">
        <f t="shared" si="2"/>
        <v/>
      </c>
      <c r="AK36" s="57" t="str">
        <f t="shared" si="3"/>
        <v/>
      </c>
      <c r="AL36" s="57" t="str">
        <f t="shared" si="4"/>
        <v/>
      </c>
      <c r="AM36" s="57" t="str">
        <f t="shared" si="5"/>
        <v/>
      </c>
      <c r="AN36" s="57" t="str">
        <f t="shared" si="6"/>
        <v/>
      </c>
      <c r="AO36" s="57" t="str">
        <f t="shared" si="7"/>
        <v/>
      </c>
      <c r="AP36" s="57" t="str">
        <f t="shared" si="8"/>
        <v/>
      </c>
      <c r="AQ36" s="57" t="str">
        <f t="shared" si="9"/>
        <v/>
      </c>
      <c r="AR36" s="57" t="str">
        <f t="shared" si="10"/>
        <v/>
      </c>
      <c r="AS36" s="57" t="str">
        <f t="shared" si="11"/>
        <v/>
      </c>
      <c r="AT36" s="57" t="str">
        <f t="shared" si="12"/>
        <v/>
      </c>
      <c r="AU36" s="57" t="str">
        <f t="shared" si="13"/>
        <v/>
      </c>
      <c r="AV36" s="57" t="str">
        <f t="shared" si="14"/>
        <v/>
      </c>
      <c r="AW36" s="300" t="str">
        <f t="shared" si="15"/>
        <v/>
      </c>
      <c r="AX36" s="57" t="str">
        <f t="shared" si="16"/>
        <v/>
      </c>
      <c r="AY36" s="57" t="str">
        <f t="shared" si="17"/>
        <v/>
      </c>
      <c r="AZ36" s="57" t="str">
        <f t="shared" si="18"/>
        <v/>
      </c>
      <c r="BA36" s="57" t="str">
        <f t="shared" si="19"/>
        <v/>
      </c>
      <c r="BB36" s="300" t="str">
        <f t="shared" si="20"/>
        <v/>
      </c>
      <c r="BC36" s="57" t="str">
        <f t="shared" si="21"/>
        <v/>
      </c>
      <c r="BD36" s="57" t="str">
        <f t="shared" si="22"/>
        <v/>
      </c>
      <c r="BE36" s="57" t="str">
        <f t="shared" si="23"/>
        <v/>
      </c>
      <c r="BF36" s="57" t="str">
        <f t="shared" si="24"/>
        <v/>
      </c>
      <c r="BG36" s="300" t="str">
        <f t="shared" si="25"/>
        <v/>
      </c>
      <c r="BH36" s="1203" t="str">
        <f t="shared" si="26"/>
        <v/>
      </c>
      <c r="BI36" s="260"/>
      <c r="BJ36" s="300" t="str">
        <f t="shared" si="27"/>
        <v/>
      </c>
      <c r="BK36" s="300" t="str">
        <f t="shared" si="28"/>
        <v/>
      </c>
      <c r="BL36" s="300" t="str">
        <f t="shared" si="29"/>
        <v/>
      </c>
      <c r="BM36" s="1202" t="str" cm="1">
        <f t="array" ref="BM36">IF($AP36="","",IF((IFERROR(_xlfn.IFS($BH36="Devis 1",(IFERROR(VALUE(TRIM(SUBSTITUTE(AU36,CHAR(160),""))),0)),$BH36="Devis 2",(IFERROR(VALUE(TRIM(SUBSTITUTE(AZ36,CHAR(160),""))),0)),$BH36="Devis 3",(IFERROR(VALUE(TRIM(SUBSTITUTE(BE36,CHAR(160),""))),0))),0))*(IFERROR(VALUE(TRIM(SUBSTITUTE($AP36,CHAR(160),""))),0))=0,"",(IFERROR(_xlfn.IFS($BH36="Devis 1",(IFERROR(VALUE(TRIM(SUBSTITUTE(AU36,CHAR(160),""))),0)),$BH36="Devis 2",(IFERROR(VALUE(TRIM(SUBSTITUTE(AZ36,CHAR(160),""))),0)),$BH36="Devis 3",(IFERROR(VALUE(TRIM(SUBSTITUTE(BE36,CHAR(160),""))),0))),0))*(IFERROR(VALUE(TRIM(SUBSTITUTE($AP36,CHAR(160),""))),0))))</f>
        <v/>
      </c>
      <c r="BN36" s="1202" t="str" cm="1">
        <f t="array" ref="BN36">IF($AP36="","",IF((IFERROR(_xlfn.IFS(TRIM(SUBSTITUTE($BH36,CHAR(160),""))="Devis 1", IFERROR(VALUE(TRIM(SUBSTITUTE(AV36,CHAR(160),""))),0),TRIM(SUBSTITUTE($BH36,CHAR(160),""))="Devis 2", IFERROR(VALUE(TRIM(SUBSTITUTE(BA36,CHAR(160),""))),0),TRIM(SUBSTITUTE($BH36,CHAR(160),""))="Devis 3", IFERROR(VALUE(TRIM(SUBSTITUTE(BF36,CHAR(160),""))),0)),0) * IFERROR(VALUE(TRIM(SUBSTITUTE($AP36,CHAR(160),""))),0)) = 0,IF(BM36&lt;&gt;"",0,""),(IFERROR(_xlfn.IFS(TRIM(SUBSTITUTE($BH36,CHAR(160),""))="Devis 1", IFERROR(VALUE(TRIM(SUBSTITUTE(AV36,CHAR(160),""))),0),TRIM(SUBSTITUTE($BH36,CHAR(160),""))="Devis 2", IFERROR(VALUE(TRIM(SUBSTITUTE(BA36,CHAR(160),""))),0),TRIM(SUBSTITUTE($BH36,CHAR(160),""))="Devis 3", IFERROR(VALUE(TRIM(SUBSTITUTE(BF36,CHAR(160),""))),0)),0) * IFERROR(VALUE(TRIM(SUBSTITUTE($AP36,CHAR(160),""))),0))))</f>
        <v/>
      </c>
      <c r="BO36" s="1202" t="str" cm="1">
        <f t="array" ref="BO36">IF($AP36="","",IF(IFERROR(_xlfn.IFS($BH36="Devis 1",IFERROR(VALUE(TRIM(SUBSTITUTE(AW36,CHAR(160),""))),0),$BH36="Devis 2",IFERROR(VALUE(TRIM(SUBSTITUTE(BB36,CHAR(160),""))),0),$BH36="Devis 3",IFERROR(VALUE(TRIM(SUBSTITUTE(BG36,CHAR(160),""))),0)),0)*IFERROR(VALUE(TRIM(SUBSTITUTE($AP36,CHAR(160),""))),0)=0,"",IFERROR(_xlfn.IFS($BH36="Devis 1",IFERROR(VALUE(TRIM(SUBSTITUTE(AW36,CHAR(160),""))),0),$BH36="Devis 2",IFERROR(VALUE(TRIM(SUBSTITUTE(BB36,CHAR(160),""))),0),$BH36="Devis 3",IFERROR(VALUE(TRIM(SUBSTITUTE(BG36,CHAR(160),""))),0)),0)*IFERROR(VALUE(TRIM(SUBSTITUTE($AP36,CHAR(160),""))),0)))</f>
        <v/>
      </c>
      <c r="BP36" s="194"/>
      <c r="BQ36" s="219" t="str" cm="1">
        <f t="array" ref="BQ36">IF(OR(BO36="",BL36="",BM36="",BJ36="",BN36="",BK36=""),"",_xlfn.IFS(
ROUND(IFERROR(VALUE(TRIM(SUBSTITUTE(BO36,CHAR(160),""))),0),2)&gt;
ROUND(IFERROR(VALUE(TRIM(SUBSTITUTE(BL36,CHAR(160),""))),0),2),
"KO : Le montant retenu TTC est supérieur au montant raisonnable TTC. Merci de revoir la ligne de dépense ou plafonner son montant.",
ROUND(IFERROR(VALUE(TRIM(SUBSTITUTE(BM36,CHAR(160),""))),0),2)&gt;
ROUND(IFERROR(VALUE(TRIM(SUBSTITUTE(BJ36,CHAR(160),""))),0),2),
"Attention : Le montant retenu HT est supérieur au montant HT raisonnable. Merci de revoir la ligne de dépense, plafonner son montant, ou justifier la reventillation HT / TVA.",
ROUND(IFERROR(VALUE(TRIM(SUBSTITUTE(BN36,CHAR(160),""))),0),2)&gt;
ROUND(IFERROR(VALUE(TRIM(SUBSTITUTE(BK36,CHAR(160),""))),0),2),
"Attention : Le montant TVA retenu est supérieur au montant TVA raisonnable. Merci de revoir la ligne de dépense, plafonner son montant, ou justifier la reventillation HT / TVA.",
ROUND(IFERROR(VALUE(TRIM(SUBSTITUTE(BO36,CHAR(160),""))),0),2)&gt;
ROUND(IFERROR(VALUE(TRIM(SUBSTITUTE(MIN(R36,W36,AB36),CHAR(160),""))),0),2),
"Attention : Le devis retenu n'est pas le moins cher. Une justification de la part du porteur est nécessaire.",
ROUND(IFERROR(VALUE(TRIM(SUBSTITUTE(BO36,CHAR(160),""))),0),2)=0,
"Attention : montant présenté entièrement écarté",
ROUND(IFERROR(VALUE(TRIM(SUBSTITUTE(BL36,CHAR(160),""))),0),2)=
ROUND(IFERROR(VALUE(TRIM(SUBSTITUTE(BO36,CHAR(160),""))),0),2),
"OK",
ROUND(IFERROR(VALUE(TRIM(SUBSTITUTE(BL36,CHAR(160),""))),0),2)&gt;
ROUND(IFERROR(VALUE(TRIM(SUBSTITUTE(BO36,CHAR(160),""))),0),2),
" OK : Montant instruit inférieur au montant raisonnable.",
TRUE,""
))</f>
        <v/>
      </c>
      <c r="BR36" s="216" t="str" cm="1">
        <f t="array" ref="BR36">IF(OR(BO36="",AF36="",BM36="",AD36="",BN36="",AE36=""),"",_xlfn.IFS(
ROUND(IFERROR(VALUE(TRIM(SUBSTITUTE(BO36,CHAR(160),""))),0),2)&gt;
ROUND(IFERROR(VALUE(TRIM(SUBSTITUTE(AF36,CHAR(160),""))),0),2),
"KO : Le montant retenu TTC est supérieur au montant présenté TTC. Merci de revoir la ligne de dépense ou plafonner son montant.",
ROUND(IFERROR(VALUE(TRIM(SUBSTITUTE(BM36,CHAR(160),""))),0),2)&gt;
ROUND(IFERROR(VALUE(TRIM(SUBSTITUTE(AD36,CHAR(160),""))),0),2),
"Attention : Le montant retenu HT est supérieur au montant HT présenté. Merci de revoir la ligne de dépense, plafonner son montant, ou justifier la reventillation HT / TVA.",
ROUND(IFERROR(VALUE(TRIM(SUBSTITUTE(BN36,CHAR(160),""))),0),2)&gt;
ROUND(IFERROR(VALUE(TRIM(SUBSTITUTE(AE36,CHAR(160),""))),0),2),
"Attention : Le montant TVA retenu est supérieur au montant TVA présenté. Merci de revoir la ligne de dépense, plafonner son montant, ou justifier la reventillation HT / TVA.",
ROUND(IFERROR(VALUE(TRIM(SUBSTITUTE(AF36,CHAR(160),""))),0),2)=0,
"",
ROUND(IFERROR(VALUE(TRIM(SUBSTITUTE(BO36,CHAR(160),""))),0),2)=
ROUND(IFERROR(VALUE(TRIM(SUBSTITUTE(AF36,CHAR(160),""))),0),2),
"OK",
ROUND(IFERROR(VALUE(TRIM(SUBSTITUTE(BO36,CHAR(160),""))),0),2)=0,
"Attention : Montant présenté entièrement rejeté.",
ROUND(IFERROR(VALUE(TRIM(SUBSTITUTE(BO36,CHAR(160),""))),0),2)&lt;
ROUND(IFERROR(VALUE(TRIM(SUBSTITUTE(AF36,CHAR(160),""))),0),2),
"Attention : Montant présenté partiellement rejeté.",
TRUE,""
))</f>
        <v/>
      </c>
      <c r="BS36" s="1202" t="str">
        <f t="shared" si="30"/>
        <v/>
      </c>
      <c r="BT36" s="1202" t="str">
        <f t="shared" si="31"/>
        <v/>
      </c>
      <c r="BU36" s="1216" t="str">
        <f t="shared" si="32"/>
        <v/>
      </c>
    </row>
    <row r="37" spans="2:73" ht="15.95" customHeight="1">
      <c r="B37" s="303">
        <v>28</v>
      </c>
      <c r="C37" s="11"/>
      <c r="D37" s="11"/>
      <c r="E37" s="22"/>
      <c r="F37" s="11"/>
      <c r="G37" s="11"/>
      <c r="H37" s="11"/>
      <c r="I37" s="22"/>
      <c r="J37" s="11"/>
      <c r="K37" s="2"/>
      <c r="L37" s="23"/>
      <c r="M37" s="11"/>
      <c r="N37" s="11"/>
      <c r="O37" s="11"/>
      <c r="P37" s="24"/>
      <c r="Q37" s="24"/>
      <c r="R37" s="300" t="str">
        <f t="shared" si="35"/>
        <v/>
      </c>
      <c r="S37" s="1205"/>
      <c r="T37" s="1205"/>
      <c r="U37" s="24"/>
      <c r="V37" s="24"/>
      <c r="W37" s="300" t="str">
        <f t="shared" si="33"/>
        <v/>
      </c>
      <c r="X37" s="1205"/>
      <c r="Y37" s="1205"/>
      <c r="Z37" s="24"/>
      <c r="AA37" s="24"/>
      <c r="AB37" s="300" t="str">
        <f t="shared" si="34"/>
        <v/>
      </c>
      <c r="AC37" s="11"/>
      <c r="AD37" s="1202" t="str" cm="1">
        <f t="array" ref="AD37">IF((_xlfn.IFS(TRIM(SUBSTITUTE(AC37,CHAR(160),""))="Devis 1",IFERROR(VALUE(TRIM(SUBSTITUTE(P37,CHAR(160),""))),0),TRIM(SUBSTITUTE(AC37,CHAR(160),""))="Devis 2",IFERROR(VALUE(TRIM(SUBSTITUTE(U37,CHAR(160),""))),0),TRIM(SUBSTITUTE(AC37,CHAR(160),""))="Devis 3",IFERROR(VALUE(TRIM(SUBSTITUTE(Z37,CHAR(160),""))),0),TRUE,0)*IFERROR(VALUE(TRIM(SUBSTITUTE(K37,CHAR(160),""))),0))=0,"",_xlfn.IFS(TRIM(SUBSTITUTE(AC37,CHAR(160),""))="Devis 1",IFERROR(VALUE(TRIM(SUBSTITUTE(P37,CHAR(160),""))),0),TRIM(SUBSTITUTE(AC37,CHAR(160),""))="Devis 2",IFERROR(VALUE(TRIM(SUBSTITUTE(U37,CHAR(160),""))),0),TRIM(SUBSTITUTE(AC37,CHAR(160),""))="Devis 3",IFERROR(VALUE(TRIM(SUBSTITUTE(Z37,CHAR(160),""))),0),TRUE,0)*IFERROR(VALUE(TRIM(SUBSTITUTE(K37,CHAR(160),""))),0))</f>
        <v/>
      </c>
      <c r="AE37" s="1202" t="str" cm="1">
        <f t="array" ref="AE37">IF((_xlfn.IFS(TRIM(SUBSTITUTE(AC37,CHAR(160),""))="Devis 1",IFERROR(VALUE(TRIM(SUBSTITUTE(Q37,CHAR(160),""))),0),TRIM(SUBSTITUTE(AC37,CHAR(160),""))="Devis 2",IFERROR(VALUE(TRIM(SUBSTITUTE(V37,CHAR(160),""))),0),TRIM(SUBSTITUTE(AC37,CHAR(160),""))="Devis 3",IFERROR(VALUE(TRIM(SUBSTITUTE(AA37,CHAR(160),""))),0),TRUE,0)*IFERROR(VALUE(TRIM(SUBSTITUTE(K37,CHAR(160),""))),0))=0,"",_xlfn.IFS(TRIM(SUBSTITUTE(AC37,CHAR(160),""))="Devis 1",IFERROR(VALUE(TRIM(SUBSTITUTE(Q37,CHAR(160),""))),0),TRIM(SUBSTITUTE(AD37,CHAR(160),""))="Devis 2",IFERROR(VALUE(TRIM(SUBSTITUTE(V37,CHAR(160),""))),0),TRIM(SUBSTITUTE(AD37,CHAR(160),""))="Devis 3",IFERROR(VALUE(TRIM(SUBSTITUTE(AA37,CHAR(160),""))),0),TRUE,0)*IFERROR(VALUE(TRIM(SUBSTITUTE(K37,CHAR(160),""))),0))</f>
        <v/>
      </c>
      <c r="AF37" s="1202" t="str" cm="1">
        <f t="array" ref="AF37">IF((_xlfn.IFS(TRIM(SUBSTITUTE(AC37,CHAR(160),""))="Devis 1",IFERROR(VALUE(TRIM(SUBSTITUTE(R37,CHAR(160),""))),0),TRIM(SUBSTITUTE(AC37,CHAR(160),""))="Devis 2",IFERROR(VALUE(TRIM(SUBSTITUTE(W37,CHAR(160),""))),0),TRIM(SUBSTITUTE(AC37,CHAR(160),""))="Devis 3",IFERROR(VALUE(TRIM(SUBSTITUTE(AB37,CHAR(160),""))),0),TRUE,0)*IFERROR(VALUE(TRIM(SUBSTITUTE(K37,CHAR(160),""))),0))=0,"",_xlfn.IFS(TRIM(SUBSTITUTE(AC37,CHAR(160),""))="Devis 1",IFERROR(VALUE(TRIM(SUBSTITUTE(R37,CHAR(160),""))),0),TRIM(SUBSTITUTE(AC37,CHAR(160),""))="Devis 2",IFERROR(VALUE(TRIM(SUBSTITUTE(W37,CHAR(160),""))),0),TRIM(SUBSTITUTE(AC37,CHAR(160),""))="Devis 3",IFERROR(VALUE(TRIM(SUBSTITUTE(AB37,CHAR(160),""))),0),TRUE,0)*IFERROR(VALUE(TRIM(SUBSTITUTE(K37,CHAR(160),""))),0))</f>
        <v/>
      </c>
      <c r="AG37" s="488"/>
      <c r="AH37" s="215" t="str">
        <f t="shared" si="0"/>
        <v/>
      </c>
      <c r="AI37" s="57" t="str">
        <f t="shared" si="1"/>
        <v/>
      </c>
      <c r="AJ37" s="57" t="str">
        <f t="shared" si="2"/>
        <v/>
      </c>
      <c r="AK37" s="57" t="str">
        <f t="shared" si="3"/>
        <v/>
      </c>
      <c r="AL37" s="57" t="str">
        <f t="shared" si="4"/>
        <v/>
      </c>
      <c r="AM37" s="57" t="str">
        <f t="shared" si="5"/>
        <v/>
      </c>
      <c r="AN37" s="57" t="str">
        <f t="shared" si="6"/>
        <v/>
      </c>
      <c r="AO37" s="57" t="str">
        <f t="shared" si="7"/>
        <v/>
      </c>
      <c r="AP37" s="57" t="str">
        <f t="shared" si="8"/>
        <v/>
      </c>
      <c r="AQ37" s="57" t="str">
        <f t="shared" si="9"/>
        <v/>
      </c>
      <c r="AR37" s="57" t="str">
        <f t="shared" si="10"/>
        <v/>
      </c>
      <c r="AS37" s="57" t="str">
        <f t="shared" si="11"/>
        <v/>
      </c>
      <c r="AT37" s="57" t="str">
        <f t="shared" si="12"/>
        <v/>
      </c>
      <c r="AU37" s="57" t="str">
        <f t="shared" si="13"/>
        <v/>
      </c>
      <c r="AV37" s="57" t="str">
        <f t="shared" si="14"/>
        <v/>
      </c>
      <c r="AW37" s="300" t="str">
        <f t="shared" si="15"/>
        <v/>
      </c>
      <c r="AX37" s="57" t="str">
        <f t="shared" si="16"/>
        <v/>
      </c>
      <c r="AY37" s="57" t="str">
        <f t="shared" si="17"/>
        <v/>
      </c>
      <c r="AZ37" s="57" t="str">
        <f t="shared" si="18"/>
        <v/>
      </c>
      <c r="BA37" s="57" t="str">
        <f t="shared" si="19"/>
        <v/>
      </c>
      <c r="BB37" s="300" t="str">
        <f t="shared" si="20"/>
        <v/>
      </c>
      <c r="BC37" s="57" t="str">
        <f t="shared" si="21"/>
        <v/>
      </c>
      <c r="BD37" s="57" t="str">
        <f t="shared" si="22"/>
        <v/>
      </c>
      <c r="BE37" s="57" t="str">
        <f t="shared" si="23"/>
        <v/>
      </c>
      <c r="BF37" s="57" t="str">
        <f t="shared" si="24"/>
        <v/>
      </c>
      <c r="BG37" s="300" t="str">
        <f t="shared" si="25"/>
        <v/>
      </c>
      <c r="BH37" s="1203" t="str">
        <f t="shared" si="26"/>
        <v/>
      </c>
      <c r="BI37" s="260"/>
      <c r="BJ37" s="300" t="str">
        <f t="shared" si="27"/>
        <v/>
      </c>
      <c r="BK37" s="300" t="str">
        <f t="shared" si="28"/>
        <v/>
      </c>
      <c r="BL37" s="300" t="str">
        <f t="shared" si="29"/>
        <v/>
      </c>
      <c r="BM37" s="1202" t="str" cm="1">
        <f t="array" ref="BM37">IF($AP37="","",IF((IFERROR(_xlfn.IFS($BH37="Devis 1",(IFERROR(VALUE(TRIM(SUBSTITUTE(AU37,CHAR(160),""))),0)),$BH37="Devis 2",(IFERROR(VALUE(TRIM(SUBSTITUTE(AZ37,CHAR(160),""))),0)),$BH37="Devis 3",(IFERROR(VALUE(TRIM(SUBSTITUTE(BE37,CHAR(160),""))),0))),0))*(IFERROR(VALUE(TRIM(SUBSTITUTE($AP37,CHAR(160),""))),0))=0,"",(IFERROR(_xlfn.IFS($BH37="Devis 1",(IFERROR(VALUE(TRIM(SUBSTITUTE(AU37,CHAR(160),""))),0)),$BH37="Devis 2",(IFERROR(VALUE(TRIM(SUBSTITUTE(AZ37,CHAR(160),""))),0)),$BH37="Devis 3",(IFERROR(VALUE(TRIM(SUBSTITUTE(BE37,CHAR(160),""))),0))),0))*(IFERROR(VALUE(TRIM(SUBSTITUTE($AP37,CHAR(160),""))),0))))</f>
        <v/>
      </c>
      <c r="BN37" s="1202" t="str" cm="1">
        <f t="array" ref="BN37">IF($AP37="","",IF((IFERROR(_xlfn.IFS(TRIM(SUBSTITUTE($BH37,CHAR(160),""))="Devis 1", IFERROR(VALUE(TRIM(SUBSTITUTE(AV37,CHAR(160),""))),0),TRIM(SUBSTITUTE($BH37,CHAR(160),""))="Devis 2", IFERROR(VALUE(TRIM(SUBSTITUTE(BA37,CHAR(160),""))),0),TRIM(SUBSTITUTE($BH37,CHAR(160),""))="Devis 3", IFERROR(VALUE(TRIM(SUBSTITUTE(BF37,CHAR(160),""))),0)),0) * IFERROR(VALUE(TRIM(SUBSTITUTE($AP37,CHAR(160),""))),0)) = 0,IF(BM37&lt;&gt;"",0,""),(IFERROR(_xlfn.IFS(TRIM(SUBSTITUTE($BH37,CHAR(160),""))="Devis 1", IFERROR(VALUE(TRIM(SUBSTITUTE(AV37,CHAR(160),""))),0),TRIM(SUBSTITUTE($BH37,CHAR(160),""))="Devis 2", IFERROR(VALUE(TRIM(SUBSTITUTE(BA37,CHAR(160),""))),0),TRIM(SUBSTITUTE($BH37,CHAR(160),""))="Devis 3", IFERROR(VALUE(TRIM(SUBSTITUTE(BF37,CHAR(160),""))),0)),0) * IFERROR(VALUE(TRIM(SUBSTITUTE($AP37,CHAR(160),""))),0))))</f>
        <v/>
      </c>
      <c r="BO37" s="1202" t="str" cm="1">
        <f t="array" ref="BO37">IF($AP37="","",IF(IFERROR(_xlfn.IFS($BH37="Devis 1",IFERROR(VALUE(TRIM(SUBSTITUTE(AW37,CHAR(160),""))),0),$BH37="Devis 2",IFERROR(VALUE(TRIM(SUBSTITUTE(BB37,CHAR(160),""))),0),$BH37="Devis 3",IFERROR(VALUE(TRIM(SUBSTITUTE(BG37,CHAR(160),""))),0)),0)*IFERROR(VALUE(TRIM(SUBSTITUTE($AP37,CHAR(160),""))),0)=0,"",IFERROR(_xlfn.IFS($BH37="Devis 1",IFERROR(VALUE(TRIM(SUBSTITUTE(AW37,CHAR(160),""))),0),$BH37="Devis 2",IFERROR(VALUE(TRIM(SUBSTITUTE(BB37,CHAR(160),""))),0),$BH37="Devis 3",IFERROR(VALUE(TRIM(SUBSTITUTE(BG37,CHAR(160),""))),0)),0)*IFERROR(VALUE(TRIM(SUBSTITUTE($AP37,CHAR(160),""))),0)))</f>
        <v/>
      </c>
      <c r="BP37" s="194"/>
      <c r="BQ37" s="219" t="str" cm="1">
        <f t="array" ref="BQ37">IF(OR(BO37="",BL37="",BM37="",BJ37="",BN37="",BK37=""),"",_xlfn.IFS(
ROUND(IFERROR(VALUE(TRIM(SUBSTITUTE(BO37,CHAR(160),""))),0),2)&gt;
ROUND(IFERROR(VALUE(TRIM(SUBSTITUTE(BL37,CHAR(160),""))),0),2),
"KO : Le montant retenu TTC est supérieur au montant raisonnable TTC. Merci de revoir la ligne de dépense ou plafonner son montant.",
ROUND(IFERROR(VALUE(TRIM(SUBSTITUTE(BM37,CHAR(160),""))),0),2)&gt;
ROUND(IFERROR(VALUE(TRIM(SUBSTITUTE(BJ37,CHAR(160),""))),0),2),
"Attention : Le montant retenu HT est supérieur au montant HT raisonnable. Merci de revoir la ligne de dépense, plafonner son montant, ou justifier la reventillation HT / TVA.",
ROUND(IFERROR(VALUE(TRIM(SUBSTITUTE(BN37,CHAR(160),""))),0),2)&gt;
ROUND(IFERROR(VALUE(TRIM(SUBSTITUTE(BK37,CHAR(160),""))),0),2),
"Attention : Le montant TVA retenu est supérieur au montant TVA raisonnable. Merci de revoir la ligne de dépense, plafonner son montant, ou justifier la reventillation HT / TVA.",
ROUND(IFERROR(VALUE(TRIM(SUBSTITUTE(BO37,CHAR(160),""))),0),2)&gt;
ROUND(IFERROR(VALUE(TRIM(SUBSTITUTE(MIN(R37,W37,AB37),CHAR(160),""))),0),2),
"Attention : Le devis retenu n'est pas le moins cher. Une justification de la part du porteur est nécessaire.",
ROUND(IFERROR(VALUE(TRIM(SUBSTITUTE(BO37,CHAR(160),""))),0),2)=0,
"Attention : montant présenté entièrement écarté",
ROUND(IFERROR(VALUE(TRIM(SUBSTITUTE(BL37,CHAR(160),""))),0),2)=
ROUND(IFERROR(VALUE(TRIM(SUBSTITUTE(BO37,CHAR(160),""))),0),2),
"OK",
ROUND(IFERROR(VALUE(TRIM(SUBSTITUTE(BL37,CHAR(160),""))),0),2)&gt;
ROUND(IFERROR(VALUE(TRIM(SUBSTITUTE(BO37,CHAR(160),""))),0),2),
" OK : Montant instruit inférieur au montant raisonnable.",
TRUE,""
))</f>
        <v/>
      </c>
      <c r="BR37" s="216" t="str" cm="1">
        <f t="array" ref="BR37">IF(OR(BO37="",AF37="",BM37="",AD37="",BN37="",AE37=""),"",_xlfn.IFS(
ROUND(IFERROR(VALUE(TRIM(SUBSTITUTE(BO37,CHAR(160),""))),0),2)&gt;
ROUND(IFERROR(VALUE(TRIM(SUBSTITUTE(AF37,CHAR(160),""))),0),2),
"KO : Le montant retenu TTC est supérieur au montant présenté TTC. Merci de revoir la ligne de dépense ou plafonner son montant.",
ROUND(IFERROR(VALUE(TRIM(SUBSTITUTE(BM37,CHAR(160),""))),0),2)&gt;
ROUND(IFERROR(VALUE(TRIM(SUBSTITUTE(AD37,CHAR(160),""))),0),2),
"Attention : Le montant retenu HT est supérieur au montant HT présenté. Merci de revoir la ligne de dépense, plafonner son montant, ou justifier la reventillation HT / TVA.",
ROUND(IFERROR(VALUE(TRIM(SUBSTITUTE(BN37,CHAR(160),""))),0),2)&gt;
ROUND(IFERROR(VALUE(TRIM(SUBSTITUTE(AE37,CHAR(160),""))),0),2),
"Attention : Le montant TVA retenu est supérieur au montant TVA présenté. Merci de revoir la ligne de dépense, plafonner son montant, ou justifier la reventillation HT / TVA.",
ROUND(IFERROR(VALUE(TRIM(SUBSTITUTE(AF37,CHAR(160),""))),0),2)=0,
"",
ROUND(IFERROR(VALUE(TRIM(SUBSTITUTE(BO37,CHAR(160),""))),0),2)=
ROUND(IFERROR(VALUE(TRIM(SUBSTITUTE(AF37,CHAR(160),""))),0),2),
"OK",
ROUND(IFERROR(VALUE(TRIM(SUBSTITUTE(BO37,CHAR(160),""))),0),2)=0,
"Attention : Montant présenté entièrement rejeté.",
ROUND(IFERROR(VALUE(TRIM(SUBSTITUTE(BO37,CHAR(160),""))),0),2)&lt;
ROUND(IFERROR(VALUE(TRIM(SUBSTITUTE(AF37,CHAR(160),""))),0),2),
"Attention : Montant présenté partiellement rejeté.",
TRUE,""
))</f>
        <v/>
      </c>
      <c r="BS37" s="1202" t="str">
        <f t="shared" si="30"/>
        <v/>
      </c>
      <c r="BT37" s="1202" t="str">
        <f t="shared" si="31"/>
        <v/>
      </c>
      <c r="BU37" s="1216" t="str">
        <f t="shared" si="32"/>
        <v/>
      </c>
    </row>
    <row r="38" spans="2:73" ht="15.95" customHeight="1">
      <c r="B38" s="303">
        <v>29</v>
      </c>
      <c r="C38" s="11"/>
      <c r="D38" s="11"/>
      <c r="E38" s="22"/>
      <c r="F38" s="11"/>
      <c r="G38" s="11"/>
      <c r="H38" s="11"/>
      <c r="I38" s="22"/>
      <c r="J38" s="11"/>
      <c r="K38" s="2"/>
      <c r="L38" s="23"/>
      <c r="M38" s="11"/>
      <c r="N38" s="11"/>
      <c r="O38" s="11"/>
      <c r="P38" s="24"/>
      <c r="Q38" s="24"/>
      <c r="R38" s="300" t="str">
        <f t="shared" si="35"/>
        <v/>
      </c>
      <c r="S38" s="1205"/>
      <c r="T38" s="1205"/>
      <c r="U38" s="24"/>
      <c r="V38" s="24"/>
      <c r="W38" s="300" t="str">
        <f t="shared" si="33"/>
        <v/>
      </c>
      <c r="X38" s="1205"/>
      <c r="Y38" s="1205"/>
      <c r="Z38" s="24"/>
      <c r="AA38" s="24"/>
      <c r="AB38" s="300" t="str">
        <f t="shared" si="34"/>
        <v/>
      </c>
      <c r="AC38" s="11"/>
      <c r="AD38" s="1202" t="str" cm="1">
        <f t="array" ref="AD38">IF((_xlfn.IFS(TRIM(SUBSTITUTE(AC38,CHAR(160),""))="Devis 1",IFERROR(VALUE(TRIM(SUBSTITUTE(P38,CHAR(160),""))),0),TRIM(SUBSTITUTE(AC38,CHAR(160),""))="Devis 2",IFERROR(VALUE(TRIM(SUBSTITUTE(U38,CHAR(160),""))),0),TRIM(SUBSTITUTE(AC38,CHAR(160),""))="Devis 3",IFERROR(VALUE(TRIM(SUBSTITUTE(Z38,CHAR(160),""))),0),TRUE,0)*IFERROR(VALUE(TRIM(SUBSTITUTE(K38,CHAR(160),""))),0))=0,"",_xlfn.IFS(TRIM(SUBSTITUTE(AC38,CHAR(160),""))="Devis 1",IFERROR(VALUE(TRIM(SUBSTITUTE(P38,CHAR(160),""))),0),TRIM(SUBSTITUTE(AC38,CHAR(160),""))="Devis 2",IFERROR(VALUE(TRIM(SUBSTITUTE(U38,CHAR(160),""))),0),TRIM(SUBSTITUTE(AC38,CHAR(160),""))="Devis 3",IFERROR(VALUE(TRIM(SUBSTITUTE(Z38,CHAR(160),""))),0),TRUE,0)*IFERROR(VALUE(TRIM(SUBSTITUTE(K38,CHAR(160),""))),0))</f>
        <v/>
      </c>
      <c r="AE38" s="1202" t="str" cm="1">
        <f t="array" ref="AE38">IF((_xlfn.IFS(TRIM(SUBSTITUTE(AC38,CHAR(160),""))="Devis 1",IFERROR(VALUE(TRIM(SUBSTITUTE(Q38,CHAR(160),""))),0),TRIM(SUBSTITUTE(AC38,CHAR(160),""))="Devis 2",IFERROR(VALUE(TRIM(SUBSTITUTE(V38,CHAR(160),""))),0),TRIM(SUBSTITUTE(AC38,CHAR(160),""))="Devis 3",IFERROR(VALUE(TRIM(SUBSTITUTE(AA38,CHAR(160),""))),0),TRUE,0)*IFERROR(VALUE(TRIM(SUBSTITUTE(K38,CHAR(160),""))),0))=0,"",_xlfn.IFS(TRIM(SUBSTITUTE(AC38,CHAR(160),""))="Devis 1",IFERROR(VALUE(TRIM(SUBSTITUTE(Q38,CHAR(160),""))),0),TRIM(SUBSTITUTE(AD38,CHAR(160),""))="Devis 2",IFERROR(VALUE(TRIM(SUBSTITUTE(V38,CHAR(160),""))),0),TRIM(SUBSTITUTE(AD38,CHAR(160),""))="Devis 3",IFERROR(VALUE(TRIM(SUBSTITUTE(AA38,CHAR(160),""))),0),TRUE,0)*IFERROR(VALUE(TRIM(SUBSTITUTE(K38,CHAR(160),""))),0))</f>
        <v/>
      </c>
      <c r="AF38" s="1202" t="str" cm="1">
        <f t="array" ref="AF38">IF((_xlfn.IFS(TRIM(SUBSTITUTE(AC38,CHAR(160),""))="Devis 1",IFERROR(VALUE(TRIM(SUBSTITUTE(R38,CHAR(160),""))),0),TRIM(SUBSTITUTE(AC38,CHAR(160),""))="Devis 2",IFERROR(VALUE(TRIM(SUBSTITUTE(W38,CHAR(160),""))),0),TRIM(SUBSTITUTE(AC38,CHAR(160),""))="Devis 3",IFERROR(VALUE(TRIM(SUBSTITUTE(AB38,CHAR(160),""))),0),TRUE,0)*IFERROR(VALUE(TRIM(SUBSTITUTE(K38,CHAR(160),""))),0))=0,"",_xlfn.IFS(TRIM(SUBSTITUTE(AC38,CHAR(160),""))="Devis 1",IFERROR(VALUE(TRIM(SUBSTITUTE(R38,CHAR(160),""))),0),TRIM(SUBSTITUTE(AC38,CHAR(160),""))="Devis 2",IFERROR(VALUE(TRIM(SUBSTITUTE(W38,CHAR(160),""))),0),TRIM(SUBSTITUTE(AC38,CHAR(160),""))="Devis 3",IFERROR(VALUE(TRIM(SUBSTITUTE(AB38,CHAR(160),""))),0),TRUE,0)*IFERROR(VALUE(TRIM(SUBSTITUTE(K38,CHAR(160),""))),0))</f>
        <v/>
      </c>
      <c r="AG38" s="488"/>
      <c r="AH38" s="215" t="str">
        <f t="shared" si="0"/>
        <v/>
      </c>
      <c r="AI38" s="57" t="str">
        <f t="shared" si="1"/>
        <v/>
      </c>
      <c r="AJ38" s="57" t="str">
        <f t="shared" si="2"/>
        <v/>
      </c>
      <c r="AK38" s="57" t="str">
        <f t="shared" si="3"/>
        <v/>
      </c>
      <c r="AL38" s="57" t="str">
        <f t="shared" si="4"/>
        <v/>
      </c>
      <c r="AM38" s="57" t="str">
        <f t="shared" si="5"/>
        <v/>
      </c>
      <c r="AN38" s="57" t="str">
        <f t="shared" si="6"/>
        <v/>
      </c>
      <c r="AO38" s="57" t="str">
        <f t="shared" si="7"/>
        <v/>
      </c>
      <c r="AP38" s="57" t="str">
        <f t="shared" si="8"/>
        <v/>
      </c>
      <c r="AQ38" s="57" t="str">
        <f t="shared" si="9"/>
        <v/>
      </c>
      <c r="AR38" s="57" t="str">
        <f t="shared" si="10"/>
        <v/>
      </c>
      <c r="AS38" s="57" t="str">
        <f t="shared" si="11"/>
        <v/>
      </c>
      <c r="AT38" s="57" t="str">
        <f t="shared" si="12"/>
        <v/>
      </c>
      <c r="AU38" s="57" t="str">
        <f t="shared" si="13"/>
        <v/>
      </c>
      <c r="AV38" s="57" t="str">
        <f t="shared" si="14"/>
        <v/>
      </c>
      <c r="AW38" s="300" t="str">
        <f t="shared" si="15"/>
        <v/>
      </c>
      <c r="AX38" s="57" t="str">
        <f t="shared" si="16"/>
        <v/>
      </c>
      <c r="AY38" s="57" t="str">
        <f t="shared" si="17"/>
        <v/>
      </c>
      <c r="AZ38" s="57" t="str">
        <f t="shared" si="18"/>
        <v/>
      </c>
      <c r="BA38" s="57" t="str">
        <f t="shared" si="19"/>
        <v/>
      </c>
      <c r="BB38" s="300" t="str">
        <f t="shared" si="20"/>
        <v/>
      </c>
      <c r="BC38" s="57" t="str">
        <f t="shared" si="21"/>
        <v/>
      </c>
      <c r="BD38" s="57" t="str">
        <f t="shared" si="22"/>
        <v/>
      </c>
      <c r="BE38" s="57" t="str">
        <f t="shared" si="23"/>
        <v/>
      </c>
      <c r="BF38" s="57" t="str">
        <f t="shared" si="24"/>
        <v/>
      </c>
      <c r="BG38" s="300" t="str">
        <f t="shared" si="25"/>
        <v/>
      </c>
      <c r="BH38" s="1203" t="str">
        <f t="shared" si="26"/>
        <v/>
      </c>
      <c r="BI38" s="260"/>
      <c r="BJ38" s="300" t="str">
        <f t="shared" si="27"/>
        <v/>
      </c>
      <c r="BK38" s="300" t="str">
        <f t="shared" si="28"/>
        <v/>
      </c>
      <c r="BL38" s="300" t="str">
        <f t="shared" si="29"/>
        <v/>
      </c>
      <c r="BM38" s="1202" t="str" cm="1">
        <f t="array" ref="BM38">IF($AP38="","",IF((IFERROR(_xlfn.IFS($BH38="Devis 1",(IFERROR(VALUE(TRIM(SUBSTITUTE(AU38,CHAR(160),""))),0)),$BH38="Devis 2",(IFERROR(VALUE(TRIM(SUBSTITUTE(AZ38,CHAR(160),""))),0)),$BH38="Devis 3",(IFERROR(VALUE(TRIM(SUBSTITUTE(BE38,CHAR(160),""))),0))),0))*(IFERROR(VALUE(TRIM(SUBSTITUTE($AP38,CHAR(160),""))),0))=0,"",(IFERROR(_xlfn.IFS($BH38="Devis 1",(IFERROR(VALUE(TRIM(SUBSTITUTE(AU38,CHAR(160),""))),0)),$BH38="Devis 2",(IFERROR(VALUE(TRIM(SUBSTITUTE(AZ38,CHAR(160),""))),0)),$BH38="Devis 3",(IFERROR(VALUE(TRIM(SUBSTITUTE(BE38,CHAR(160),""))),0))),0))*(IFERROR(VALUE(TRIM(SUBSTITUTE($AP38,CHAR(160),""))),0))))</f>
        <v/>
      </c>
      <c r="BN38" s="1202" t="str" cm="1">
        <f t="array" ref="BN38">IF($AP38="","",IF((IFERROR(_xlfn.IFS(TRIM(SUBSTITUTE($BH38,CHAR(160),""))="Devis 1", IFERROR(VALUE(TRIM(SUBSTITUTE(AV38,CHAR(160),""))),0),TRIM(SUBSTITUTE($BH38,CHAR(160),""))="Devis 2", IFERROR(VALUE(TRIM(SUBSTITUTE(BA38,CHAR(160),""))),0),TRIM(SUBSTITUTE($BH38,CHAR(160),""))="Devis 3", IFERROR(VALUE(TRIM(SUBSTITUTE(BF38,CHAR(160),""))),0)),0) * IFERROR(VALUE(TRIM(SUBSTITUTE($AP38,CHAR(160),""))),0)) = 0,IF(BM38&lt;&gt;"",0,""),(IFERROR(_xlfn.IFS(TRIM(SUBSTITUTE($BH38,CHAR(160),""))="Devis 1", IFERROR(VALUE(TRIM(SUBSTITUTE(AV38,CHAR(160),""))),0),TRIM(SUBSTITUTE($BH38,CHAR(160),""))="Devis 2", IFERROR(VALUE(TRIM(SUBSTITUTE(BA38,CHAR(160),""))),0),TRIM(SUBSTITUTE($BH38,CHAR(160),""))="Devis 3", IFERROR(VALUE(TRIM(SUBSTITUTE(BF38,CHAR(160),""))),0)),0) * IFERROR(VALUE(TRIM(SUBSTITUTE($AP38,CHAR(160),""))),0))))</f>
        <v/>
      </c>
      <c r="BO38" s="1202" t="str" cm="1">
        <f t="array" ref="BO38">IF($AP38="","",IF(IFERROR(_xlfn.IFS($BH38="Devis 1",IFERROR(VALUE(TRIM(SUBSTITUTE(AW38,CHAR(160),""))),0),$BH38="Devis 2",IFERROR(VALUE(TRIM(SUBSTITUTE(BB38,CHAR(160),""))),0),$BH38="Devis 3",IFERROR(VALUE(TRIM(SUBSTITUTE(BG38,CHAR(160),""))),0)),0)*IFERROR(VALUE(TRIM(SUBSTITUTE($AP38,CHAR(160),""))),0)=0,"",IFERROR(_xlfn.IFS($BH38="Devis 1",IFERROR(VALUE(TRIM(SUBSTITUTE(AW38,CHAR(160),""))),0),$BH38="Devis 2",IFERROR(VALUE(TRIM(SUBSTITUTE(BB38,CHAR(160),""))),0),$BH38="Devis 3",IFERROR(VALUE(TRIM(SUBSTITUTE(BG38,CHAR(160),""))),0)),0)*IFERROR(VALUE(TRIM(SUBSTITUTE($AP38,CHAR(160),""))),0)))</f>
        <v/>
      </c>
      <c r="BP38" s="194"/>
      <c r="BQ38" s="219" t="str" cm="1">
        <f t="array" ref="BQ38">IF(OR(BO38="",BL38="",BM38="",BJ38="",BN38="",BK38=""),"",_xlfn.IFS(
ROUND(IFERROR(VALUE(TRIM(SUBSTITUTE(BO38,CHAR(160),""))),0),2)&gt;
ROUND(IFERROR(VALUE(TRIM(SUBSTITUTE(BL38,CHAR(160),""))),0),2),
"KO : Le montant retenu TTC est supérieur au montant raisonnable TTC. Merci de revoir la ligne de dépense ou plafonner son montant.",
ROUND(IFERROR(VALUE(TRIM(SUBSTITUTE(BM38,CHAR(160),""))),0),2)&gt;
ROUND(IFERROR(VALUE(TRIM(SUBSTITUTE(BJ38,CHAR(160),""))),0),2),
"Attention : Le montant retenu HT est supérieur au montant HT raisonnable. Merci de revoir la ligne de dépense, plafonner son montant, ou justifier la reventillation HT / TVA.",
ROUND(IFERROR(VALUE(TRIM(SUBSTITUTE(BN38,CHAR(160),""))),0),2)&gt;
ROUND(IFERROR(VALUE(TRIM(SUBSTITUTE(BK38,CHAR(160),""))),0),2),
"Attention : Le montant TVA retenu est supérieur au montant TVA raisonnable. Merci de revoir la ligne de dépense, plafonner son montant, ou justifier la reventillation HT / TVA.",
ROUND(IFERROR(VALUE(TRIM(SUBSTITUTE(BO38,CHAR(160),""))),0),2)&gt;
ROUND(IFERROR(VALUE(TRIM(SUBSTITUTE(MIN(R38,W38,AB38),CHAR(160),""))),0),2),
"Attention : Le devis retenu n'est pas le moins cher. Une justification de la part du porteur est nécessaire.",
ROUND(IFERROR(VALUE(TRIM(SUBSTITUTE(BO38,CHAR(160),""))),0),2)=0,
"Attention : montant présenté entièrement écarté",
ROUND(IFERROR(VALUE(TRIM(SUBSTITUTE(BL38,CHAR(160),""))),0),2)=
ROUND(IFERROR(VALUE(TRIM(SUBSTITUTE(BO38,CHAR(160),""))),0),2),
"OK",
ROUND(IFERROR(VALUE(TRIM(SUBSTITUTE(BL38,CHAR(160),""))),0),2)&gt;
ROUND(IFERROR(VALUE(TRIM(SUBSTITUTE(BO38,CHAR(160),""))),0),2),
" OK : Montant instruit inférieur au montant raisonnable.",
TRUE,""
))</f>
        <v/>
      </c>
      <c r="BR38" s="216" t="str" cm="1">
        <f t="array" ref="BR38">IF(OR(BO38="",AF38="",BM38="",AD38="",BN38="",AE38=""),"",_xlfn.IFS(
ROUND(IFERROR(VALUE(TRIM(SUBSTITUTE(BO38,CHAR(160),""))),0),2)&gt;
ROUND(IFERROR(VALUE(TRIM(SUBSTITUTE(AF38,CHAR(160),""))),0),2),
"KO : Le montant retenu TTC est supérieur au montant présenté TTC. Merci de revoir la ligne de dépense ou plafonner son montant.",
ROUND(IFERROR(VALUE(TRIM(SUBSTITUTE(BM38,CHAR(160),""))),0),2)&gt;
ROUND(IFERROR(VALUE(TRIM(SUBSTITUTE(AD38,CHAR(160),""))),0),2),
"Attention : Le montant retenu HT est supérieur au montant HT présenté. Merci de revoir la ligne de dépense, plafonner son montant, ou justifier la reventillation HT / TVA.",
ROUND(IFERROR(VALUE(TRIM(SUBSTITUTE(BN38,CHAR(160),""))),0),2)&gt;
ROUND(IFERROR(VALUE(TRIM(SUBSTITUTE(AE38,CHAR(160),""))),0),2),
"Attention : Le montant TVA retenu est supérieur au montant TVA présenté. Merci de revoir la ligne de dépense, plafonner son montant, ou justifier la reventillation HT / TVA.",
ROUND(IFERROR(VALUE(TRIM(SUBSTITUTE(AF38,CHAR(160),""))),0),2)=0,
"",
ROUND(IFERROR(VALUE(TRIM(SUBSTITUTE(BO38,CHAR(160),""))),0),2)=
ROUND(IFERROR(VALUE(TRIM(SUBSTITUTE(AF38,CHAR(160),""))),0),2),
"OK",
ROUND(IFERROR(VALUE(TRIM(SUBSTITUTE(BO38,CHAR(160),""))),0),2)=0,
"Attention : Montant présenté entièrement rejeté.",
ROUND(IFERROR(VALUE(TRIM(SUBSTITUTE(BO38,CHAR(160),""))),0),2)&lt;
ROUND(IFERROR(VALUE(TRIM(SUBSTITUTE(AF38,CHAR(160),""))),0),2),
"Attention : Montant présenté partiellement rejeté.",
TRUE,""
))</f>
        <v/>
      </c>
      <c r="BS38" s="1202" t="str">
        <f t="shared" si="30"/>
        <v/>
      </c>
      <c r="BT38" s="1202" t="str">
        <f t="shared" si="31"/>
        <v/>
      </c>
      <c r="BU38" s="1216" t="str">
        <f t="shared" si="32"/>
        <v/>
      </c>
    </row>
    <row r="39" spans="2:73" ht="15.95" customHeight="1">
      <c r="B39" s="303">
        <v>30</v>
      </c>
      <c r="C39" s="11"/>
      <c r="D39" s="11"/>
      <c r="E39" s="22"/>
      <c r="F39" s="11"/>
      <c r="G39" s="11"/>
      <c r="H39" s="11"/>
      <c r="I39" s="22"/>
      <c r="J39" s="11"/>
      <c r="K39" s="2"/>
      <c r="L39" s="23"/>
      <c r="M39" s="11"/>
      <c r="N39" s="11"/>
      <c r="O39" s="11"/>
      <c r="P39" s="24"/>
      <c r="Q39" s="24"/>
      <c r="R39" s="300" t="str">
        <f t="shared" si="35"/>
        <v/>
      </c>
      <c r="S39" s="1205"/>
      <c r="T39" s="1205"/>
      <c r="U39" s="24"/>
      <c r="V39" s="24"/>
      <c r="W39" s="300" t="str">
        <f t="shared" si="33"/>
        <v/>
      </c>
      <c r="X39" s="1205"/>
      <c r="Y39" s="1205"/>
      <c r="Z39" s="24"/>
      <c r="AA39" s="24"/>
      <c r="AB39" s="300" t="str">
        <f t="shared" si="34"/>
        <v/>
      </c>
      <c r="AC39" s="11"/>
      <c r="AD39" s="1202" t="str" cm="1">
        <f t="array" ref="AD39">IF((_xlfn.IFS(TRIM(SUBSTITUTE(AC39,CHAR(160),""))="Devis 1",IFERROR(VALUE(TRIM(SUBSTITUTE(P39,CHAR(160),""))),0),TRIM(SUBSTITUTE(AC39,CHAR(160),""))="Devis 2",IFERROR(VALUE(TRIM(SUBSTITUTE(U39,CHAR(160),""))),0),TRIM(SUBSTITUTE(AC39,CHAR(160),""))="Devis 3",IFERROR(VALUE(TRIM(SUBSTITUTE(Z39,CHAR(160),""))),0),TRUE,0)*IFERROR(VALUE(TRIM(SUBSTITUTE(K39,CHAR(160),""))),0))=0,"",_xlfn.IFS(TRIM(SUBSTITUTE(AC39,CHAR(160),""))="Devis 1",IFERROR(VALUE(TRIM(SUBSTITUTE(P39,CHAR(160),""))),0),TRIM(SUBSTITUTE(AC39,CHAR(160),""))="Devis 2",IFERROR(VALUE(TRIM(SUBSTITUTE(U39,CHAR(160),""))),0),TRIM(SUBSTITUTE(AC39,CHAR(160),""))="Devis 3",IFERROR(VALUE(TRIM(SUBSTITUTE(Z39,CHAR(160),""))),0),TRUE,0)*IFERROR(VALUE(TRIM(SUBSTITUTE(K39,CHAR(160),""))),0))</f>
        <v/>
      </c>
      <c r="AE39" s="1202" t="str" cm="1">
        <f t="array" ref="AE39">IF((_xlfn.IFS(TRIM(SUBSTITUTE(AC39,CHAR(160),""))="Devis 1",IFERROR(VALUE(TRIM(SUBSTITUTE(Q39,CHAR(160),""))),0),TRIM(SUBSTITUTE(AC39,CHAR(160),""))="Devis 2",IFERROR(VALUE(TRIM(SUBSTITUTE(V39,CHAR(160),""))),0),TRIM(SUBSTITUTE(AC39,CHAR(160),""))="Devis 3",IFERROR(VALUE(TRIM(SUBSTITUTE(AA39,CHAR(160),""))),0),TRUE,0)*IFERROR(VALUE(TRIM(SUBSTITUTE(K39,CHAR(160),""))),0))=0,"",_xlfn.IFS(TRIM(SUBSTITUTE(AC39,CHAR(160),""))="Devis 1",IFERROR(VALUE(TRIM(SUBSTITUTE(Q39,CHAR(160),""))),0),TRIM(SUBSTITUTE(AD39,CHAR(160),""))="Devis 2",IFERROR(VALUE(TRIM(SUBSTITUTE(V39,CHAR(160),""))),0),TRIM(SUBSTITUTE(AD39,CHAR(160),""))="Devis 3",IFERROR(VALUE(TRIM(SUBSTITUTE(AA39,CHAR(160),""))),0),TRUE,0)*IFERROR(VALUE(TRIM(SUBSTITUTE(K39,CHAR(160),""))),0))</f>
        <v/>
      </c>
      <c r="AF39" s="1202" t="str" cm="1">
        <f t="array" ref="AF39">IF((_xlfn.IFS(TRIM(SUBSTITUTE(AC39,CHAR(160),""))="Devis 1",IFERROR(VALUE(TRIM(SUBSTITUTE(R39,CHAR(160),""))),0),TRIM(SUBSTITUTE(AC39,CHAR(160),""))="Devis 2",IFERROR(VALUE(TRIM(SUBSTITUTE(W39,CHAR(160),""))),0),TRIM(SUBSTITUTE(AC39,CHAR(160),""))="Devis 3",IFERROR(VALUE(TRIM(SUBSTITUTE(AB39,CHAR(160),""))),0),TRUE,0)*IFERROR(VALUE(TRIM(SUBSTITUTE(K39,CHAR(160),""))),0))=0,"",_xlfn.IFS(TRIM(SUBSTITUTE(AC39,CHAR(160),""))="Devis 1",IFERROR(VALUE(TRIM(SUBSTITUTE(R39,CHAR(160),""))),0),TRIM(SUBSTITUTE(AC39,CHAR(160),""))="Devis 2",IFERROR(VALUE(TRIM(SUBSTITUTE(W39,CHAR(160),""))),0),TRIM(SUBSTITUTE(AC39,CHAR(160),""))="Devis 3",IFERROR(VALUE(TRIM(SUBSTITUTE(AB39,CHAR(160),""))),0),TRUE,0)*IFERROR(VALUE(TRIM(SUBSTITUTE(K39,CHAR(160),""))),0))</f>
        <v/>
      </c>
      <c r="AG39" s="488"/>
      <c r="AH39" s="215" t="str">
        <f t="shared" si="0"/>
        <v/>
      </c>
      <c r="AI39" s="57" t="str">
        <f t="shared" si="1"/>
        <v/>
      </c>
      <c r="AJ39" s="57" t="str">
        <f t="shared" si="2"/>
        <v/>
      </c>
      <c r="AK39" s="57" t="str">
        <f t="shared" si="3"/>
        <v/>
      </c>
      <c r="AL39" s="57" t="str">
        <f t="shared" si="4"/>
        <v/>
      </c>
      <c r="AM39" s="57" t="str">
        <f t="shared" si="5"/>
        <v/>
      </c>
      <c r="AN39" s="57" t="str">
        <f t="shared" si="6"/>
        <v/>
      </c>
      <c r="AO39" s="57" t="str">
        <f t="shared" si="7"/>
        <v/>
      </c>
      <c r="AP39" s="57" t="str">
        <f t="shared" si="8"/>
        <v/>
      </c>
      <c r="AQ39" s="57" t="str">
        <f t="shared" si="9"/>
        <v/>
      </c>
      <c r="AR39" s="57" t="str">
        <f t="shared" si="10"/>
        <v/>
      </c>
      <c r="AS39" s="57" t="str">
        <f t="shared" si="11"/>
        <v/>
      </c>
      <c r="AT39" s="57" t="str">
        <f t="shared" si="12"/>
        <v/>
      </c>
      <c r="AU39" s="57" t="str">
        <f t="shared" si="13"/>
        <v/>
      </c>
      <c r="AV39" s="57" t="str">
        <f t="shared" si="14"/>
        <v/>
      </c>
      <c r="AW39" s="300" t="str">
        <f t="shared" si="15"/>
        <v/>
      </c>
      <c r="AX39" s="57" t="str">
        <f t="shared" si="16"/>
        <v/>
      </c>
      <c r="AY39" s="57" t="str">
        <f t="shared" si="17"/>
        <v/>
      </c>
      <c r="AZ39" s="57" t="str">
        <f t="shared" si="18"/>
        <v/>
      </c>
      <c r="BA39" s="57" t="str">
        <f t="shared" si="19"/>
        <v/>
      </c>
      <c r="BB39" s="300" t="str">
        <f t="shared" si="20"/>
        <v/>
      </c>
      <c r="BC39" s="57" t="str">
        <f t="shared" si="21"/>
        <v/>
      </c>
      <c r="BD39" s="57" t="str">
        <f t="shared" si="22"/>
        <v/>
      </c>
      <c r="BE39" s="57" t="str">
        <f t="shared" si="23"/>
        <v/>
      </c>
      <c r="BF39" s="57" t="str">
        <f t="shared" si="24"/>
        <v/>
      </c>
      <c r="BG39" s="300" t="str">
        <f t="shared" si="25"/>
        <v/>
      </c>
      <c r="BH39" s="1203" t="str">
        <f t="shared" si="26"/>
        <v/>
      </c>
      <c r="BI39" s="260"/>
      <c r="BJ39" s="300" t="str">
        <f t="shared" si="27"/>
        <v/>
      </c>
      <c r="BK39" s="300" t="str">
        <f t="shared" si="28"/>
        <v/>
      </c>
      <c r="BL39" s="300" t="str">
        <f t="shared" si="29"/>
        <v/>
      </c>
      <c r="BM39" s="1202" t="str" cm="1">
        <f t="array" ref="BM39">IF($AP39="","",IF((IFERROR(_xlfn.IFS($BH39="Devis 1",(IFERROR(VALUE(TRIM(SUBSTITUTE(AU39,CHAR(160),""))),0)),$BH39="Devis 2",(IFERROR(VALUE(TRIM(SUBSTITUTE(AZ39,CHAR(160),""))),0)),$BH39="Devis 3",(IFERROR(VALUE(TRIM(SUBSTITUTE(BE39,CHAR(160),""))),0))),0))*(IFERROR(VALUE(TRIM(SUBSTITUTE($AP39,CHAR(160),""))),0))=0,"",(IFERROR(_xlfn.IFS($BH39="Devis 1",(IFERROR(VALUE(TRIM(SUBSTITUTE(AU39,CHAR(160),""))),0)),$BH39="Devis 2",(IFERROR(VALUE(TRIM(SUBSTITUTE(AZ39,CHAR(160),""))),0)),$BH39="Devis 3",(IFERROR(VALUE(TRIM(SUBSTITUTE(BE39,CHAR(160),""))),0))),0))*(IFERROR(VALUE(TRIM(SUBSTITUTE($AP39,CHAR(160),""))),0))))</f>
        <v/>
      </c>
      <c r="BN39" s="1202" t="str" cm="1">
        <f t="array" ref="BN39">IF($AP39="","",IF((IFERROR(_xlfn.IFS(TRIM(SUBSTITUTE($BH39,CHAR(160),""))="Devis 1", IFERROR(VALUE(TRIM(SUBSTITUTE(AV39,CHAR(160),""))),0),TRIM(SUBSTITUTE($BH39,CHAR(160),""))="Devis 2", IFERROR(VALUE(TRIM(SUBSTITUTE(BA39,CHAR(160),""))),0),TRIM(SUBSTITUTE($BH39,CHAR(160),""))="Devis 3", IFERROR(VALUE(TRIM(SUBSTITUTE(BF39,CHAR(160),""))),0)),0) * IFERROR(VALUE(TRIM(SUBSTITUTE($AP39,CHAR(160),""))),0)) = 0,IF(BM39&lt;&gt;"",0,""),(IFERROR(_xlfn.IFS(TRIM(SUBSTITUTE($BH39,CHAR(160),""))="Devis 1", IFERROR(VALUE(TRIM(SUBSTITUTE(AV39,CHAR(160),""))),0),TRIM(SUBSTITUTE($BH39,CHAR(160),""))="Devis 2", IFERROR(VALUE(TRIM(SUBSTITUTE(BA39,CHAR(160),""))),0),TRIM(SUBSTITUTE($BH39,CHAR(160),""))="Devis 3", IFERROR(VALUE(TRIM(SUBSTITUTE(BF39,CHAR(160),""))),0)),0) * IFERROR(VALUE(TRIM(SUBSTITUTE($AP39,CHAR(160),""))),0))))</f>
        <v/>
      </c>
      <c r="BO39" s="1202" t="str" cm="1">
        <f t="array" ref="BO39">IF($AP39="","",IF(IFERROR(_xlfn.IFS($BH39="Devis 1",IFERROR(VALUE(TRIM(SUBSTITUTE(AW39,CHAR(160),""))),0),$BH39="Devis 2",IFERROR(VALUE(TRIM(SUBSTITUTE(BB39,CHAR(160),""))),0),$BH39="Devis 3",IFERROR(VALUE(TRIM(SUBSTITUTE(BG39,CHAR(160),""))),0)),0)*IFERROR(VALUE(TRIM(SUBSTITUTE($AP39,CHAR(160),""))),0)=0,"",IFERROR(_xlfn.IFS($BH39="Devis 1",IFERROR(VALUE(TRIM(SUBSTITUTE(AW39,CHAR(160),""))),0),$BH39="Devis 2",IFERROR(VALUE(TRIM(SUBSTITUTE(BB39,CHAR(160),""))),0),$BH39="Devis 3",IFERROR(VALUE(TRIM(SUBSTITUTE(BG39,CHAR(160),""))),0)),0)*IFERROR(VALUE(TRIM(SUBSTITUTE($AP39,CHAR(160),""))),0)))</f>
        <v/>
      </c>
      <c r="BP39" s="194"/>
      <c r="BQ39" s="219" t="str" cm="1">
        <f t="array" ref="BQ39">IF(OR(BO39="",BL39="",BM39="",BJ39="",BN39="",BK39=""),"",_xlfn.IFS(
ROUND(IFERROR(VALUE(TRIM(SUBSTITUTE(BO39,CHAR(160),""))),0),2)&gt;
ROUND(IFERROR(VALUE(TRIM(SUBSTITUTE(BL39,CHAR(160),""))),0),2),
"KO : Le montant retenu TTC est supérieur au montant raisonnable TTC. Merci de revoir la ligne de dépense ou plafonner son montant.",
ROUND(IFERROR(VALUE(TRIM(SUBSTITUTE(BM39,CHAR(160),""))),0),2)&gt;
ROUND(IFERROR(VALUE(TRIM(SUBSTITUTE(BJ39,CHAR(160),""))),0),2),
"Attention : Le montant retenu HT est supérieur au montant HT raisonnable. Merci de revoir la ligne de dépense, plafonner son montant, ou justifier la reventillation HT / TVA.",
ROUND(IFERROR(VALUE(TRIM(SUBSTITUTE(BN39,CHAR(160),""))),0),2)&gt;
ROUND(IFERROR(VALUE(TRIM(SUBSTITUTE(BK39,CHAR(160),""))),0),2),
"Attention : Le montant TVA retenu est supérieur au montant TVA raisonnable. Merci de revoir la ligne de dépense, plafonner son montant, ou justifier la reventillation HT / TVA.",
ROUND(IFERROR(VALUE(TRIM(SUBSTITUTE(BO39,CHAR(160),""))),0),2)&gt;
ROUND(IFERROR(VALUE(TRIM(SUBSTITUTE(MIN(R39,W39,AB39),CHAR(160),""))),0),2),
"Attention : Le devis retenu n'est pas le moins cher. Une justification de la part du porteur est nécessaire.",
ROUND(IFERROR(VALUE(TRIM(SUBSTITUTE(BO39,CHAR(160),""))),0),2)=0,
"Attention : montant présenté entièrement écarté",
ROUND(IFERROR(VALUE(TRIM(SUBSTITUTE(BL39,CHAR(160),""))),0),2)=
ROUND(IFERROR(VALUE(TRIM(SUBSTITUTE(BO39,CHAR(160),""))),0),2),
"OK",
ROUND(IFERROR(VALUE(TRIM(SUBSTITUTE(BL39,CHAR(160),""))),0),2)&gt;
ROUND(IFERROR(VALUE(TRIM(SUBSTITUTE(BO39,CHAR(160),""))),0),2),
" OK : Montant instruit inférieur au montant raisonnable.",
TRUE,""
))</f>
        <v/>
      </c>
      <c r="BR39" s="216" t="str" cm="1">
        <f t="array" ref="BR39">IF(OR(BO39="",AF39="",BM39="",AD39="",BN39="",AE39=""),"",_xlfn.IFS(
ROUND(IFERROR(VALUE(TRIM(SUBSTITUTE(BO39,CHAR(160),""))),0),2)&gt;
ROUND(IFERROR(VALUE(TRIM(SUBSTITUTE(AF39,CHAR(160),""))),0),2),
"KO : Le montant retenu TTC est supérieur au montant présenté TTC. Merci de revoir la ligne de dépense ou plafonner son montant.",
ROUND(IFERROR(VALUE(TRIM(SUBSTITUTE(BM39,CHAR(160),""))),0),2)&gt;
ROUND(IFERROR(VALUE(TRIM(SUBSTITUTE(AD39,CHAR(160),""))),0),2),
"Attention : Le montant retenu HT est supérieur au montant HT présenté. Merci de revoir la ligne de dépense, plafonner son montant, ou justifier la reventillation HT / TVA.",
ROUND(IFERROR(VALUE(TRIM(SUBSTITUTE(BN39,CHAR(160),""))),0),2)&gt;
ROUND(IFERROR(VALUE(TRIM(SUBSTITUTE(AE39,CHAR(160),""))),0),2),
"Attention : Le montant TVA retenu est supérieur au montant TVA présenté. Merci de revoir la ligne de dépense, plafonner son montant, ou justifier la reventillation HT / TVA.",
ROUND(IFERROR(VALUE(TRIM(SUBSTITUTE(AF39,CHAR(160),""))),0),2)=0,
"",
ROUND(IFERROR(VALUE(TRIM(SUBSTITUTE(BO39,CHAR(160),""))),0),2)=
ROUND(IFERROR(VALUE(TRIM(SUBSTITUTE(AF39,CHAR(160),""))),0),2),
"OK",
ROUND(IFERROR(VALUE(TRIM(SUBSTITUTE(BO39,CHAR(160),""))),0),2)=0,
"Attention : Montant présenté entièrement rejeté.",
ROUND(IFERROR(VALUE(TRIM(SUBSTITUTE(BO39,CHAR(160),""))),0),2)&lt;
ROUND(IFERROR(VALUE(TRIM(SUBSTITUTE(AF39,CHAR(160),""))),0),2),
"Attention : Montant présenté partiellement rejeté.",
TRUE,""
))</f>
        <v/>
      </c>
      <c r="BS39" s="1202" t="str">
        <f t="shared" si="30"/>
        <v/>
      </c>
      <c r="BT39" s="1202" t="str">
        <f t="shared" si="31"/>
        <v/>
      </c>
      <c r="BU39" s="1216" t="str">
        <f t="shared" si="32"/>
        <v/>
      </c>
    </row>
    <row r="40" spans="2:73" ht="15.95" customHeight="1">
      <c r="B40" s="303">
        <v>31</v>
      </c>
      <c r="C40" s="11"/>
      <c r="D40" s="11"/>
      <c r="E40" s="22"/>
      <c r="F40" s="11"/>
      <c r="G40" s="11"/>
      <c r="H40" s="11"/>
      <c r="I40" s="22"/>
      <c r="J40" s="11"/>
      <c r="K40" s="2"/>
      <c r="L40" s="23"/>
      <c r="M40" s="11"/>
      <c r="N40" s="11"/>
      <c r="O40" s="11"/>
      <c r="P40" s="24"/>
      <c r="Q40" s="24"/>
      <c r="R40" s="300" t="str">
        <f t="shared" si="35"/>
        <v/>
      </c>
      <c r="S40" s="1205"/>
      <c r="T40" s="1205"/>
      <c r="U40" s="24"/>
      <c r="V40" s="24"/>
      <c r="W40" s="300" t="str">
        <f t="shared" si="33"/>
        <v/>
      </c>
      <c r="X40" s="1205"/>
      <c r="Y40" s="1205"/>
      <c r="Z40" s="24"/>
      <c r="AA40" s="24"/>
      <c r="AB40" s="300" t="str">
        <f t="shared" si="34"/>
        <v/>
      </c>
      <c r="AC40" s="11"/>
      <c r="AD40" s="1202" t="str" cm="1">
        <f t="array" ref="AD40">IF((_xlfn.IFS(TRIM(SUBSTITUTE(AC40,CHAR(160),""))="Devis 1",IFERROR(VALUE(TRIM(SUBSTITUTE(P40,CHAR(160),""))),0),TRIM(SUBSTITUTE(AC40,CHAR(160),""))="Devis 2",IFERROR(VALUE(TRIM(SUBSTITUTE(U40,CHAR(160),""))),0),TRIM(SUBSTITUTE(AC40,CHAR(160),""))="Devis 3",IFERROR(VALUE(TRIM(SUBSTITUTE(Z40,CHAR(160),""))),0),TRUE,0)*IFERROR(VALUE(TRIM(SUBSTITUTE(K40,CHAR(160),""))),0))=0,"",_xlfn.IFS(TRIM(SUBSTITUTE(AC40,CHAR(160),""))="Devis 1",IFERROR(VALUE(TRIM(SUBSTITUTE(P40,CHAR(160),""))),0),TRIM(SUBSTITUTE(AC40,CHAR(160),""))="Devis 2",IFERROR(VALUE(TRIM(SUBSTITUTE(U40,CHAR(160),""))),0),TRIM(SUBSTITUTE(AC40,CHAR(160),""))="Devis 3",IFERROR(VALUE(TRIM(SUBSTITUTE(Z40,CHAR(160),""))),0),TRUE,0)*IFERROR(VALUE(TRIM(SUBSTITUTE(K40,CHAR(160),""))),0))</f>
        <v/>
      </c>
      <c r="AE40" s="1202" t="str" cm="1">
        <f t="array" ref="AE40">IF((_xlfn.IFS(TRIM(SUBSTITUTE(AC40,CHAR(160),""))="Devis 1",IFERROR(VALUE(TRIM(SUBSTITUTE(Q40,CHAR(160),""))),0),TRIM(SUBSTITUTE(AC40,CHAR(160),""))="Devis 2",IFERROR(VALUE(TRIM(SUBSTITUTE(V40,CHAR(160),""))),0),TRIM(SUBSTITUTE(AC40,CHAR(160),""))="Devis 3",IFERROR(VALUE(TRIM(SUBSTITUTE(AA40,CHAR(160),""))),0),TRUE,0)*IFERROR(VALUE(TRIM(SUBSTITUTE(K40,CHAR(160),""))),0))=0,"",_xlfn.IFS(TRIM(SUBSTITUTE(AC40,CHAR(160),""))="Devis 1",IFERROR(VALUE(TRIM(SUBSTITUTE(Q40,CHAR(160),""))),0),TRIM(SUBSTITUTE(AD40,CHAR(160),""))="Devis 2",IFERROR(VALUE(TRIM(SUBSTITUTE(V40,CHAR(160),""))),0),TRIM(SUBSTITUTE(AD40,CHAR(160),""))="Devis 3",IFERROR(VALUE(TRIM(SUBSTITUTE(AA40,CHAR(160),""))),0),TRUE,0)*IFERROR(VALUE(TRIM(SUBSTITUTE(K40,CHAR(160),""))),0))</f>
        <v/>
      </c>
      <c r="AF40" s="1202" t="str" cm="1">
        <f t="array" ref="AF40">IF((_xlfn.IFS(TRIM(SUBSTITUTE(AC40,CHAR(160),""))="Devis 1",IFERROR(VALUE(TRIM(SUBSTITUTE(R40,CHAR(160),""))),0),TRIM(SUBSTITUTE(AC40,CHAR(160),""))="Devis 2",IFERROR(VALUE(TRIM(SUBSTITUTE(W40,CHAR(160),""))),0),TRIM(SUBSTITUTE(AC40,CHAR(160),""))="Devis 3",IFERROR(VALUE(TRIM(SUBSTITUTE(AB40,CHAR(160),""))),0),TRUE,0)*IFERROR(VALUE(TRIM(SUBSTITUTE(K40,CHAR(160),""))),0))=0,"",_xlfn.IFS(TRIM(SUBSTITUTE(AC40,CHAR(160),""))="Devis 1",IFERROR(VALUE(TRIM(SUBSTITUTE(R40,CHAR(160),""))),0),TRIM(SUBSTITUTE(AC40,CHAR(160),""))="Devis 2",IFERROR(VALUE(TRIM(SUBSTITUTE(W40,CHAR(160),""))),0),TRIM(SUBSTITUTE(AC40,CHAR(160),""))="Devis 3",IFERROR(VALUE(TRIM(SUBSTITUTE(AB40,CHAR(160),""))),0),TRUE,0)*IFERROR(VALUE(TRIM(SUBSTITUTE(K40,CHAR(160),""))),0))</f>
        <v/>
      </c>
      <c r="AG40" s="488"/>
      <c r="AH40" s="215" t="str">
        <f t="shared" si="0"/>
        <v/>
      </c>
      <c r="AI40" s="57" t="str">
        <f t="shared" si="1"/>
        <v/>
      </c>
      <c r="AJ40" s="57" t="str">
        <f t="shared" si="2"/>
        <v/>
      </c>
      <c r="AK40" s="57" t="str">
        <f t="shared" si="3"/>
        <v/>
      </c>
      <c r="AL40" s="57" t="str">
        <f t="shared" si="4"/>
        <v/>
      </c>
      <c r="AM40" s="57" t="str">
        <f t="shared" si="5"/>
        <v/>
      </c>
      <c r="AN40" s="57" t="str">
        <f t="shared" si="6"/>
        <v/>
      </c>
      <c r="AO40" s="57" t="str">
        <f t="shared" si="7"/>
        <v/>
      </c>
      <c r="AP40" s="57" t="str">
        <f t="shared" si="8"/>
        <v/>
      </c>
      <c r="AQ40" s="57" t="str">
        <f t="shared" si="9"/>
        <v/>
      </c>
      <c r="AR40" s="57" t="str">
        <f t="shared" si="10"/>
        <v/>
      </c>
      <c r="AS40" s="57" t="str">
        <f t="shared" si="11"/>
        <v/>
      </c>
      <c r="AT40" s="57" t="str">
        <f t="shared" si="12"/>
        <v/>
      </c>
      <c r="AU40" s="57" t="str">
        <f t="shared" si="13"/>
        <v/>
      </c>
      <c r="AV40" s="57" t="str">
        <f t="shared" si="14"/>
        <v/>
      </c>
      <c r="AW40" s="300" t="str">
        <f t="shared" si="15"/>
        <v/>
      </c>
      <c r="AX40" s="57" t="str">
        <f t="shared" si="16"/>
        <v/>
      </c>
      <c r="AY40" s="57" t="str">
        <f t="shared" si="17"/>
        <v/>
      </c>
      <c r="AZ40" s="57" t="str">
        <f t="shared" si="18"/>
        <v/>
      </c>
      <c r="BA40" s="57" t="str">
        <f t="shared" si="19"/>
        <v/>
      </c>
      <c r="BB40" s="300" t="str">
        <f t="shared" si="20"/>
        <v/>
      </c>
      <c r="BC40" s="57" t="str">
        <f t="shared" si="21"/>
        <v/>
      </c>
      <c r="BD40" s="57" t="str">
        <f t="shared" si="22"/>
        <v/>
      </c>
      <c r="BE40" s="57" t="str">
        <f t="shared" si="23"/>
        <v/>
      </c>
      <c r="BF40" s="57" t="str">
        <f t="shared" si="24"/>
        <v/>
      </c>
      <c r="BG40" s="300" t="str">
        <f t="shared" si="25"/>
        <v/>
      </c>
      <c r="BH40" s="1203" t="str">
        <f t="shared" si="26"/>
        <v/>
      </c>
      <c r="BI40" s="260"/>
      <c r="BJ40" s="300" t="str">
        <f t="shared" si="27"/>
        <v/>
      </c>
      <c r="BK40" s="300" t="str">
        <f t="shared" si="28"/>
        <v/>
      </c>
      <c r="BL40" s="300" t="str">
        <f t="shared" si="29"/>
        <v/>
      </c>
      <c r="BM40" s="1202" t="str" cm="1">
        <f t="array" ref="BM40">IF($AP40="","",IF((IFERROR(_xlfn.IFS($BH40="Devis 1",(IFERROR(VALUE(TRIM(SUBSTITUTE(AU40,CHAR(160),""))),0)),$BH40="Devis 2",(IFERROR(VALUE(TRIM(SUBSTITUTE(AZ40,CHAR(160),""))),0)),$BH40="Devis 3",(IFERROR(VALUE(TRIM(SUBSTITUTE(BE40,CHAR(160),""))),0))),0))*(IFERROR(VALUE(TRIM(SUBSTITUTE($AP40,CHAR(160),""))),0))=0,"",(IFERROR(_xlfn.IFS($BH40="Devis 1",(IFERROR(VALUE(TRIM(SUBSTITUTE(AU40,CHAR(160),""))),0)),$BH40="Devis 2",(IFERROR(VALUE(TRIM(SUBSTITUTE(AZ40,CHAR(160),""))),0)),$BH40="Devis 3",(IFERROR(VALUE(TRIM(SUBSTITUTE(BE40,CHAR(160),""))),0))),0))*(IFERROR(VALUE(TRIM(SUBSTITUTE($AP40,CHAR(160),""))),0))))</f>
        <v/>
      </c>
      <c r="BN40" s="1202" t="str" cm="1">
        <f t="array" ref="BN40">IF($AP40="","",IF((IFERROR(_xlfn.IFS(TRIM(SUBSTITUTE($BH40,CHAR(160),""))="Devis 1", IFERROR(VALUE(TRIM(SUBSTITUTE(AV40,CHAR(160),""))),0),TRIM(SUBSTITUTE($BH40,CHAR(160),""))="Devis 2", IFERROR(VALUE(TRIM(SUBSTITUTE(BA40,CHAR(160),""))),0),TRIM(SUBSTITUTE($BH40,CHAR(160),""))="Devis 3", IFERROR(VALUE(TRIM(SUBSTITUTE(BF40,CHAR(160),""))),0)),0) * IFERROR(VALUE(TRIM(SUBSTITUTE($AP40,CHAR(160),""))),0)) = 0,IF(BM40&lt;&gt;"",0,""),(IFERROR(_xlfn.IFS(TRIM(SUBSTITUTE($BH40,CHAR(160),""))="Devis 1", IFERROR(VALUE(TRIM(SUBSTITUTE(AV40,CHAR(160),""))),0),TRIM(SUBSTITUTE($BH40,CHAR(160),""))="Devis 2", IFERROR(VALUE(TRIM(SUBSTITUTE(BA40,CHAR(160),""))),0),TRIM(SUBSTITUTE($BH40,CHAR(160),""))="Devis 3", IFERROR(VALUE(TRIM(SUBSTITUTE(BF40,CHAR(160),""))),0)),0) * IFERROR(VALUE(TRIM(SUBSTITUTE($AP40,CHAR(160),""))),0))))</f>
        <v/>
      </c>
      <c r="BO40" s="1202" t="str" cm="1">
        <f t="array" ref="BO40">IF($AP40="","",IF(IFERROR(_xlfn.IFS($BH40="Devis 1",IFERROR(VALUE(TRIM(SUBSTITUTE(AW40,CHAR(160),""))),0),$BH40="Devis 2",IFERROR(VALUE(TRIM(SUBSTITUTE(BB40,CHAR(160),""))),0),$BH40="Devis 3",IFERROR(VALUE(TRIM(SUBSTITUTE(BG40,CHAR(160),""))),0)),0)*IFERROR(VALUE(TRIM(SUBSTITUTE($AP40,CHAR(160),""))),0)=0,"",IFERROR(_xlfn.IFS($BH40="Devis 1",IFERROR(VALUE(TRIM(SUBSTITUTE(AW40,CHAR(160),""))),0),$BH40="Devis 2",IFERROR(VALUE(TRIM(SUBSTITUTE(BB40,CHAR(160),""))),0),$BH40="Devis 3",IFERROR(VALUE(TRIM(SUBSTITUTE(BG40,CHAR(160),""))),0)),0)*IFERROR(VALUE(TRIM(SUBSTITUTE($AP40,CHAR(160),""))),0)))</f>
        <v/>
      </c>
      <c r="BP40" s="194"/>
      <c r="BQ40" s="219" t="str" cm="1">
        <f t="array" ref="BQ40">IF(OR(BO40="",BL40="",BM40="",BJ40="",BN40="",BK40=""),"",_xlfn.IFS(
ROUND(IFERROR(VALUE(TRIM(SUBSTITUTE(BO40,CHAR(160),""))),0),2)&gt;
ROUND(IFERROR(VALUE(TRIM(SUBSTITUTE(BL40,CHAR(160),""))),0),2),
"KO : Le montant retenu TTC est supérieur au montant raisonnable TTC. Merci de revoir la ligne de dépense ou plafonner son montant.",
ROUND(IFERROR(VALUE(TRIM(SUBSTITUTE(BM40,CHAR(160),""))),0),2)&gt;
ROUND(IFERROR(VALUE(TRIM(SUBSTITUTE(BJ40,CHAR(160),""))),0),2),
"Attention : Le montant retenu HT est supérieur au montant HT raisonnable. Merci de revoir la ligne de dépense, plafonner son montant, ou justifier la reventillation HT / TVA.",
ROUND(IFERROR(VALUE(TRIM(SUBSTITUTE(BN40,CHAR(160),""))),0),2)&gt;
ROUND(IFERROR(VALUE(TRIM(SUBSTITUTE(BK40,CHAR(160),""))),0),2),
"Attention : Le montant TVA retenu est supérieur au montant TVA raisonnable. Merci de revoir la ligne de dépense, plafonner son montant, ou justifier la reventillation HT / TVA.",
ROUND(IFERROR(VALUE(TRIM(SUBSTITUTE(BO40,CHAR(160),""))),0),2)&gt;
ROUND(IFERROR(VALUE(TRIM(SUBSTITUTE(MIN(R40,W40,AB40),CHAR(160),""))),0),2),
"Attention : Le devis retenu n'est pas le moins cher. Une justification de la part du porteur est nécessaire.",
ROUND(IFERROR(VALUE(TRIM(SUBSTITUTE(BO40,CHAR(160),""))),0),2)=0,
"Attention : montant présenté entièrement écarté",
ROUND(IFERROR(VALUE(TRIM(SUBSTITUTE(BL40,CHAR(160),""))),0),2)=
ROUND(IFERROR(VALUE(TRIM(SUBSTITUTE(BO40,CHAR(160),""))),0),2),
"OK",
ROUND(IFERROR(VALUE(TRIM(SUBSTITUTE(BL40,CHAR(160),""))),0),2)&gt;
ROUND(IFERROR(VALUE(TRIM(SUBSTITUTE(BO40,CHAR(160),""))),0),2),
" OK : Montant instruit inférieur au montant raisonnable.",
TRUE,""
))</f>
        <v/>
      </c>
      <c r="BR40" s="216" t="str" cm="1">
        <f t="array" ref="BR40">IF(OR(BO40="",AF40="",BM40="",AD40="",BN40="",AE40=""),"",_xlfn.IFS(
ROUND(IFERROR(VALUE(TRIM(SUBSTITUTE(BO40,CHAR(160),""))),0),2)&gt;
ROUND(IFERROR(VALUE(TRIM(SUBSTITUTE(AF40,CHAR(160),""))),0),2),
"KO : Le montant retenu TTC est supérieur au montant présenté TTC. Merci de revoir la ligne de dépense ou plafonner son montant.",
ROUND(IFERROR(VALUE(TRIM(SUBSTITUTE(BM40,CHAR(160),""))),0),2)&gt;
ROUND(IFERROR(VALUE(TRIM(SUBSTITUTE(AD40,CHAR(160),""))),0),2),
"Attention : Le montant retenu HT est supérieur au montant HT présenté. Merci de revoir la ligne de dépense, plafonner son montant, ou justifier la reventillation HT / TVA.",
ROUND(IFERROR(VALUE(TRIM(SUBSTITUTE(BN40,CHAR(160),""))),0),2)&gt;
ROUND(IFERROR(VALUE(TRIM(SUBSTITUTE(AE40,CHAR(160),""))),0),2),
"Attention : Le montant TVA retenu est supérieur au montant TVA présenté. Merci de revoir la ligne de dépense, plafonner son montant, ou justifier la reventillation HT / TVA.",
ROUND(IFERROR(VALUE(TRIM(SUBSTITUTE(AF40,CHAR(160),""))),0),2)=0,
"",
ROUND(IFERROR(VALUE(TRIM(SUBSTITUTE(BO40,CHAR(160),""))),0),2)=
ROUND(IFERROR(VALUE(TRIM(SUBSTITUTE(AF40,CHAR(160),""))),0),2),
"OK",
ROUND(IFERROR(VALUE(TRIM(SUBSTITUTE(BO40,CHAR(160),""))),0),2)=0,
"Attention : Montant présenté entièrement rejeté.",
ROUND(IFERROR(VALUE(TRIM(SUBSTITUTE(BO40,CHAR(160),""))),0),2)&lt;
ROUND(IFERROR(VALUE(TRIM(SUBSTITUTE(AF40,CHAR(160),""))),0),2),
"Attention : Montant présenté partiellement rejeté.",
TRUE,""
))</f>
        <v/>
      </c>
      <c r="BS40" s="1202" t="str">
        <f t="shared" si="30"/>
        <v/>
      </c>
      <c r="BT40" s="1202" t="str">
        <f t="shared" si="31"/>
        <v/>
      </c>
      <c r="BU40" s="1216" t="str">
        <f t="shared" si="32"/>
        <v/>
      </c>
    </row>
    <row r="41" spans="2:73" ht="15.95" customHeight="1">
      <c r="B41" s="303">
        <v>32</v>
      </c>
      <c r="C41" s="11"/>
      <c r="D41" s="11"/>
      <c r="E41" s="22"/>
      <c r="F41" s="11"/>
      <c r="G41" s="11"/>
      <c r="H41" s="11"/>
      <c r="I41" s="22"/>
      <c r="J41" s="11"/>
      <c r="K41" s="2"/>
      <c r="L41" s="23"/>
      <c r="M41" s="11"/>
      <c r="N41" s="11"/>
      <c r="O41" s="11"/>
      <c r="P41" s="24"/>
      <c r="Q41" s="24"/>
      <c r="R41" s="300" t="str">
        <f t="shared" si="35"/>
        <v/>
      </c>
      <c r="S41" s="1205"/>
      <c r="T41" s="1205"/>
      <c r="U41" s="24"/>
      <c r="V41" s="24"/>
      <c r="W41" s="300" t="str">
        <f t="shared" si="33"/>
        <v/>
      </c>
      <c r="X41" s="1205"/>
      <c r="Y41" s="1205"/>
      <c r="Z41" s="24"/>
      <c r="AA41" s="24"/>
      <c r="AB41" s="300" t="str">
        <f t="shared" si="34"/>
        <v/>
      </c>
      <c r="AC41" s="11"/>
      <c r="AD41" s="1202" t="str" cm="1">
        <f t="array" ref="AD41">IF((_xlfn.IFS(TRIM(SUBSTITUTE(AC41,CHAR(160),""))="Devis 1",IFERROR(VALUE(TRIM(SUBSTITUTE(P41,CHAR(160),""))),0),TRIM(SUBSTITUTE(AC41,CHAR(160),""))="Devis 2",IFERROR(VALUE(TRIM(SUBSTITUTE(U41,CHAR(160),""))),0),TRIM(SUBSTITUTE(AC41,CHAR(160),""))="Devis 3",IFERROR(VALUE(TRIM(SUBSTITUTE(Z41,CHAR(160),""))),0),TRUE,0)*IFERROR(VALUE(TRIM(SUBSTITUTE(K41,CHAR(160),""))),0))=0,"",_xlfn.IFS(TRIM(SUBSTITUTE(AC41,CHAR(160),""))="Devis 1",IFERROR(VALUE(TRIM(SUBSTITUTE(P41,CHAR(160),""))),0),TRIM(SUBSTITUTE(AC41,CHAR(160),""))="Devis 2",IFERROR(VALUE(TRIM(SUBSTITUTE(U41,CHAR(160),""))),0),TRIM(SUBSTITUTE(AC41,CHAR(160),""))="Devis 3",IFERROR(VALUE(TRIM(SUBSTITUTE(Z41,CHAR(160),""))),0),TRUE,0)*IFERROR(VALUE(TRIM(SUBSTITUTE(K41,CHAR(160),""))),0))</f>
        <v/>
      </c>
      <c r="AE41" s="1202" t="str" cm="1">
        <f t="array" ref="AE41">IF((_xlfn.IFS(TRIM(SUBSTITUTE(AC41,CHAR(160),""))="Devis 1",IFERROR(VALUE(TRIM(SUBSTITUTE(Q41,CHAR(160),""))),0),TRIM(SUBSTITUTE(AC41,CHAR(160),""))="Devis 2",IFERROR(VALUE(TRIM(SUBSTITUTE(V41,CHAR(160),""))),0),TRIM(SUBSTITUTE(AC41,CHAR(160),""))="Devis 3",IFERROR(VALUE(TRIM(SUBSTITUTE(AA41,CHAR(160),""))),0),TRUE,0)*IFERROR(VALUE(TRIM(SUBSTITUTE(K41,CHAR(160),""))),0))=0,"",_xlfn.IFS(TRIM(SUBSTITUTE(AC41,CHAR(160),""))="Devis 1",IFERROR(VALUE(TRIM(SUBSTITUTE(Q41,CHAR(160),""))),0),TRIM(SUBSTITUTE(AD41,CHAR(160),""))="Devis 2",IFERROR(VALUE(TRIM(SUBSTITUTE(V41,CHAR(160),""))),0),TRIM(SUBSTITUTE(AD41,CHAR(160),""))="Devis 3",IFERROR(VALUE(TRIM(SUBSTITUTE(AA41,CHAR(160),""))),0),TRUE,0)*IFERROR(VALUE(TRIM(SUBSTITUTE(K41,CHAR(160),""))),0))</f>
        <v/>
      </c>
      <c r="AF41" s="1202" t="str" cm="1">
        <f t="array" ref="AF41">IF((_xlfn.IFS(TRIM(SUBSTITUTE(AC41,CHAR(160),""))="Devis 1",IFERROR(VALUE(TRIM(SUBSTITUTE(R41,CHAR(160),""))),0),TRIM(SUBSTITUTE(AC41,CHAR(160),""))="Devis 2",IFERROR(VALUE(TRIM(SUBSTITUTE(W41,CHAR(160),""))),0),TRIM(SUBSTITUTE(AC41,CHAR(160),""))="Devis 3",IFERROR(VALUE(TRIM(SUBSTITUTE(AB41,CHAR(160),""))),0),TRUE,0)*IFERROR(VALUE(TRIM(SUBSTITUTE(K41,CHAR(160),""))),0))=0,"",_xlfn.IFS(TRIM(SUBSTITUTE(AC41,CHAR(160),""))="Devis 1",IFERROR(VALUE(TRIM(SUBSTITUTE(R41,CHAR(160),""))),0),TRIM(SUBSTITUTE(AC41,CHAR(160),""))="Devis 2",IFERROR(VALUE(TRIM(SUBSTITUTE(W41,CHAR(160),""))),0),TRIM(SUBSTITUTE(AC41,CHAR(160),""))="Devis 3",IFERROR(VALUE(TRIM(SUBSTITUTE(AB41,CHAR(160),""))),0),TRUE,0)*IFERROR(VALUE(TRIM(SUBSTITUTE(K41,CHAR(160),""))),0))</f>
        <v/>
      </c>
      <c r="AG41" s="488"/>
      <c r="AH41" s="215" t="str">
        <f t="shared" si="0"/>
        <v/>
      </c>
      <c r="AI41" s="57" t="str">
        <f t="shared" si="1"/>
        <v/>
      </c>
      <c r="AJ41" s="57" t="str">
        <f t="shared" si="2"/>
        <v/>
      </c>
      <c r="AK41" s="57" t="str">
        <f t="shared" si="3"/>
        <v/>
      </c>
      <c r="AL41" s="57" t="str">
        <f t="shared" si="4"/>
        <v/>
      </c>
      <c r="AM41" s="57" t="str">
        <f t="shared" si="5"/>
        <v/>
      </c>
      <c r="AN41" s="57" t="str">
        <f t="shared" si="6"/>
        <v/>
      </c>
      <c r="AO41" s="57" t="str">
        <f t="shared" si="7"/>
        <v/>
      </c>
      <c r="AP41" s="57" t="str">
        <f t="shared" si="8"/>
        <v/>
      </c>
      <c r="AQ41" s="57" t="str">
        <f t="shared" si="9"/>
        <v/>
      </c>
      <c r="AR41" s="57" t="str">
        <f t="shared" si="10"/>
        <v/>
      </c>
      <c r="AS41" s="57" t="str">
        <f t="shared" si="11"/>
        <v/>
      </c>
      <c r="AT41" s="57" t="str">
        <f t="shared" si="12"/>
        <v/>
      </c>
      <c r="AU41" s="57" t="str">
        <f t="shared" si="13"/>
        <v/>
      </c>
      <c r="AV41" s="57" t="str">
        <f t="shared" si="14"/>
        <v/>
      </c>
      <c r="AW41" s="300" t="str">
        <f t="shared" si="15"/>
        <v/>
      </c>
      <c r="AX41" s="57" t="str">
        <f t="shared" si="16"/>
        <v/>
      </c>
      <c r="AY41" s="57" t="str">
        <f t="shared" si="17"/>
        <v/>
      </c>
      <c r="AZ41" s="57" t="str">
        <f t="shared" si="18"/>
        <v/>
      </c>
      <c r="BA41" s="57" t="str">
        <f t="shared" si="19"/>
        <v/>
      </c>
      <c r="BB41" s="300" t="str">
        <f t="shared" si="20"/>
        <v/>
      </c>
      <c r="BC41" s="57" t="str">
        <f t="shared" si="21"/>
        <v/>
      </c>
      <c r="BD41" s="57" t="str">
        <f t="shared" si="22"/>
        <v/>
      </c>
      <c r="BE41" s="57" t="str">
        <f t="shared" si="23"/>
        <v/>
      </c>
      <c r="BF41" s="57" t="str">
        <f t="shared" si="24"/>
        <v/>
      </c>
      <c r="BG41" s="300" t="str">
        <f t="shared" si="25"/>
        <v/>
      </c>
      <c r="BH41" s="1203" t="str">
        <f t="shared" si="26"/>
        <v/>
      </c>
      <c r="BI41" s="260"/>
      <c r="BJ41" s="300" t="str">
        <f t="shared" si="27"/>
        <v/>
      </c>
      <c r="BK41" s="300" t="str">
        <f t="shared" si="28"/>
        <v/>
      </c>
      <c r="BL41" s="300" t="str">
        <f t="shared" si="29"/>
        <v/>
      </c>
      <c r="BM41" s="1202" t="str" cm="1">
        <f t="array" ref="BM41">IF($AP41="","",IF((IFERROR(_xlfn.IFS($BH41="Devis 1",(IFERROR(VALUE(TRIM(SUBSTITUTE(AU41,CHAR(160),""))),0)),$BH41="Devis 2",(IFERROR(VALUE(TRIM(SUBSTITUTE(AZ41,CHAR(160),""))),0)),$BH41="Devis 3",(IFERROR(VALUE(TRIM(SUBSTITUTE(BE41,CHAR(160),""))),0))),0))*(IFERROR(VALUE(TRIM(SUBSTITUTE($AP41,CHAR(160),""))),0))=0,"",(IFERROR(_xlfn.IFS($BH41="Devis 1",(IFERROR(VALUE(TRIM(SUBSTITUTE(AU41,CHAR(160),""))),0)),$BH41="Devis 2",(IFERROR(VALUE(TRIM(SUBSTITUTE(AZ41,CHAR(160),""))),0)),$BH41="Devis 3",(IFERROR(VALUE(TRIM(SUBSTITUTE(BE41,CHAR(160),""))),0))),0))*(IFERROR(VALUE(TRIM(SUBSTITUTE($AP41,CHAR(160),""))),0))))</f>
        <v/>
      </c>
      <c r="BN41" s="1202" t="str" cm="1">
        <f t="array" ref="BN41">IF($AP41="","",IF((IFERROR(_xlfn.IFS(TRIM(SUBSTITUTE($BH41,CHAR(160),""))="Devis 1", IFERROR(VALUE(TRIM(SUBSTITUTE(AV41,CHAR(160),""))),0),TRIM(SUBSTITUTE($BH41,CHAR(160),""))="Devis 2", IFERROR(VALUE(TRIM(SUBSTITUTE(BA41,CHAR(160),""))),0),TRIM(SUBSTITUTE($BH41,CHAR(160),""))="Devis 3", IFERROR(VALUE(TRIM(SUBSTITUTE(BF41,CHAR(160),""))),0)),0) * IFERROR(VALUE(TRIM(SUBSTITUTE($AP41,CHAR(160),""))),0)) = 0,IF(BM41&lt;&gt;"",0,""),(IFERROR(_xlfn.IFS(TRIM(SUBSTITUTE($BH41,CHAR(160),""))="Devis 1", IFERROR(VALUE(TRIM(SUBSTITUTE(AV41,CHAR(160),""))),0),TRIM(SUBSTITUTE($BH41,CHAR(160),""))="Devis 2", IFERROR(VALUE(TRIM(SUBSTITUTE(BA41,CHAR(160),""))),0),TRIM(SUBSTITUTE($BH41,CHAR(160),""))="Devis 3", IFERROR(VALUE(TRIM(SUBSTITUTE(BF41,CHAR(160),""))),0)),0) * IFERROR(VALUE(TRIM(SUBSTITUTE($AP41,CHAR(160),""))),0))))</f>
        <v/>
      </c>
      <c r="BO41" s="1202" t="str" cm="1">
        <f t="array" ref="BO41">IF($AP41="","",IF(IFERROR(_xlfn.IFS($BH41="Devis 1",IFERROR(VALUE(TRIM(SUBSTITUTE(AW41,CHAR(160),""))),0),$BH41="Devis 2",IFERROR(VALUE(TRIM(SUBSTITUTE(BB41,CHAR(160),""))),0),$BH41="Devis 3",IFERROR(VALUE(TRIM(SUBSTITUTE(BG41,CHAR(160),""))),0)),0)*IFERROR(VALUE(TRIM(SUBSTITUTE($AP41,CHAR(160),""))),0)=0,"",IFERROR(_xlfn.IFS($BH41="Devis 1",IFERROR(VALUE(TRIM(SUBSTITUTE(AW41,CHAR(160),""))),0),$BH41="Devis 2",IFERROR(VALUE(TRIM(SUBSTITUTE(BB41,CHAR(160),""))),0),$BH41="Devis 3",IFERROR(VALUE(TRIM(SUBSTITUTE(BG41,CHAR(160),""))),0)),0)*IFERROR(VALUE(TRIM(SUBSTITUTE($AP41,CHAR(160),""))),0)))</f>
        <v/>
      </c>
      <c r="BP41" s="194"/>
      <c r="BQ41" s="219" t="str" cm="1">
        <f t="array" ref="BQ41">IF(OR(BO41="",BL41="",BM41="",BJ41="",BN41="",BK41=""),"",_xlfn.IFS(
ROUND(IFERROR(VALUE(TRIM(SUBSTITUTE(BO41,CHAR(160),""))),0),2)&gt;
ROUND(IFERROR(VALUE(TRIM(SUBSTITUTE(BL41,CHAR(160),""))),0),2),
"KO : Le montant retenu TTC est supérieur au montant raisonnable TTC. Merci de revoir la ligne de dépense ou plafonner son montant.",
ROUND(IFERROR(VALUE(TRIM(SUBSTITUTE(BM41,CHAR(160),""))),0),2)&gt;
ROUND(IFERROR(VALUE(TRIM(SUBSTITUTE(BJ41,CHAR(160),""))),0),2),
"Attention : Le montant retenu HT est supérieur au montant HT raisonnable. Merci de revoir la ligne de dépense, plafonner son montant, ou justifier la reventillation HT / TVA.",
ROUND(IFERROR(VALUE(TRIM(SUBSTITUTE(BN41,CHAR(160),""))),0),2)&gt;
ROUND(IFERROR(VALUE(TRIM(SUBSTITUTE(BK41,CHAR(160),""))),0),2),
"Attention : Le montant TVA retenu est supérieur au montant TVA raisonnable. Merci de revoir la ligne de dépense, plafonner son montant, ou justifier la reventillation HT / TVA.",
ROUND(IFERROR(VALUE(TRIM(SUBSTITUTE(BO41,CHAR(160),""))),0),2)&gt;
ROUND(IFERROR(VALUE(TRIM(SUBSTITUTE(MIN(R41,W41,AB41),CHAR(160),""))),0),2),
"Attention : Le devis retenu n'est pas le moins cher. Une justification de la part du porteur est nécessaire.",
ROUND(IFERROR(VALUE(TRIM(SUBSTITUTE(BO41,CHAR(160),""))),0),2)=0,
"Attention : montant présenté entièrement écarté",
ROUND(IFERROR(VALUE(TRIM(SUBSTITUTE(BL41,CHAR(160),""))),0),2)=
ROUND(IFERROR(VALUE(TRIM(SUBSTITUTE(BO41,CHAR(160),""))),0),2),
"OK",
ROUND(IFERROR(VALUE(TRIM(SUBSTITUTE(BL41,CHAR(160),""))),0),2)&gt;
ROUND(IFERROR(VALUE(TRIM(SUBSTITUTE(BO41,CHAR(160),""))),0),2),
" OK : Montant instruit inférieur au montant raisonnable.",
TRUE,""
))</f>
        <v/>
      </c>
      <c r="BR41" s="216" t="str" cm="1">
        <f t="array" ref="BR41">IF(OR(BO41="",AF41="",BM41="",AD41="",BN41="",AE41=""),"",_xlfn.IFS(
ROUND(IFERROR(VALUE(TRIM(SUBSTITUTE(BO41,CHAR(160),""))),0),2)&gt;
ROUND(IFERROR(VALUE(TRIM(SUBSTITUTE(AF41,CHAR(160),""))),0),2),
"KO : Le montant retenu TTC est supérieur au montant présenté TTC. Merci de revoir la ligne de dépense ou plafonner son montant.",
ROUND(IFERROR(VALUE(TRIM(SUBSTITUTE(BM41,CHAR(160),""))),0),2)&gt;
ROUND(IFERROR(VALUE(TRIM(SUBSTITUTE(AD41,CHAR(160),""))),0),2),
"Attention : Le montant retenu HT est supérieur au montant HT présenté. Merci de revoir la ligne de dépense, plafonner son montant, ou justifier la reventillation HT / TVA.",
ROUND(IFERROR(VALUE(TRIM(SUBSTITUTE(BN41,CHAR(160),""))),0),2)&gt;
ROUND(IFERROR(VALUE(TRIM(SUBSTITUTE(AE41,CHAR(160),""))),0),2),
"Attention : Le montant TVA retenu est supérieur au montant TVA présenté. Merci de revoir la ligne de dépense, plafonner son montant, ou justifier la reventillation HT / TVA.",
ROUND(IFERROR(VALUE(TRIM(SUBSTITUTE(AF41,CHAR(160),""))),0),2)=0,
"",
ROUND(IFERROR(VALUE(TRIM(SUBSTITUTE(BO41,CHAR(160),""))),0),2)=
ROUND(IFERROR(VALUE(TRIM(SUBSTITUTE(AF41,CHAR(160),""))),0),2),
"OK",
ROUND(IFERROR(VALUE(TRIM(SUBSTITUTE(BO41,CHAR(160),""))),0),2)=0,
"Attention : Montant présenté entièrement rejeté.",
ROUND(IFERROR(VALUE(TRIM(SUBSTITUTE(BO41,CHAR(160),""))),0),2)&lt;
ROUND(IFERROR(VALUE(TRIM(SUBSTITUTE(AF41,CHAR(160),""))),0),2),
"Attention : Montant présenté partiellement rejeté.",
TRUE,""
))</f>
        <v/>
      </c>
      <c r="BS41" s="1202" t="str">
        <f t="shared" si="30"/>
        <v/>
      </c>
      <c r="BT41" s="1202" t="str">
        <f t="shared" si="31"/>
        <v/>
      </c>
      <c r="BU41" s="1216" t="str">
        <f t="shared" si="32"/>
        <v/>
      </c>
    </row>
    <row r="42" spans="2:73" ht="15.95" customHeight="1">
      <c r="B42" s="303">
        <v>33</v>
      </c>
      <c r="C42" s="11"/>
      <c r="D42" s="11"/>
      <c r="E42" s="22"/>
      <c r="F42" s="11"/>
      <c r="G42" s="11"/>
      <c r="H42" s="11"/>
      <c r="I42" s="22"/>
      <c r="J42" s="11"/>
      <c r="K42" s="2"/>
      <c r="L42" s="23"/>
      <c r="M42" s="11"/>
      <c r="N42" s="11"/>
      <c r="O42" s="11"/>
      <c r="P42" s="24"/>
      <c r="Q42" s="24"/>
      <c r="R42" s="300" t="str">
        <f t="shared" si="35"/>
        <v/>
      </c>
      <c r="S42" s="1205"/>
      <c r="T42" s="1205"/>
      <c r="U42" s="24"/>
      <c r="V42" s="24"/>
      <c r="W42" s="300" t="str">
        <f t="shared" si="33"/>
        <v/>
      </c>
      <c r="X42" s="1205"/>
      <c r="Y42" s="1205"/>
      <c r="Z42" s="24"/>
      <c r="AA42" s="24"/>
      <c r="AB42" s="300" t="str">
        <f t="shared" si="34"/>
        <v/>
      </c>
      <c r="AC42" s="11"/>
      <c r="AD42" s="1202" t="str" cm="1">
        <f t="array" ref="AD42">IF((_xlfn.IFS(TRIM(SUBSTITUTE(AC42,CHAR(160),""))="Devis 1",IFERROR(VALUE(TRIM(SUBSTITUTE(P42,CHAR(160),""))),0),TRIM(SUBSTITUTE(AC42,CHAR(160),""))="Devis 2",IFERROR(VALUE(TRIM(SUBSTITUTE(U42,CHAR(160),""))),0),TRIM(SUBSTITUTE(AC42,CHAR(160),""))="Devis 3",IFERROR(VALUE(TRIM(SUBSTITUTE(Z42,CHAR(160),""))),0),TRUE,0)*IFERROR(VALUE(TRIM(SUBSTITUTE(K42,CHAR(160),""))),0))=0,"",_xlfn.IFS(TRIM(SUBSTITUTE(AC42,CHAR(160),""))="Devis 1",IFERROR(VALUE(TRIM(SUBSTITUTE(P42,CHAR(160),""))),0),TRIM(SUBSTITUTE(AC42,CHAR(160),""))="Devis 2",IFERROR(VALUE(TRIM(SUBSTITUTE(U42,CHAR(160),""))),0),TRIM(SUBSTITUTE(AC42,CHAR(160),""))="Devis 3",IFERROR(VALUE(TRIM(SUBSTITUTE(Z42,CHAR(160),""))),0),TRUE,0)*IFERROR(VALUE(TRIM(SUBSTITUTE(K42,CHAR(160),""))),0))</f>
        <v/>
      </c>
      <c r="AE42" s="1202" t="str" cm="1">
        <f t="array" ref="AE42">IF((_xlfn.IFS(TRIM(SUBSTITUTE(AC42,CHAR(160),""))="Devis 1",IFERROR(VALUE(TRIM(SUBSTITUTE(Q42,CHAR(160),""))),0),TRIM(SUBSTITUTE(AC42,CHAR(160),""))="Devis 2",IFERROR(VALUE(TRIM(SUBSTITUTE(V42,CHAR(160),""))),0),TRIM(SUBSTITUTE(AC42,CHAR(160),""))="Devis 3",IFERROR(VALUE(TRIM(SUBSTITUTE(AA42,CHAR(160),""))),0),TRUE,0)*IFERROR(VALUE(TRIM(SUBSTITUTE(K42,CHAR(160),""))),0))=0,"",_xlfn.IFS(TRIM(SUBSTITUTE(AC42,CHAR(160),""))="Devis 1",IFERROR(VALUE(TRIM(SUBSTITUTE(Q42,CHAR(160),""))),0),TRIM(SUBSTITUTE(AD42,CHAR(160),""))="Devis 2",IFERROR(VALUE(TRIM(SUBSTITUTE(V42,CHAR(160),""))),0),TRIM(SUBSTITUTE(AD42,CHAR(160),""))="Devis 3",IFERROR(VALUE(TRIM(SUBSTITUTE(AA42,CHAR(160),""))),0),TRUE,0)*IFERROR(VALUE(TRIM(SUBSTITUTE(K42,CHAR(160),""))),0))</f>
        <v/>
      </c>
      <c r="AF42" s="1202" t="str" cm="1">
        <f t="array" ref="AF42">IF((_xlfn.IFS(TRIM(SUBSTITUTE(AC42,CHAR(160),""))="Devis 1",IFERROR(VALUE(TRIM(SUBSTITUTE(R42,CHAR(160),""))),0),TRIM(SUBSTITUTE(AC42,CHAR(160),""))="Devis 2",IFERROR(VALUE(TRIM(SUBSTITUTE(W42,CHAR(160),""))),0),TRIM(SUBSTITUTE(AC42,CHAR(160),""))="Devis 3",IFERROR(VALUE(TRIM(SUBSTITUTE(AB42,CHAR(160),""))),0),TRUE,0)*IFERROR(VALUE(TRIM(SUBSTITUTE(K42,CHAR(160),""))),0))=0,"",_xlfn.IFS(TRIM(SUBSTITUTE(AC42,CHAR(160),""))="Devis 1",IFERROR(VALUE(TRIM(SUBSTITUTE(R42,CHAR(160),""))),0),TRIM(SUBSTITUTE(AC42,CHAR(160),""))="Devis 2",IFERROR(VALUE(TRIM(SUBSTITUTE(W42,CHAR(160),""))),0),TRIM(SUBSTITUTE(AC42,CHAR(160),""))="Devis 3",IFERROR(VALUE(TRIM(SUBSTITUTE(AB42,CHAR(160),""))),0),TRUE,0)*IFERROR(VALUE(TRIM(SUBSTITUTE(K42,CHAR(160),""))),0))</f>
        <v/>
      </c>
      <c r="AG42" s="488"/>
      <c r="AH42" s="215" t="str">
        <f t="shared" si="0"/>
        <v/>
      </c>
      <c r="AI42" s="57" t="str">
        <f t="shared" si="1"/>
        <v/>
      </c>
      <c r="AJ42" s="57" t="str">
        <f t="shared" si="2"/>
        <v/>
      </c>
      <c r="AK42" s="57" t="str">
        <f t="shared" si="3"/>
        <v/>
      </c>
      <c r="AL42" s="57" t="str">
        <f t="shared" si="4"/>
        <v/>
      </c>
      <c r="AM42" s="57" t="str">
        <f t="shared" si="5"/>
        <v/>
      </c>
      <c r="AN42" s="57" t="str">
        <f t="shared" si="6"/>
        <v/>
      </c>
      <c r="AO42" s="57" t="str">
        <f t="shared" si="7"/>
        <v/>
      </c>
      <c r="AP42" s="57" t="str">
        <f t="shared" si="8"/>
        <v/>
      </c>
      <c r="AQ42" s="57" t="str">
        <f t="shared" si="9"/>
        <v/>
      </c>
      <c r="AR42" s="57" t="str">
        <f t="shared" si="10"/>
        <v/>
      </c>
      <c r="AS42" s="57" t="str">
        <f t="shared" si="11"/>
        <v/>
      </c>
      <c r="AT42" s="57" t="str">
        <f t="shared" si="12"/>
        <v/>
      </c>
      <c r="AU42" s="57" t="str">
        <f t="shared" si="13"/>
        <v/>
      </c>
      <c r="AV42" s="57" t="str">
        <f t="shared" si="14"/>
        <v/>
      </c>
      <c r="AW42" s="300" t="str">
        <f t="shared" si="15"/>
        <v/>
      </c>
      <c r="AX42" s="57" t="str">
        <f t="shared" si="16"/>
        <v/>
      </c>
      <c r="AY42" s="57" t="str">
        <f t="shared" si="17"/>
        <v/>
      </c>
      <c r="AZ42" s="57" t="str">
        <f t="shared" si="18"/>
        <v/>
      </c>
      <c r="BA42" s="57" t="str">
        <f t="shared" si="19"/>
        <v/>
      </c>
      <c r="BB42" s="300" t="str">
        <f t="shared" si="20"/>
        <v/>
      </c>
      <c r="BC42" s="57" t="str">
        <f t="shared" si="21"/>
        <v/>
      </c>
      <c r="BD42" s="57" t="str">
        <f t="shared" si="22"/>
        <v/>
      </c>
      <c r="BE42" s="57" t="str">
        <f t="shared" si="23"/>
        <v/>
      </c>
      <c r="BF42" s="57" t="str">
        <f t="shared" si="24"/>
        <v/>
      </c>
      <c r="BG42" s="300" t="str">
        <f t="shared" si="25"/>
        <v/>
      </c>
      <c r="BH42" s="1203" t="str">
        <f t="shared" si="26"/>
        <v/>
      </c>
      <c r="BI42" s="260"/>
      <c r="BJ42" s="300" t="str">
        <f t="shared" si="27"/>
        <v/>
      </c>
      <c r="BK42" s="300" t="str">
        <f t="shared" si="28"/>
        <v/>
      </c>
      <c r="BL42" s="300" t="str">
        <f t="shared" si="29"/>
        <v/>
      </c>
      <c r="BM42" s="1202" t="str" cm="1">
        <f t="array" ref="BM42">IF($AP42="","",IF((IFERROR(_xlfn.IFS($BH42="Devis 1",(IFERROR(VALUE(TRIM(SUBSTITUTE(AU42,CHAR(160),""))),0)),$BH42="Devis 2",(IFERROR(VALUE(TRIM(SUBSTITUTE(AZ42,CHAR(160),""))),0)),$BH42="Devis 3",(IFERROR(VALUE(TRIM(SUBSTITUTE(BE42,CHAR(160),""))),0))),0))*(IFERROR(VALUE(TRIM(SUBSTITUTE($AP42,CHAR(160),""))),0))=0,"",(IFERROR(_xlfn.IFS($BH42="Devis 1",(IFERROR(VALUE(TRIM(SUBSTITUTE(AU42,CHAR(160),""))),0)),$BH42="Devis 2",(IFERROR(VALUE(TRIM(SUBSTITUTE(AZ42,CHAR(160),""))),0)),$BH42="Devis 3",(IFERROR(VALUE(TRIM(SUBSTITUTE(BE42,CHAR(160),""))),0))),0))*(IFERROR(VALUE(TRIM(SUBSTITUTE($AP42,CHAR(160),""))),0))))</f>
        <v/>
      </c>
      <c r="BN42" s="1202" t="str" cm="1">
        <f t="array" ref="BN42">IF($AP42="","",IF((IFERROR(_xlfn.IFS(TRIM(SUBSTITUTE($BH42,CHAR(160),""))="Devis 1", IFERROR(VALUE(TRIM(SUBSTITUTE(AV42,CHAR(160),""))),0),TRIM(SUBSTITUTE($BH42,CHAR(160),""))="Devis 2", IFERROR(VALUE(TRIM(SUBSTITUTE(BA42,CHAR(160),""))),0),TRIM(SUBSTITUTE($BH42,CHAR(160),""))="Devis 3", IFERROR(VALUE(TRIM(SUBSTITUTE(BF42,CHAR(160),""))),0)),0) * IFERROR(VALUE(TRIM(SUBSTITUTE($AP42,CHAR(160),""))),0)) = 0,IF(BM42&lt;&gt;"",0,""),(IFERROR(_xlfn.IFS(TRIM(SUBSTITUTE($BH42,CHAR(160),""))="Devis 1", IFERROR(VALUE(TRIM(SUBSTITUTE(AV42,CHAR(160),""))),0),TRIM(SUBSTITUTE($BH42,CHAR(160),""))="Devis 2", IFERROR(VALUE(TRIM(SUBSTITUTE(BA42,CHAR(160),""))),0),TRIM(SUBSTITUTE($BH42,CHAR(160),""))="Devis 3", IFERROR(VALUE(TRIM(SUBSTITUTE(BF42,CHAR(160),""))),0)),0) * IFERROR(VALUE(TRIM(SUBSTITUTE($AP42,CHAR(160),""))),0))))</f>
        <v/>
      </c>
      <c r="BO42" s="1202" t="str" cm="1">
        <f t="array" ref="BO42">IF($AP42="","",IF(IFERROR(_xlfn.IFS($BH42="Devis 1",IFERROR(VALUE(TRIM(SUBSTITUTE(AW42,CHAR(160),""))),0),$BH42="Devis 2",IFERROR(VALUE(TRIM(SUBSTITUTE(BB42,CHAR(160),""))),0),$BH42="Devis 3",IFERROR(VALUE(TRIM(SUBSTITUTE(BG42,CHAR(160),""))),0)),0)*IFERROR(VALUE(TRIM(SUBSTITUTE($AP42,CHAR(160),""))),0)=0,"",IFERROR(_xlfn.IFS($BH42="Devis 1",IFERROR(VALUE(TRIM(SUBSTITUTE(AW42,CHAR(160),""))),0),$BH42="Devis 2",IFERROR(VALUE(TRIM(SUBSTITUTE(BB42,CHAR(160),""))),0),$BH42="Devis 3",IFERROR(VALUE(TRIM(SUBSTITUTE(BG42,CHAR(160),""))),0)),0)*IFERROR(VALUE(TRIM(SUBSTITUTE($AP42,CHAR(160),""))),0)))</f>
        <v/>
      </c>
      <c r="BP42" s="194"/>
      <c r="BQ42" s="219" t="str" cm="1">
        <f t="array" ref="BQ42">IF(OR(BO42="",BL42="",BM42="",BJ42="",BN42="",BK42=""),"",_xlfn.IFS(
ROUND(IFERROR(VALUE(TRIM(SUBSTITUTE(BO42,CHAR(160),""))),0),2)&gt;
ROUND(IFERROR(VALUE(TRIM(SUBSTITUTE(BL42,CHAR(160),""))),0),2),
"KO : Le montant retenu TTC est supérieur au montant raisonnable TTC. Merci de revoir la ligne de dépense ou plafonner son montant.",
ROUND(IFERROR(VALUE(TRIM(SUBSTITUTE(BM42,CHAR(160),""))),0),2)&gt;
ROUND(IFERROR(VALUE(TRIM(SUBSTITUTE(BJ42,CHAR(160),""))),0),2),
"Attention : Le montant retenu HT est supérieur au montant HT raisonnable. Merci de revoir la ligne de dépense, plafonner son montant, ou justifier la reventillation HT / TVA.",
ROUND(IFERROR(VALUE(TRIM(SUBSTITUTE(BN42,CHAR(160),""))),0),2)&gt;
ROUND(IFERROR(VALUE(TRIM(SUBSTITUTE(BK42,CHAR(160),""))),0),2),
"Attention : Le montant TVA retenu est supérieur au montant TVA raisonnable. Merci de revoir la ligne de dépense, plafonner son montant, ou justifier la reventillation HT / TVA.",
ROUND(IFERROR(VALUE(TRIM(SUBSTITUTE(BO42,CHAR(160),""))),0),2)&gt;
ROUND(IFERROR(VALUE(TRIM(SUBSTITUTE(MIN(R42,W42,AB42),CHAR(160),""))),0),2),
"Attention : Le devis retenu n'est pas le moins cher. Une justification de la part du porteur est nécessaire.",
ROUND(IFERROR(VALUE(TRIM(SUBSTITUTE(BO42,CHAR(160),""))),0),2)=0,
"Attention : montant présenté entièrement écarté",
ROUND(IFERROR(VALUE(TRIM(SUBSTITUTE(BL42,CHAR(160),""))),0),2)=
ROUND(IFERROR(VALUE(TRIM(SUBSTITUTE(BO42,CHAR(160),""))),0),2),
"OK",
ROUND(IFERROR(VALUE(TRIM(SUBSTITUTE(BL42,CHAR(160),""))),0),2)&gt;
ROUND(IFERROR(VALUE(TRIM(SUBSTITUTE(BO42,CHAR(160),""))),0),2),
" OK : Montant instruit inférieur au montant raisonnable.",
TRUE,""
))</f>
        <v/>
      </c>
      <c r="BR42" s="216" t="str" cm="1">
        <f t="array" ref="BR42">IF(OR(BO42="",AF42="",BM42="",AD42="",BN42="",AE42=""),"",_xlfn.IFS(
ROUND(IFERROR(VALUE(TRIM(SUBSTITUTE(BO42,CHAR(160),""))),0),2)&gt;
ROUND(IFERROR(VALUE(TRIM(SUBSTITUTE(AF42,CHAR(160),""))),0),2),
"KO : Le montant retenu TTC est supérieur au montant présenté TTC. Merci de revoir la ligne de dépense ou plafonner son montant.",
ROUND(IFERROR(VALUE(TRIM(SUBSTITUTE(BM42,CHAR(160),""))),0),2)&gt;
ROUND(IFERROR(VALUE(TRIM(SUBSTITUTE(AD42,CHAR(160),""))),0),2),
"Attention : Le montant retenu HT est supérieur au montant HT présenté. Merci de revoir la ligne de dépense, plafonner son montant, ou justifier la reventillation HT / TVA.",
ROUND(IFERROR(VALUE(TRIM(SUBSTITUTE(BN42,CHAR(160),""))),0),2)&gt;
ROUND(IFERROR(VALUE(TRIM(SUBSTITUTE(AE42,CHAR(160),""))),0),2),
"Attention : Le montant TVA retenu est supérieur au montant TVA présenté. Merci de revoir la ligne de dépense, plafonner son montant, ou justifier la reventillation HT / TVA.",
ROUND(IFERROR(VALUE(TRIM(SUBSTITUTE(AF42,CHAR(160),""))),0),2)=0,
"",
ROUND(IFERROR(VALUE(TRIM(SUBSTITUTE(BO42,CHAR(160),""))),0),2)=
ROUND(IFERROR(VALUE(TRIM(SUBSTITUTE(AF42,CHAR(160),""))),0),2),
"OK",
ROUND(IFERROR(VALUE(TRIM(SUBSTITUTE(BO42,CHAR(160),""))),0),2)=0,
"Attention : Montant présenté entièrement rejeté.",
ROUND(IFERROR(VALUE(TRIM(SUBSTITUTE(BO42,CHAR(160),""))),0),2)&lt;
ROUND(IFERROR(VALUE(TRIM(SUBSTITUTE(AF42,CHAR(160),""))),0),2),
"Attention : Montant présenté partiellement rejeté.",
TRUE,""
))</f>
        <v/>
      </c>
      <c r="BS42" s="1202" t="str">
        <f t="shared" si="30"/>
        <v/>
      </c>
      <c r="BT42" s="1202" t="str">
        <f t="shared" si="31"/>
        <v/>
      </c>
      <c r="BU42" s="1216" t="str">
        <f t="shared" si="32"/>
        <v/>
      </c>
    </row>
    <row r="43" spans="2:73" ht="15.95" customHeight="1">
      <c r="B43" s="303">
        <v>34</v>
      </c>
      <c r="C43" s="11"/>
      <c r="D43" s="11"/>
      <c r="E43" s="22"/>
      <c r="F43" s="11"/>
      <c r="G43" s="11"/>
      <c r="H43" s="11"/>
      <c r="I43" s="22"/>
      <c r="J43" s="11"/>
      <c r="K43" s="2"/>
      <c r="L43" s="23"/>
      <c r="M43" s="11"/>
      <c r="N43" s="11"/>
      <c r="O43" s="11"/>
      <c r="P43" s="24"/>
      <c r="Q43" s="24"/>
      <c r="R43" s="300" t="str">
        <f t="shared" si="35"/>
        <v/>
      </c>
      <c r="S43" s="1205"/>
      <c r="T43" s="1205"/>
      <c r="U43" s="24"/>
      <c r="V43" s="24"/>
      <c r="W43" s="300" t="str">
        <f t="shared" si="33"/>
        <v/>
      </c>
      <c r="X43" s="1205"/>
      <c r="Y43" s="1205"/>
      <c r="Z43" s="24"/>
      <c r="AA43" s="24"/>
      <c r="AB43" s="300" t="str">
        <f t="shared" si="34"/>
        <v/>
      </c>
      <c r="AC43" s="11"/>
      <c r="AD43" s="1202" t="str" cm="1">
        <f t="array" ref="AD43">IF((_xlfn.IFS(TRIM(SUBSTITUTE(AC43,CHAR(160),""))="Devis 1",IFERROR(VALUE(TRIM(SUBSTITUTE(P43,CHAR(160),""))),0),TRIM(SUBSTITUTE(AC43,CHAR(160),""))="Devis 2",IFERROR(VALUE(TRIM(SUBSTITUTE(U43,CHAR(160),""))),0),TRIM(SUBSTITUTE(AC43,CHAR(160),""))="Devis 3",IFERROR(VALUE(TRIM(SUBSTITUTE(Z43,CHAR(160),""))),0),TRUE,0)*IFERROR(VALUE(TRIM(SUBSTITUTE(K43,CHAR(160),""))),0))=0,"",_xlfn.IFS(TRIM(SUBSTITUTE(AC43,CHAR(160),""))="Devis 1",IFERROR(VALUE(TRIM(SUBSTITUTE(P43,CHAR(160),""))),0),TRIM(SUBSTITUTE(AC43,CHAR(160),""))="Devis 2",IFERROR(VALUE(TRIM(SUBSTITUTE(U43,CHAR(160),""))),0),TRIM(SUBSTITUTE(AC43,CHAR(160),""))="Devis 3",IFERROR(VALUE(TRIM(SUBSTITUTE(Z43,CHAR(160),""))),0),TRUE,0)*IFERROR(VALUE(TRIM(SUBSTITUTE(K43,CHAR(160),""))),0))</f>
        <v/>
      </c>
      <c r="AE43" s="1202" t="str" cm="1">
        <f t="array" ref="AE43">IF((_xlfn.IFS(TRIM(SUBSTITUTE(AC43,CHAR(160),""))="Devis 1",IFERROR(VALUE(TRIM(SUBSTITUTE(Q43,CHAR(160),""))),0),TRIM(SUBSTITUTE(AC43,CHAR(160),""))="Devis 2",IFERROR(VALUE(TRIM(SUBSTITUTE(V43,CHAR(160),""))),0),TRIM(SUBSTITUTE(AC43,CHAR(160),""))="Devis 3",IFERROR(VALUE(TRIM(SUBSTITUTE(AA43,CHAR(160),""))),0),TRUE,0)*IFERROR(VALUE(TRIM(SUBSTITUTE(K43,CHAR(160),""))),0))=0,"",_xlfn.IFS(TRIM(SUBSTITUTE(AC43,CHAR(160),""))="Devis 1",IFERROR(VALUE(TRIM(SUBSTITUTE(Q43,CHAR(160),""))),0),TRIM(SUBSTITUTE(AD43,CHAR(160),""))="Devis 2",IFERROR(VALUE(TRIM(SUBSTITUTE(V43,CHAR(160),""))),0),TRIM(SUBSTITUTE(AD43,CHAR(160),""))="Devis 3",IFERROR(VALUE(TRIM(SUBSTITUTE(AA43,CHAR(160),""))),0),TRUE,0)*IFERROR(VALUE(TRIM(SUBSTITUTE(K43,CHAR(160),""))),0))</f>
        <v/>
      </c>
      <c r="AF43" s="1202" t="str" cm="1">
        <f t="array" ref="AF43">IF((_xlfn.IFS(TRIM(SUBSTITUTE(AC43,CHAR(160),""))="Devis 1",IFERROR(VALUE(TRIM(SUBSTITUTE(R43,CHAR(160),""))),0),TRIM(SUBSTITUTE(AC43,CHAR(160),""))="Devis 2",IFERROR(VALUE(TRIM(SUBSTITUTE(W43,CHAR(160),""))),0),TRIM(SUBSTITUTE(AC43,CHAR(160),""))="Devis 3",IFERROR(VALUE(TRIM(SUBSTITUTE(AB43,CHAR(160),""))),0),TRUE,0)*IFERROR(VALUE(TRIM(SUBSTITUTE(K43,CHAR(160),""))),0))=0,"",_xlfn.IFS(TRIM(SUBSTITUTE(AC43,CHAR(160),""))="Devis 1",IFERROR(VALUE(TRIM(SUBSTITUTE(R43,CHAR(160),""))),0),TRIM(SUBSTITUTE(AC43,CHAR(160),""))="Devis 2",IFERROR(VALUE(TRIM(SUBSTITUTE(W43,CHAR(160),""))),0),TRIM(SUBSTITUTE(AC43,CHAR(160),""))="Devis 3",IFERROR(VALUE(TRIM(SUBSTITUTE(AB43,CHAR(160),""))),0),TRUE,0)*IFERROR(VALUE(TRIM(SUBSTITUTE(K43,CHAR(160),""))),0))</f>
        <v/>
      </c>
      <c r="AG43" s="488"/>
      <c r="AH43" s="215" t="str">
        <f t="shared" si="0"/>
        <v/>
      </c>
      <c r="AI43" s="57" t="str">
        <f t="shared" si="1"/>
        <v/>
      </c>
      <c r="AJ43" s="57" t="str">
        <f t="shared" si="2"/>
        <v/>
      </c>
      <c r="AK43" s="57" t="str">
        <f t="shared" si="3"/>
        <v/>
      </c>
      <c r="AL43" s="57" t="str">
        <f t="shared" si="4"/>
        <v/>
      </c>
      <c r="AM43" s="57" t="str">
        <f t="shared" si="5"/>
        <v/>
      </c>
      <c r="AN43" s="57" t="str">
        <f t="shared" si="6"/>
        <v/>
      </c>
      <c r="AO43" s="57" t="str">
        <f t="shared" si="7"/>
        <v/>
      </c>
      <c r="AP43" s="57" t="str">
        <f t="shared" si="8"/>
        <v/>
      </c>
      <c r="AQ43" s="57" t="str">
        <f t="shared" si="9"/>
        <v/>
      </c>
      <c r="AR43" s="57" t="str">
        <f t="shared" si="10"/>
        <v/>
      </c>
      <c r="AS43" s="57" t="str">
        <f t="shared" si="11"/>
        <v/>
      </c>
      <c r="AT43" s="57" t="str">
        <f t="shared" si="12"/>
        <v/>
      </c>
      <c r="AU43" s="57" t="str">
        <f t="shared" si="13"/>
        <v/>
      </c>
      <c r="AV43" s="57" t="str">
        <f t="shared" si="14"/>
        <v/>
      </c>
      <c r="AW43" s="300" t="str">
        <f t="shared" si="15"/>
        <v/>
      </c>
      <c r="AX43" s="57" t="str">
        <f t="shared" si="16"/>
        <v/>
      </c>
      <c r="AY43" s="57" t="str">
        <f t="shared" si="17"/>
        <v/>
      </c>
      <c r="AZ43" s="57" t="str">
        <f t="shared" si="18"/>
        <v/>
      </c>
      <c r="BA43" s="57" t="str">
        <f t="shared" si="19"/>
        <v/>
      </c>
      <c r="BB43" s="300" t="str">
        <f t="shared" si="20"/>
        <v/>
      </c>
      <c r="BC43" s="57" t="str">
        <f t="shared" si="21"/>
        <v/>
      </c>
      <c r="BD43" s="57" t="str">
        <f t="shared" si="22"/>
        <v/>
      </c>
      <c r="BE43" s="57" t="str">
        <f t="shared" si="23"/>
        <v/>
      </c>
      <c r="BF43" s="57" t="str">
        <f t="shared" si="24"/>
        <v/>
      </c>
      <c r="BG43" s="300" t="str">
        <f t="shared" si="25"/>
        <v/>
      </c>
      <c r="BH43" s="1203" t="str">
        <f t="shared" si="26"/>
        <v/>
      </c>
      <c r="BI43" s="260"/>
      <c r="BJ43" s="300" t="str">
        <f t="shared" si="27"/>
        <v/>
      </c>
      <c r="BK43" s="300" t="str">
        <f t="shared" si="28"/>
        <v/>
      </c>
      <c r="BL43" s="300" t="str">
        <f t="shared" si="29"/>
        <v/>
      </c>
      <c r="BM43" s="1202" t="str" cm="1">
        <f t="array" ref="BM43">IF($AP43="","",IF((IFERROR(_xlfn.IFS($BH43="Devis 1",(IFERROR(VALUE(TRIM(SUBSTITUTE(AU43,CHAR(160),""))),0)),$BH43="Devis 2",(IFERROR(VALUE(TRIM(SUBSTITUTE(AZ43,CHAR(160),""))),0)),$BH43="Devis 3",(IFERROR(VALUE(TRIM(SUBSTITUTE(BE43,CHAR(160),""))),0))),0))*(IFERROR(VALUE(TRIM(SUBSTITUTE($AP43,CHAR(160),""))),0))=0,"",(IFERROR(_xlfn.IFS($BH43="Devis 1",(IFERROR(VALUE(TRIM(SUBSTITUTE(AU43,CHAR(160),""))),0)),$BH43="Devis 2",(IFERROR(VALUE(TRIM(SUBSTITUTE(AZ43,CHAR(160),""))),0)),$BH43="Devis 3",(IFERROR(VALUE(TRIM(SUBSTITUTE(BE43,CHAR(160),""))),0))),0))*(IFERROR(VALUE(TRIM(SUBSTITUTE($AP43,CHAR(160),""))),0))))</f>
        <v/>
      </c>
      <c r="BN43" s="1202" t="str" cm="1">
        <f t="array" ref="BN43">IF($AP43="","",IF((IFERROR(_xlfn.IFS(TRIM(SUBSTITUTE($BH43,CHAR(160),""))="Devis 1", IFERROR(VALUE(TRIM(SUBSTITUTE(AV43,CHAR(160),""))),0),TRIM(SUBSTITUTE($BH43,CHAR(160),""))="Devis 2", IFERROR(VALUE(TRIM(SUBSTITUTE(BA43,CHAR(160),""))),0),TRIM(SUBSTITUTE($BH43,CHAR(160),""))="Devis 3", IFERROR(VALUE(TRIM(SUBSTITUTE(BF43,CHAR(160),""))),0)),0) * IFERROR(VALUE(TRIM(SUBSTITUTE($AP43,CHAR(160),""))),0)) = 0,IF(BM43&lt;&gt;"",0,""),(IFERROR(_xlfn.IFS(TRIM(SUBSTITUTE($BH43,CHAR(160),""))="Devis 1", IFERROR(VALUE(TRIM(SUBSTITUTE(AV43,CHAR(160),""))),0),TRIM(SUBSTITUTE($BH43,CHAR(160),""))="Devis 2", IFERROR(VALUE(TRIM(SUBSTITUTE(BA43,CHAR(160),""))),0),TRIM(SUBSTITUTE($BH43,CHAR(160),""))="Devis 3", IFERROR(VALUE(TRIM(SUBSTITUTE(BF43,CHAR(160),""))),0)),0) * IFERROR(VALUE(TRIM(SUBSTITUTE($AP43,CHAR(160),""))),0))))</f>
        <v/>
      </c>
      <c r="BO43" s="1202" t="str" cm="1">
        <f t="array" ref="BO43">IF($AP43="","",IF(IFERROR(_xlfn.IFS($BH43="Devis 1",IFERROR(VALUE(TRIM(SUBSTITUTE(AW43,CHAR(160),""))),0),$BH43="Devis 2",IFERROR(VALUE(TRIM(SUBSTITUTE(BB43,CHAR(160),""))),0),$BH43="Devis 3",IFERROR(VALUE(TRIM(SUBSTITUTE(BG43,CHAR(160),""))),0)),0)*IFERROR(VALUE(TRIM(SUBSTITUTE($AP43,CHAR(160),""))),0)=0,"",IFERROR(_xlfn.IFS($BH43="Devis 1",IFERROR(VALUE(TRIM(SUBSTITUTE(AW43,CHAR(160),""))),0),$BH43="Devis 2",IFERROR(VALUE(TRIM(SUBSTITUTE(BB43,CHAR(160),""))),0),$BH43="Devis 3",IFERROR(VALUE(TRIM(SUBSTITUTE(BG43,CHAR(160),""))),0)),0)*IFERROR(VALUE(TRIM(SUBSTITUTE($AP43,CHAR(160),""))),0)))</f>
        <v/>
      </c>
      <c r="BP43" s="194"/>
      <c r="BQ43" s="219" t="str" cm="1">
        <f t="array" ref="BQ43">IF(OR(BO43="",BL43="",BM43="",BJ43="",BN43="",BK43=""),"",_xlfn.IFS(
ROUND(IFERROR(VALUE(TRIM(SUBSTITUTE(BO43,CHAR(160),""))),0),2)&gt;
ROUND(IFERROR(VALUE(TRIM(SUBSTITUTE(BL43,CHAR(160),""))),0),2),
"KO : Le montant retenu TTC est supérieur au montant raisonnable TTC. Merci de revoir la ligne de dépense ou plafonner son montant.",
ROUND(IFERROR(VALUE(TRIM(SUBSTITUTE(BM43,CHAR(160),""))),0),2)&gt;
ROUND(IFERROR(VALUE(TRIM(SUBSTITUTE(BJ43,CHAR(160),""))),0),2),
"Attention : Le montant retenu HT est supérieur au montant HT raisonnable. Merci de revoir la ligne de dépense, plafonner son montant, ou justifier la reventillation HT / TVA.",
ROUND(IFERROR(VALUE(TRIM(SUBSTITUTE(BN43,CHAR(160),""))),0),2)&gt;
ROUND(IFERROR(VALUE(TRIM(SUBSTITUTE(BK43,CHAR(160),""))),0),2),
"Attention : Le montant TVA retenu est supérieur au montant TVA raisonnable. Merci de revoir la ligne de dépense, plafonner son montant, ou justifier la reventillation HT / TVA.",
ROUND(IFERROR(VALUE(TRIM(SUBSTITUTE(BO43,CHAR(160),""))),0),2)&gt;
ROUND(IFERROR(VALUE(TRIM(SUBSTITUTE(MIN(R43,W43,AB43),CHAR(160),""))),0),2),
"Attention : Le devis retenu n'est pas le moins cher. Une justification de la part du porteur est nécessaire.",
ROUND(IFERROR(VALUE(TRIM(SUBSTITUTE(BO43,CHAR(160),""))),0),2)=0,
"Attention : montant présenté entièrement écarté",
ROUND(IFERROR(VALUE(TRIM(SUBSTITUTE(BL43,CHAR(160),""))),0),2)=
ROUND(IFERROR(VALUE(TRIM(SUBSTITUTE(BO43,CHAR(160),""))),0),2),
"OK",
ROUND(IFERROR(VALUE(TRIM(SUBSTITUTE(BL43,CHAR(160),""))),0),2)&gt;
ROUND(IFERROR(VALUE(TRIM(SUBSTITUTE(BO43,CHAR(160),""))),0),2),
" OK : Montant instruit inférieur au montant raisonnable.",
TRUE,""
))</f>
        <v/>
      </c>
      <c r="BR43" s="216" t="str" cm="1">
        <f t="array" ref="BR43">IF(OR(BO43="",AF43="",BM43="",AD43="",BN43="",AE43=""),"",_xlfn.IFS(
ROUND(IFERROR(VALUE(TRIM(SUBSTITUTE(BO43,CHAR(160),""))),0),2)&gt;
ROUND(IFERROR(VALUE(TRIM(SUBSTITUTE(AF43,CHAR(160),""))),0),2),
"KO : Le montant retenu TTC est supérieur au montant présenté TTC. Merci de revoir la ligne de dépense ou plafonner son montant.",
ROUND(IFERROR(VALUE(TRIM(SUBSTITUTE(BM43,CHAR(160),""))),0),2)&gt;
ROUND(IFERROR(VALUE(TRIM(SUBSTITUTE(AD43,CHAR(160),""))),0),2),
"Attention : Le montant retenu HT est supérieur au montant HT présenté. Merci de revoir la ligne de dépense, plafonner son montant, ou justifier la reventillation HT / TVA.",
ROUND(IFERROR(VALUE(TRIM(SUBSTITUTE(BN43,CHAR(160),""))),0),2)&gt;
ROUND(IFERROR(VALUE(TRIM(SUBSTITUTE(AE43,CHAR(160),""))),0),2),
"Attention : Le montant TVA retenu est supérieur au montant TVA présenté. Merci de revoir la ligne de dépense, plafonner son montant, ou justifier la reventillation HT / TVA.",
ROUND(IFERROR(VALUE(TRIM(SUBSTITUTE(AF43,CHAR(160),""))),0),2)=0,
"",
ROUND(IFERROR(VALUE(TRIM(SUBSTITUTE(BO43,CHAR(160),""))),0),2)=
ROUND(IFERROR(VALUE(TRIM(SUBSTITUTE(AF43,CHAR(160),""))),0),2),
"OK",
ROUND(IFERROR(VALUE(TRIM(SUBSTITUTE(BO43,CHAR(160),""))),0),2)=0,
"Attention : Montant présenté entièrement rejeté.",
ROUND(IFERROR(VALUE(TRIM(SUBSTITUTE(BO43,CHAR(160),""))),0),2)&lt;
ROUND(IFERROR(VALUE(TRIM(SUBSTITUTE(AF43,CHAR(160),""))),0),2),
"Attention : Montant présenté partiellement rejeté.",
TRUE,""
))</f>
        <v/>
      </c>
      <c r="BS43" s="1202" t="str">
        <f t="shared" si="30"/>
        <v/>
      </c>
      <c r="BT43" s="1202" t="str">
        <f t="shared" si="31"/>
        <v/>
      </c>
      <c r="BU43" s="1216" t="str">
        <f t="shared" si="32"/>
        <v/>
      </c>
    </row>
    <row r="44" spans="2:73" ht="15.95" customHeight="1">
      <c r="B44" s="303">
        <v>35</v>
      </c>
      <c r="C44" s="11"/>
      <c r="D44" s="11"/>
      <c r="E44" s="22"/>
      <c r="F44" s="11"/>
      <c r="G44" s="11"/>
      <c r="H44" s="11"/>
      <c r="I44" s="22"/>
      <c r="J44" s="11"/>
      <c r="K44" s="2"/>
      <c r="L44" s="23"/>
      <c r="M44" s="11"/>
      <c r="N44" s="11"/>
      <c r="O44" s="11"/>
      <c r="P44" s="24"/>
      <c r="Q44" s="24"/>
      <c r="R44" s="300" t="str">
        <f t="shared" si="35"/>
        <v/>
      </c>
      <c r="S44" s="1205"/>
      <c r="T44" s="1205"/>
      <c r="U44" s="24"/>
      <c r="V44" s="24"/>
      <c r="W44" s="300" t="str">
        <f t="shared" si="33"/>
        <v/>
      </c>
      <c r="X44" s="1205"/>
      <c r="Y44" s="1205"/>
      <c r="Z44" s="24"/>
      <c r="AA44" s="24"/>
      <c r="AB44" s="300" t="str">
        <f t="shared" si="34"/>
        <v/>
      </c>
      <c r="AC44" s="11"/>
      <c r="AD44" s="1202" t="str" cm="1">
        <f t="array" ref="AD44">IF((_xlfn.IFS(TRIM(SUBSTITUTE(AC44,CHAR(160),""))="Devis 1",IFERROR(VALUE(TRIM(SUBSTITUTE(P44,CHAR(160),""))),0),TRIM(SUBSTITUTE(AC44,CHAR(160),""))="Devis 2",IFERROR(VALUE(TRIM(SUBSTITUTE(U44,CHAR(160),""))),0),TRIM(SUBSTITUTE(AC44,CHAR(160),""))="Devis 3",IFERROR(VALUE(TRIM(SUBSTITUTE(Z44,CHAR(160),""))),0),TRUE,0)*IFERROR(VALUE(TRIM(SUBSTITUTE(K44,CHAR(160),""))),0))=0,"",_xlfn.IFS(TRIM(SUBSTITUTE(AC44,CHAR(160),""))="Devis 1",IFERROR(VALUE(TRIM(SUBSTITUTE(P44,CHAR(160),""))),0),TRIM(SUBSTITUTE(AC44,CHAR(160),""))="Devis 2",IFERROR(VALUE(TRIM(SUBSTITUTE(U44,CHAR(160),""))),0),TRIM(SUBSTITUTE(AC44,CHAR(160),""))="Devis 3",IFERROR(VALUE(TRIM(SUBSTITUTE(Z44,CHAR(160),""))),0),TRUE,0)*IFERROR(VALUE(TRIM(SUBSTITUTE(K44,CHAR(160),""))),0))</f>
        <v/>
      </c>
      <c r="AE44" s="1202" t="str" cm="1">
        <f t="array" ref="AE44">IF((_xlfn.IFS(TRIM(SUBSTITUTE(AC44,CHAR(160),""))="Devis 1",IFERROR(VALUE(TRIM(SUBSTITUTE(Q44,CHAR(160),""))),0),TRIM(SUBSTITUTE(AC44,CHAR(160),""))="Devis 2",IFERROR(VALUE(TRIM(SUBSTITUTE(V44,CHAR(160),""))),0),TRIM(SUBSTITUTE(AC44,CHAR(160),""))="Devis 3",IFERROR(VALUE(TRIM(SUBSTITUTE(AA44,CHAR(160),""))),0),TRUE,0)*IFERROR(VALUE(TRIM(SUBSTITUTE(K44,CHAR(160),""))),0))=0,"",_xlfn.IFS(TRIM(SUBSTITUTE(AC44,CHAR(160),""))="Devis 1",IFERROR(VALUE(TRIM(SUBSTITUTE(Q44,CHAR(160),""))),0),TRIM(SUBSTITUTE(AD44,CHAR(160),""))="Devis 2",IFERROR(VALUE(TRIM(SUBSTITUTE(V44,CHAR(160),""))),0),TRIM(SUBSTITUTE(AD44,CHAR(160),""))="Devis 3",IFERROR(VALUE(TRIM(SUBSTITUTE(AA44,CHAR(160),""))),0),TRUE,0)*IFERROR(VALUE(TRIM(SUBSTITUTE(K44,CHAR(160),""))),0))</f>
        <v/>
      </c>
      <c r="AF44" s="1202" t="str" cm="1">
        <f t="array" ref="AF44">IF((_xlfn.IFS(TRIM(SUBSTITUTE(AC44,CHAR(160),""))="Devis 1",IFERROR(VALUE(TRIM(SUBSTITUTE(R44,CHAR(160),""))),0),TRIM(SUBSTITUTE(AC44,CHAR(160),""))="Devis 2",IFERROR(VALUE(TRIM(SUBSTITUTE(W44,CHAR(160),""))),0),TRIM(SUBSTITUTE(AC44,CHAR(160),""))="Devis 3",IFERROR(VALUE(TRIM(SUBSTITUTE(AB44,CHAR(160),""))),0),TRUE,0)*IFERROR(VALUE(TRIM(SUBSTITUTE(K44,CHAR(160),""))),0))=0,"",_xlfn.IFS(TRIM(SUBSTITUTE(AC44,CHAR(160),""))="Devis 1",IFERROR(VALUE(TRIM(SUBSTITUTE(R44,CHAR(160),""))),0),TRIM(SUBSTITUTE(AC44,CHAR(160),""))="Devis 2",IFERROR(VALUE(TRIM(SUBSTITUTE(W44,CHAR(160),""))),0),TRIM(SUBSTITUTE(AC44,CHAR(160),""))="Devis 3",IFERROR(VALUE(TRIM(SUBSTITUTE(AB44,CHAR(160),""))),0),TRUE,0)*IFERROR(VALUE(TRIM(SUBSTITUTE(K44,CHAR(160),""))),0))</f>
        <v/>
      </c>
      <c r="AG44" s="488"/>
      <c r="AH44" s="215" t="str">
        <f t="shared" si="0"/>
        <v/>
      </c>
      <c r="AI44" s="57" t="str">
        <f t="shared" si="1"/>
        <v/>
      </c>
      <c r="AJ44" s="57" t="str">
        <f t="shared" si="2"/>
        <v/>
      </c>
      <c r="AK44" s="57" t="str">
        <f t="shared" si="3"/>
        <v/>
      </c>
      <c r="AL44" s="57" t="str">
        <f t="shared" si="4"/>
        <v/>
      </c>
      <c r="AM44" s="57" t="str">
        <f t="shared" si="5"/>
        <v/>
      </c>
      <c r="AN44" s="57" t="str">
        <f t="shared" si="6"/>
        <v/>
      </c>
      <c r="AO44" s="57" t="str">
        <f t="shared" si="7"/>
        <v/>
      </c>
      <c r="AP44" s="57" t="str">
        <f t="shared" si="8"/>
        <v/>
      </c>
      <c r="AQ44" s="57" t="str">
        <f t="shared" si="9"/>
        <v/>
      </c>
      <c r="AR44" s="57" t="str">
        <f t="shared" si="10"/>
        <v/>
      </c>
      <c r="AS44" s="57" t="str">
        <f t="shared" si="11"/>
        <v/>
      </c>
      <c r="AT44" s="57" t="str">
        <f t="shared" si="12"/>
        <v/>
      </c>
      <c r="AU44" s="57" t="str">
        <f t="shared" si="13"/>
        <v/>
      </c>
      <c r="AV44" s="57" t="str">
        <f t="shared" si="14"/>
        <v/>
      </c>
      <c r="AW44" s="300" t="str">
        <f t="shared" si="15"/>
        <v/>
      </c>
      <c r="AX44" s="57" t="str">
        <f t="shared" si="16"/>
        <v/>
      </c>
      <c r="AY44" s="57" t="str">
        <f t="shared" si="17"/>
        <v/>
      </c>
      <c r="AZ44" s="57" t="str">
        <f t="shared" si="18"/>
        <v/>
      </c>
      <c r="BA44" s="57" t="str">
        <f t="shared" si="19"/>
        <v/>
      </c>
      <c r="BB44" s="300" t="str">
        <f t="shared" si="20"/>
        <v/>
      </c>
      <c r="BC44" s="57" t="str">
        <f t="shared" si="21"/>
        <v/>
      </c>
      <c r="BD44" s="57" t="str">
        <f t="shared" si="22"/>
        <v/>
      </c>
      <c r="BE44" s="57" t="str">
        <f t="shared" si="23"/>
        <v/>
      </c>
      <c r="BF44" s="57" t="str">
        <f t="shared" si="24"/>
        <v/>
      </c>
      <c r="BG44" s="300" t="str">
        <f t="shared" si="25"/>
        <v/>
      </c>
      <c r="BH44" s="1203" t="str">
        <f t="shared" si="26"/>
        <v/>
      </c>
      <c r="BI44" s="260"/>
      <c r="BJ44" s="300" t="str">
        <f t="shared" si="27"/>
        <v/>
      </c>
      <c r="BK44" s="300" t="str">
        <f t="shared" si="28"/>
        <v/>
      </c>
      <c r="BL44" s="300" t="str">
        <f t="shared" si="29"/>
        <v/>
      </c>
      <c r="BM44" s="1202" t="str" cm="1">
        <f t="array" ref="BM44">IF($AP44="","",IF((IFERROR(_xlfn.IFS($BH44="Devis 1",(IFERROR(VALUE(TRIM(SUBSTITUTE(AU44,CHAR(160),""))),0)),$BH44="Devis 2",(IFERROR(VALUE(TRIM(SUBSTITUTE(AZ44,CHAR(160),""))),0)),$BH44="Devis 3",(IFERROR(VALUE(TRIM(SUBSTITUTE(BE44,CHAR(160),""))),0))),0))*(IFERROR(VALUE(TRIM(SUBSTITUTE($AP44,CHAR(160),""))),0))=0,"",(IFERROR(_xlfn.IFS($BH44="Devis 1",(IFERROR(VALUE(TRIM(SUBSTITUTE(AU44,CHAR(160),""))),0)),$BH44="Devis 2",(IFERROR(VALUE(TRIM(SUBSTITUTE(AZ44,CHAR(160),""))),0)),$BH44="Devis 3",(IFERROR(VALUE(TRIM(SUBSTITUTE(BE44,CHAR(160),""))),0))),0))*(IFERROR(VALUE(TRIM(SUBSTITUTE($AP44,CHAR(160),""))),0))))</f>
        <v/>
      </c>
      <c r="BN44" s="1202" t="str" cm="1">
        <f t="array" ref="BN44">IF($AP44="","",IF((IFERROR(_xlfn.IFS(TRIM(SUBSTITUTE($BH44,CHAR(160),""))="Devis 1", IFERROR(VALUE(TRIM(SUBSTITUTE(AV44,CHAR(160),""))),0),TRIM(SUBSTITUTE($BH44,CHAR(160),""))="Devis 2", IFERROR(VALUE(TRIM(SUBSTITUTE(BA44,CHAR(160),""))),0),TRIM(SUBSTITUTE($BH44,CHAR(160),""))="Devis 3", IFERROR(VALUE(TRIM(SUBSTITUTE(BF44,CHAR(160),""))),0)),0) * IFERROR(VALUE(TRIM(SUBSTITUTE($AP44,CHAR(160),""))),0)) = 0,IF(BM44&lt;&gt;"",0,""),(IFERROR(_xlfn.IFS(TRIM(SUBSTITUTE($BH44,CHAR(160),""))="Devis 1", IFERROR(VALUE(TRIM(SUBSTITUTE(AV44,CHAR(160),""))),0),TRIM(SUBSTITUTE($BH44,CHAR(160),""))="Devis 2", IFERROR(VALUE(TRIM(SUBSTITUTE(BA44,CHAR(160),""))),0),TRIM(SUBSTITUTE($BH44,CHAR(160),""))="Devis 3", IFERROR(VALUE(TRIM(SUBSTITUTE(BF44,CHAR(160),""))),0)),0) * IFERROR(VALUE(TRIM(SUBSTITUTE($AP44,CHAR(160),""))),0))))</f>
        <v/>
      </c>
      <c r="BO44" s="1202" t="str" cm="1">
        <f t="array" ref="BO44">IF($AP44="","",IF(IFERROR(_xlfn.IFS($BH44="Devis 1",IFERROR(VALUE(TRIM(SUBSTITUTE(AW44,CHAR(160),""))),0),$BH44="Devis 2",IFERROR(VALUE(TRIM(SUBSTITUTE(BB44,CHAR(160),""))),0),$BH44="Devis 3",IFERROR(VALUE(TRIM(SUBSTITUTE(BG44,CHAR(160),""))),0)),0)*IFERROR(VALUE(TRIM(SUBSTITUTE($AP44,CHAR(160),""))),0)=0,"",IFERROR(_xlfn.IFS($BH44="Devis 1",IFERROR(VALUE(TRIM(SUBSTITUTE(AW44,CHAR(160),""))),0),$BH44="Devis 2",IFERROR(VALUE(TRIM(SUBSTITUTE(BB44,CHAR(160),""))),0),$BH44="Devis 3",IFERROR(VALUE(TRIM(SUBSTITUTE(BG44,CHAR(160),""))),0)),0)*IFERROR(VALUE(TRIM(SUBSTITUTE($AP44,CHAR(160),""))),0)))</f>
        <v/>
      </c>
      <c r="BP44" s="194"/>
      <c r="BQ44" s="219" t="str" cm="1">
        <f t="array" ref="BQ44">IF(OR(BO44="",BL44="",BM44="",BJ44="",BN44="",BK44=""),"",_xlfn.IFS(
ROUND(IFERROR(VALUE(TRIM(SUBSTITUTE(BO44,CHAR(160),""))),0),2)&gt;
ROUND(IFERROR(VALUE(TRIM(SUBSTITUTE(BL44,CHAR(160),""))),0),2),
"KO : Le montant retenu TTC est supérieur au montant raisonnable TTC. Merci de revoir la ligne de dépense ou plafonner son montant.",
ROUND(IFERROR(VALUE(TRIM(SUBSTITUTE(BM44,CHAR(160),""))),0),2)&gt;
ROUND(IFERROR(VALUE(TRIM(SUBSTITUTE(BJ44,CHAR(160),""))),0),2),
"Attention : Le montant retenu HT est supérieur au montant HT raisonnable. Merci de revoir la ligne de dépense, plafonner son montant, ou justifier la reventillation HT / TVA.",
ROUND(IFERROR(VALUE(TRIM(SUBSTITUTE(BN44,CHAR(160),""))),0),2)&gt;
ROUND(IFERROR(VALUE(TRIM(SUBSTITUTE(BK44,CHAR(160),""))),0),2),
"Attention : Le montant TVA retenu est supérieur au montant TVA raisonnable. Merci de revoir la ligne de dépense, plafonner son montant, ou justifier la reventillation HT / TVA.",
ROUND(IFERROR(VALUE(TRIM(SUBSTITUTE(BO44,CHAR(160),""))),0),2)&gt;
ROUND(IFERROR(VALUE(TRIM(SUBSTITUTE(MIN(R44,W44,AB44),CHAR(160),""))),0),2),
"Attention : Le devis retenu n'est pas le moins cher. Une justification de la part du porteur est nécessaire.",
ROUND(IFERROR(VALUE(TRIM(SUBSTITUTE(BO44,CHAR(160),""))),0),2)=0,
"Attention : montant présenté entièrement écarté",
ROUND(IFERROR(VALUE(TRIM(SUBSTITUTE(BL44,CHAR(160),""))),0),2)=
ROUND(IFERROR(VALUE(TRIM(SUBSTITUTE(BO44,CHAR(160),""))),0),2),
"OK",
ROUND(IFERROR(VALUE(TRIM(SUBSTITUTE(BL44,CHAR(160),""))),0),2)&gt;
ROUND(IFERROR(VALUE(TRIM(SUBSTITUTE(BO44,CHAR(160),""))),0),2),
" OK : Montant instruit inférieur au montant raisonnable.",
TRUE,""
))</f>
        <v/>
      </c>
      <c r="BR44" s="216" t="str" cm="1">
        <f t="array" ref="BR44">IF(OR(BO44="",AF44="",BM44="",AD44="",BN44="",AE44=""),"",_xlfn.IFS(
ROUND(IFERROR(VALUE(TRIM(SUBSTITUTE(BO44,CHAR(160),""))),0),2)&gt;
ROUND(IFERROR(VALUE(TRIM(SUBSTITUTE(AF44,CHAR(160),""))),0),2),
"KO : Le montant retenu TTC est supérieur au montant présenté TTC. Merci de revoir la ligne de dépense ou plafonner son montant.",
ROUND(IFERROR(VALUE(TRIM(SUBSTITUTE(BM44,CHAR(160),""))),0),2)&gt;
ROUND(IFERROR(VALUE(TRIM(SUBSTITUTE(AD44,CHAR(160),""))),0),2),
"Attention : Le montant retenu HT est supérieur au montant HT présenté. Merci de revoir la ligne de dépense, plafonner son montant, ou justifier la reventillation HT / TVA.",
ROUND(IFERROR(VALUE(TRIM(SUBSTITUTE(BN44,CHAR(160),""))),0),2)&gt;
ROUND(IFERROR(VALUE(TRIM(SUBSTITUTE(AE44,CHAR(160),""))),0),2),
"Attention : Le montant TVA retenu est supérieur au montant TVA présenté. Merci de revoir la ligne de dépense, plafonner son montant, ou justifier la reventillation HT / TVA.",
ROUND(IFERROR(VALUE(TRIM(SUBSTITUTE(AF44,CHAR(160),""))),0),2)=0,
"",
ROUND(IFERROR(VALUE(TRIM(SUBSTITUTE(BO44,CHAR(160),""))),0),2)=
ROUND(IFERROR(VALUE(TRIM(SUBSTITUTE(AF44,CHAR(160),""))),0),2),
"OK",
ROUND(IFERROR(VALUE(TRIM(SUBSTITUTE(BO44,CHAR(160),""))),0),2)=0,
"Attention : Montant présenté entièrement rejeté.",
ROUND(IFERROR(VALUE(TRIM(SUBSTITUTE(BO44,CHAR(160),""))),0),2)&lt;
ROUND(IFERROR(VALUE(TRIM(SUBSTITUTE(AF44,CHAR(160),""))),0),2),
"Attention : Montant présenté partiellement rejeté.",
TRUE,""
))</f>
        <v/>
      </c>
      <c r="BS44" s="1202" t="str">
        <f t="shared" si="30"/>
        <v/>
      </c>
      <c r="BT44" s="1202" t="str">
        <f t="shared" si="31"/>
        <v/>
      </c>
      <c r="BU44" s="1216" t="str">
        <f t="shared" si="32"/>
        <v/>
      </c>
    </row>
    <row r="45" spans="2:73" ht="15.95" customHeight="1">
      <c r="B45" s="303">
        <v>36</v>
      </c>
      <c r="C45" s="11"/>
      <c r="D45" s="11"/>
      <c r="E45" s="22"/>
      <c r="F45" s="11"/>
      <c r="G45" s="11"/>
      <c r="H45" s="11"/>
      <c r="I45" s="22"/>
      <c r="J45" s="11"/>
      <c r="K45" s="2"/>
      <c r="L45" s="23"/>
      <c r="M45" s="11"/>
      <c r="N45" s="11"/>
      <c r="O45" s="11"/>
      <c r="P45" s="24"/>
      <c r="Q45" s="24"/>
      <c r="R45" s="300" t="str">
        <f t="shared" si="35"/>
        <v/>
      </c>
      <c r="S45" s="1205"/>
      <c r="T45" s="1205"/>
      <c r="U45" s="24"/>
      <c r="V45" s="24"/>
      <c r="W45" s="300" t="str">
        <f t="shared" si="33"/>
        <v/>
      </c>
      <c r="X45" s="1205"/>
      <c r="Y45" s="1205"/>
      <c r="Z45" s="24"/>
      <c r="AA45" s="24"/>
      <c r="AB45" s="300" t="str">
        <f t="shared" si="34"/>
        <v/>
      </c>
      <c r="AC45" s="11"/>
      <c r="AD45" s="1202" t="str" cm="1">
        <f t="array" ref="AD45">IF((_xlfn.IFS(TRIM(SUBSTITUTE(AC45,CHAR(160),""))="Devis 1",IFERROR(VALUE(TRIM(SUBSTITUTE(P45,CHAR(160),""))),0),TRIM(SUBSTITUTE(AC45,CHAR(160),""))="Devis 2",IFERROR(VALUE(TRIM(SUBSTITUTE(U45,CHAR(160),""))),0),TRIM(SUBSTITUTE(AC45,CHAR(160),""))="Devis 3",IFERROR(VALUE(TRIM(SUBSTITUTE(Z45,CHAR(160),""))),0),TRUE,0)*IFERROR(VALUE(TRIM(SUBSTITUTE(K45,CHAR(160),""))),0))=0,"",_xlfn.IFS(TRIM(SUBSTITUTE(AC45,CHAR(160),""))="Devis 1",IFERROR(VALUE(TRIM(SUBSTITUTE(P45,CHAR(160),""))),0),TRIM(SUBSTITUTE(AC45,CHAR(160),""))="Devis 2",IFERROR(VALUE(TRIM(SUBSTITUTE(U45,CHAR(160),""))),0),TRIM(SUBSTITUTE(AC45,CHAR(160),""))="Devis 3",IFERROR(VALUE(TRIM(SUBSTITUTE(Z45,CHAR(160),""))),0),TRUE,0)*IFERROR(VALUE(TRIM(SUBSTITUTE(K45,CHAR(160),""))),0))</f>
        <v/>
      </c>
      <c r="AE45" s="1202" t="str" cm="1">
        <f t="array" ref="AE45">IF((_xlfn.IFS(TRIM(SUBSTITUTE(AC45,CHAR(160),""))="Devis 1",IFERROR(VALUE(TRIM(SUBSTITUTE(Q45,CHAR(160),""))),0),TRIM(SUBSTITUTE(AC45,CHAR(160),""))="Devis 2",IFERROR(VALUE(TRIM(SUBSTITUTE(V45,CHAR(160),""))),0),TRIM(SUBSTITUTE(AC45,CHAR(160),""))="Devis 3",IFERROR(VALUE(TRIM(SUBSTITUTE(AA45,CHAR(160),""))),0),TRUE,0)*IFERROR(VALUE(TRIM(SUBSTITUTE(K45,CHAR(160),""))),0))=0,"",_xlfn.IFS(TRIM(SUBSTITUTE(AC45,CHAR(160),""))="Devis 1",IFERROR(VALUE(TRIM(SUBSTITUTE(Q45,CHAR(160),""))),0),TRIM(SUBSTITUTE(AD45,CHAR(160),""))="Devis 2",IFERROR(VALUE(TRIM(SUBSTITUTE(V45,CHAR(160),""))),0),TRIM(SUBSTITUTE(AD45,CHAR(160),""))="Devis 3",IFERROR(VALUE(TRIM(SUBSTITUTE(AA45,CHAR(160),""))),0),TRUE,0)*IFERROR(VALUE(TRIM(SUBSTITUTE(K45,CHAR(160),""))),0))</f>
        <v/>
      </c>
      <c r="AF45" s="1202" t="str" cm="1">
        <f t="array" ref="AF45">IF((_xlfn.IFS(TRIM(SUBSTITUTE(AC45,CHAR(160),""))="Devis 1",IFERROR(VALUE(TRIM(SUBSTITUTE(R45,CHAR(160),""))),0),TRIM(SUBSTITUTE(AC45,CHAR(160),""))="Devis 2",IFERROR(VALUE(TRIM(SUBSTITUTE(W45,CHAR(160),""))),0),TRIM(SUBSTITUTE(AC45,CHAR(160),""))="Devis 3",IFERROR(VALUE(TRIM(SUBSTITUTE(AB45,CHAR(160),""))),0),TRUE,0)*IFERROR(VALUE(TRIM(SUBSTITUTE(K45,CHAR(160),""))),0))=0,"",_xlfn.IFS(TRIM(SUBSTITUTE(AC45,CHAR(160),""))="Devis 1",IFERROR(VALUE(TRIM(SUBSTITUTE(R45,CHAR(160),""))),0),TRIM(SUBSTITUTE(AC45,CHAR(160),""))="Devis 2",IFERROR(VALUE(TRIM(SUBSTITUTE(W45,CHAR(160),""))),0),TRIM(SUBSTITUTE(AC45,CHAR(160),""))="Devis 3",IFERROR(VALUE(TRIM(SUBSTITUTE(AB45,CHAR(160),""))),0),TRUE,0)*IFERROR(VALUE(TRIM(SUBSTITUTE(K45,CHAR(160),""))),0))</f>
        <v/>
      </c>
      <c r="AG45" s="488"/>
      <c r="AH45" s="215" t="str">
        <f t="shared" si="0"/>
        <v/>
      </c>
      <c r="AI45" s="57" t="str">
        <f t="shared" si="1"/>
        <v/>
      </c>
      <c r="AJ45" s="57" t="str">
        <f t="shared" si="2"/>
        <v/>
      </c>
      <c r="AK45" s="57" t="str">
        <f t="shared" si="3"/>
        <v/>
      </c>
      <c r="AL45" s="57" t="str">
        <f t="shared" si="4"/>
        <v/>
      </c>
      <c r="AM45" s="57" t="str">
        <f t="shared" si="5"/>
        <v/>
      </c>
      <c r="AN45" s="57" t="str">
        <f t="shared" si="6"/>
        <v/>
      </c>
      <c r="AO45" s="57" t="str">
        <f t="shared" si="7"/>
        <v/>
      </c>
      <c r="AP45" s="57" t="str">
        <f t="shared" si="8"/>
        <v/>
      </c>
      <c r="AQ45" s="57" t="str">
        <f t="shared" si="9"/>
        <v/>
      </c>
      <c r="AR45" s="57" t="str">
        <f t="shared" si="10"/>
        <v/>
      </c>
      <c r="AS45" s="57" t="str">
        <f t="shared" si="11"/>
        <v/>
      </c>
      <c r="AT45" s="57" t="str">
        <f t="shared" si="12"/>
        <v/>
      </c>
      <c r="AU45" s="57" t="str">
        <f t="shared" si="13"/>
        <v/>
      </c>
      <c r="AV45" s="57" t="str">
        <f t="shared" si="14"/>
        <v/>
      </c>
      <c r="AW45" s="300" t="str">
        <f t="shared" si="15"/>
        <v/>
      </c>
      <c r="AX45" s="57" t="str">
        <f t="shared" si="16"/>
        <v/>
      </c>
      <c r="AY45" s="57" t="str">
        <f t="shared" si="17"/>
        <v/>
      </c>
      <c r="AZ45" s="57" t="str">
        <f t="shared" si="18"/>
        <v/>
      </c>
      <c r="BA45" s="57" t="str">
        <f t="shared" si="19"/>
        <v/>
      </c>
      <c r="BB45" s="300" t="str">
        <f t="shared" si="20"/>
        <v/>
      </c>
      <c r="BC45" s="57" t="str">
        <f t="shared" si="21"/>
        <v/>
      </c>
      <c r="BD45" s="57" t="str">
        <f t="shared" si="22"/>
        <v/>
      </c>
      <c r="BE45" s="57" t="str">
        <f t="shared" si="23"/>
        <v/>
      </c>
      <c r="BF45" s="57" t="str">
        <f t="shared" si="24"/>
        <v/>
      </c>
      <c r="BG45" s="300" t="str">
        <f t="shared" si="25"/>
        <v/>
      </c>
      <c r="BH45" s="1203" t="str">
        <f t="shared" si="26"/>
        <v/>
      </c>
      <c r="BI45" s="260"/>
      <c r="BJ45" s="300" t="str">
        <f t="shared" si="27"/>
        <v/>
      </c>
      <c r="BK45" s="300" t="str">
        <f t="shared" si="28"/>
        <v/>
      </c>
      <c r="BL45" s="300" t="str">
        <f t="shared" si="29"/>
        <v/>
      </c>
      <c r="BM45" s="1202" t="str" cm="1">
        <f t="array" ref="BM45">IF($AP45="","",IF((IFERROR(_xlfn.IFS($BH45="Devis 1",(IFERROR(VALUE(TRIM(SUBSTITUTE(AU45,CHAR(160),""))),0)),$BH45="Devis 2",(IFERROR(VALUE(TRIM(SUBSTITUTE(AZ45,CHAR(160),""))),0)),$BH45="Devis 3",(IFERROR(VALUE(TRIM(SUBSTITUTE(BE45,CHAR(160),""))),0))),0))*(IFERROR(VALUE(TRIM(SUBSTITUTE($AP45,CHAR(160),""))),0))=0,"",(IFERROR(_xlfn.IFS($BH45="Devis 1",(IFERROR(VALUE(TRIM(SUBSTITUTE(AU45,CHAR(160),""))),0)),$BH45="Devis 2",(IFERROR(VALUE(TRIM(SUBSTITUTE(AZ45,CHAR(160),""))),0)),$BH45="Devis 3",(IFERROR(VALUE(TRIM(SUBSTITUTE(BE45,CHAR(160),""))),0))),0))*(IFERROR(VALUE(TRIM(SUBSTITUTE($AP45,CHAR(160),""))),0))))</f>
        <v/>
      </c>
      <c r="BN45" s="1202" t="str" cm="1">
        <f t="array" ref="BN45">IF($AP45="","",IF((IFERROR(_xlfn.IFS(TRIM(SUBSTITUTE($BH45,CHAR(160),""))="Devis 1", IFERROR(VALUE(TRIM(SUBSTITUTE(AV45,CHAR(160),""))),0),TRIM(SUBSTITUTE($BH45,CHAR(160),""))="Devis 2", IFERROR(VALUE(TRIM(SUBSTITUTE(BA45,CHAR(160),""))),0),TRIM(SUBSTITUTE($BH45,CHAR(160),""))="Devis 3", IFERROR(VALUE(TRIM(SUBSTITUTE(BF45,CHAR(160),""))),0)),0) * IFERROR(VALUE(TRIM(SUBSTITUTE($AP45,CHAR(160),""))),0)) = 0,IF(BM45&lt;&gt;"",0,""),(IFERROR(_xlfn.IFS(TRIM(SUBSTITUTE($BH45,CHAR(160),""))="Devis 1", IFERROR(VALUE(TRIM(SUBSTITUTE(AV45,CHAR(160),""))),0),TRIM(SUBSTITUTE($BH45,CHAR(160),""))="Devis 2", IFERROR(VALUE(TRIM(SUBSTITUTE(BA45,CHAR(160),""))),0),TRIM(SUBSTITUTE($BH45,CHAR(160),""))="Devis 3", IFERROR(VALUE(TRIM(SUBSTITUTE(BF45,CHAR(160),""))),0)),0) * IFERROR(VALUE(TRIM(SUBSTITUTE($AP45,CHAR(160),""))),0))))</f>
        <v/>
      </c>
      <c r="BO45" s="1202" t="str" cm="1">
        <f t="array" ref="BO45">IF($AP45="","",IF(IFERROR(_xlfn.IFS($BH45="Devis 1",IFERROR(VALUE(TRIM(SUBSTITUTE(AW45,CHAR(160),""))),0),$BH45="Devis 2",IFERROR(VALUE(TRIM(SUBSTITUTE(BB45,CHAR(160),""))),0),$BH45="Devis 3",IFERROR(VALUE(TRIM(SUBSTITUTE(BG45,CHAR(160),""))),0)),0)*IFERROR(VALUE(TRIM(SUBSTITUTE($AP45,CHAR(160),""))),0)=0,"",IFERROR(_xlfn.IFS($BH45="Devis 1",IFERROR(VALUE(TRIM(SUBSTITUTE(AW45,CHAR(160),""))),0),$BH45="Devis 2",IFERROR(VALUE(TRIM(SUBSTITUTE(BB45,CHAR(160),""))),0),$BH45="Devis 3",IFERROR(VALUE(TRIM(SUBSTITUTE(BG45,CHAR(160),""))),0)),0)*IFERROR(VALUE(TRIM(SUBSTITUTE($AP45,CHAR(160),""))),0)))</f>
        <v/>
      </c>
      <c r="BP45" s="194"/>
      <c r="BQ45" s="219" t="str" cm="1">
        <f t="array" ref="BQ45">IF(OR(BO45="",BL45="",BM45="",BJ45="",BN45="",BK45=""),"",_xlfn.IFS(
ROUND(IFERROR(VALUE(TRIM(SUBSTITUTE(BO45,CHAR(160),""))),0),2)&gt;
ROUND(IFERROR(VALUE(TRIM(SUBSTITUTE(BL45,CHAR(160),""))),0),2),
"KO : Le montant retenu TTC est supérieur au montant raisonnable TTC. Merci de revoir la ligne de dépense ou plafonner son montant.",
ROUND(IFERROR(VALUE(TRIM(SUBSTITUTE(BM45,CHAR(160),""))),0),2)&gt;
ROUND(IFERROR(VALUE(TRIM(SUBSTITUTE(BJ45,CHAR(160),""))),0),2),
"Attention : Le montant retenu HT est supérieur au montant HT raisonnable. Merci de revoir la ligne de dépense, plafonner son montant, ou justifier la reventillation HT / TVA.",
ROUND(IFERROR(VALUE(TRIM(SUBSTITUTE(BN45,CHAR(160),""))),0),2)&gt;
ROUND(IFERROR(VALUE(TRIM(SUBSTITUTE(BK45,CHAR(160),""))),0),2),
"Attention : Le montant TVA retenu est supérieur au montant TVA raisonnable. Merci de revoir la ligne de dépense, plafonner son montant, ou justifier la reventillation HT / TVA.",
ROUND(IFERROR(VALUE(TRIM(SUBSTITUTE(BO45,CHAR(160),""))),0),2)&gt;
ROUND(IFERROR(VALUE(TRIM(SUBSTITUTE(MIN(R45,W45,AB45),CHAR(160),""))),0),2),
"Attention : Le devis retenu n'est pas le moins cher. Une justification de la part du porteur est nécessaire.",
ROUND(IFERROR(VALUE(TRIM(SUBSTITUTE(BO45,CHAR(160),""))),0),2)=0,
"Attention : montant présenté entièrement écarté",
ROUND(IFERROR(VALUE(TRIM(SUBSTITUTE(BL45,CHAR(160),""))),0),2)=
ROUND(IFERROR(VALUE(TRIM(SUBSTITUTE(BO45,CHAR(160),""))),0),2),
"OK",
ROUND(IFERROR(VALUE(TRIM(SUBSTITUTE(BL45,CHAR(160),""))),0),2)&gt;
ROUND(IFERROR(VALUE(TRIM(SUBSTITUTE(BO45,CHAR(160),""))),0),2),
" OK : Montant instruit inférieur au montant raisonnable.",
TRUE,""
))</f>
        <v/>
      </c>
      <c r="BR45" s="216" t="str" cm="1">
        <f t="array" ref="BR45">IF(OR(BO45="",AF45="",BM45="",AD45="",BN45="",AE45=""),"",_xlfn.IFS(
ROUND(IFERROR(VALUE(TRIM(SUBSTITUTE(BO45,CHAR(160),""))),0),2)&gt;
ROUND(IFERROR(VALUE(TRIM(SUBSTITUTE(AF45,CHAR(160),""))),0),2),
"KO : Le montant retenu TTC est supérieur au montant présenté TTC. Merci de revoir la ligne de dépense ou plafonner son montant.",
ROUND(IFERROR(VALUE(TRIM(SUBSTITUTE(BM45,CHAR(160),""))),0),2)&gt;
ROUND(IFERROR(VALUE(TRIM(SUBSTITUTE(AD45,CHAR(160),""))),0),2),
"Attention : Le montant retenu HT est supérieur au montant HT présenté. Merci de revoir la ligne de dépense, plafonner son montant, ou justifier la reventillation HT / TVA.",
ROUND(IFERROR(VALUE(TRIM(SUBSTITUTE(BN45,CHAR(160),""))),0),2)&gt;
ROUND(IFERROR(VALUE(TRIM(SUBSTITUTE(AE45,CHAR(160),""))),0),2),
"Attention : Le montant TVA retenu est supérieur au montant TVA présenté. Merci de revoir la ligne de dépense, plafonner son montant, ou justifier la reventillation HT / TVA.",
ROUND(IFERROR(VALUE(TRIM(SUBSTITUTE(AF45,CHAR(160),""))),0),2)=0,
"",
ROUND(IFERROR(VALUE(TRIM(SUBSTITUTE(BO45,CHAR(160),""))),0),2)=
ROUND(IFERROR(VALUE(TRIM(SUBSTITUTE(AF45,CHAR(160),""))),0),2),
"OK",
ROUND(IFERROR(VALUE(TRIM(SUBSTITUTE(BO45,CHAR(160),""))),0),2)=0,
"Attention : Montant présenté entièrement rejeté.",
ROUND(IFERROR(VALUE(TRIM(SUBSTITUTE(BO45,CHAR(160),""))),0),2)&lt;
ROUND(IFERROR(VALUE(TRIM(SUBSTITUTE(AF45,CHAR(160),""))),0),2),
"Attention : Montant présenté partiellement rejeté.",
TRUE,""
))</f>
        <v/>
      </c>
      <c r="BS45" s="1202" t="str">
        <f t="shared" si="30"/>
        <v/>
      </c>
      <c r="BT45" s="1202" t="str">
        <f t="shared" si="31"/>
        <v/>
      </c>
      <c r="BU45" s="1216" t="str">
        <f t="shared" si="32"/>
        <v/>
      </c>
    </row>
    <row r="46" spans="2:73" ht="15.95" customHeight="1">
      <c r="B46" s="303">
        <v>37</v>
      </c>
      <c r="C46" s="11"/>
      <c r="D46" s="11"/>
      <c r="E46" s="22"/>
      <c r="F46" s="11"/>
      <c r="G46" s="11"/>
      <c r="H46" s="11"/>
      <c r="I46" s="22"/>
      <c r="J46" s="11"/>
      <c r="K46" s="2"/>
      <c r="L46" s="23"/>
      <c r="M46" s="11"/>
      <c r="N46" s="11"/>
      <c r="O46" s="11"/>
      <c r="P46" s="24"/>
      <c r="Q46" s="24"/>
      <c r="R46" s="300" t="str">
        <f t="shared" si="35"/>
        <v/>
      </c>
      <c r="S46" s="1205"/>
      <c r="T46" s="1205"/>
      <c r="U46" s="24"/>
      <c r="V46" s="24"/>
      <c r="W46" s="300" t="str">
        <f t="shared" si="33"/>
        <v/>
      </c>
      <c r="X46" s="1205"/>
      <c r="Y46" s="1205"/>
      <c r="Z46" s="24"/>
      <c r="AA46" s="24"/>
      <c r="AB46" s="300" t="str">
        <f t="shared" si="34"/>
        <v/>
      </c>
      <c r="AC46" s="11"/>
      <c r="AD46" s="1202" t="str" cm="1">
        <f t="array" ref="AD46">IF((_xlfn.IFS(TRIM(SUBSTITUTE(AC46,CHAR(160),""))="Devis 1",IFERROR(VALUE(TRIM(SUBSTITUTE(P46,CHAR(160),""))),0),TRIM(SUBSTITUTE(AC46,CHAR(160),""))="Devis 2",IFERROR(VALUE(TRIM(SUBSTITUTE(U46,CHAR(160),""))),0),TRIM(SUBSTITUTE(AC46,CHAR(160),""))="Devis 3",IFERROR(VALUE(TRIM(SUBSTITUTE(Z46,CHAR(160),""))),0),TRUE,0)*IFERROR(VALUE(TRIM(SUBSTITUTE(K46,CHAR(160),""))),0))=0,"",_xlfn.IFS(TRIM(SUBSTITUTE(AC46,CHAR(160),""))="Devis 1",IFERROR(VALUE(TRIM(SUBSTITUTE(P46,CHAR(160),""))),0),TRIM(SUBSTITUTE(AC46,CHAR(160),""))="Devis 2",IFERROR(VALUE(TRIM(SUBSTITUTE(U46,CHAR(160),""))),0),TRIM(SUBSTITUTE(AC46,CHAR(160),""))="Devis 3",IFERROR(VALUE(TRIM(SUBSTITUTE(Z46,CHAR(160),""))),0),TRUE,0)*IFERROR(VALUE(TRIM(SUBSTITUTE(K46,CHAR(160),""))),0))</f>
        <v/>
      </c>
      <c r="AE46" s="1202" t="str" cm="1">
        <f t="array" ref="AE46">IF((_xlfn.IFS(TRIM(SUBSTITUTE(AC46,CHAR(160),""))="Devis 1",IFERROR(VALUE(TRIM(SUBSTITUTE(Q46,CHAR(160),""))),0),TRIM(SUBSTITUTE(AC46,CHAR(160),""))="Devis 2",IFERROR(VALUE(TRIM(SUBSTITUTE(V46,CHAR(160),""))),0),TRIM(SUBSTITUTE(AC46,CHAR(160),""))="Devis 3",IFERROR(VALUE(TRIM(SUBSTITUTE(AA46,CHAR(160),""))),0),TRUE,0)*IFERROR(VALUE(TRIM(SUBSTITUTE(K46,CHAR(160),""))),0))=0,"",_xlfn.IFS(TRIM(SUBSTITUTE(AC46,CHAR(160),""))="Devis 1",IFERROR(VALUE(TRIM(SUBSTITUTE(Q46,CHAR(160),""))),0),TRIM(SUBSTITUTE(AD46,CHAR(160),""))="Devis 2",IFERROR(VALUE(TRIM(SUBSTITUTE(V46,CHAR(160),""))),0),TRIM(SUBSTITUTE(AD46,CHAR(160),""))="Devis 3",IFERROR(VALUE(TRIM(SUBSTITUTE(AA46,CHAR(160),""))),0),TRUE,0)*IFERROR(VALUE(TRIM(SUBSTITUTE(K46,CHAR(160),""))),0))</f>
        <v/>
      </c>
      <c r="AF46" s="1202" t="str" cm="1">
        <f t="array" ref="AF46">IF((_xlfn.IFS(TRIM(SUBSTITUTE(AC46,CHAR(160),""))="Devis 1",IFERROR(VALUE(TRIM(SUBSTITUTE(R46,CHAR(160),""))),0),TRIM(SUBSTITUTE(AC46,CHAR(160),""))="Devis 2",IFERROR(VALUE(TRIM(SUBSTITUTE(W46,CHAR(160),""))),0),TRIM(SUBSTITUTE(AC46,CHAR(160),""))="Devis 3",IFERROR(VALUE(TRIM(SUBSTITUTE(AB46,CHAR(160),""))),0),TRUE,0)*IFERROR(VALUE(TRIM(SUBSTITUTE(K46,CHAR(160),""))),0))=0,"",_xlfn.IFS(TRIM(SUBSTITUTE(AC46,CHAR(160),""))="Devis 1",IFERROR(VALUE(TRIM(SUBSTITUTE(R46,CHAR(160),""))),0),TRIM(SUBSTITUTE(AC46,CHAR(160),""))="Devis 2",IFERROR(VALUE(TRIM(SUBSTITUTE(W46,CHAR(160),""))),0),TRIM(SUBSTITUTE(AC46,CHAR(160),""))="Devis 3",IFERROR(VALUE(TRIM(SUBSTITUTE(AB46,CHAR(160),""))),0),TRUE,0)*IFERROR(VALUE(TRIM(SUBSTITUTE(K46,CHAR(160),""))),0))</f>
        <v/>
      </c>
      <c r="AG46" s="488"/>
      <c r="AH46" s="215" t="str">
        <f t="shared" si="0"/>
        <v/>
      </c>
      <c r="AI46" s="57" t="str">
        <f t="shared" si="1"/>
        <v/>
      </c>
      <c r="AJ46" s="57" t="str">
        <f t="shared" si="2"/>
        <v/>
      </c>
      <c r="AK46" s="57" t="str">
        <f t="shared" si="3"/>
        <v/>
      </c>
      <c r="AL46" s="57" t="str">
        <f t="shared" si="4"/>
        <v/>
      </c>
      <c r="AM46" s="57" t="str">
        <f t="shared" si="5"/>
        <v/>
      </c>
      <c r="AN46" s="57" t="str">
        <f t="shared" si="6"/>
        <v/>
      </c>
      <c r="AO46" s="57" t="str">
        <f t="shared" si="7"/>
        <v/>
      </c>
      <c r="AP46" s="57" t="str">
        <f t="shared" si="8"/>
        <v/>
      </c>
      <c r="AQ46" s="57" t="str">
        <f t="shared" si="9"/>
        <v/>
      </c>
      <c r="AR46" s="57" t="str">
        <f t="shared" si="10"/>
        <v/>
      </c>
      <c r="AS46" s="57" t="str">
        <f t="shared" si="11"/>
        <v/>
      </c>
      <c r="AT46" s="57" t="str">
        <f t="shared" si="12"/>
        <v/>
      </c>
      <c r="AU46" s="57" t="str">
        <f t="shared" si="13"/>
        <v/>
      </c>
      <c r="AV46" s="57" t="str">
        <f t="shared" si="14"/>
        <v/>
      </c>
      <c r="AW46" s="300" t="str">
        <f t="shared" si="15"/>
        <v/>
      </c>
      <c r="AX46" s="57" t="str">
        <f t="shared" si="16"/>
        <v/>
      </c>
      <c r="AY46" s="57" t="str">
        <f t="shared" si="17"/>
        <v/>
      </c>
      <c r="AZ46" s="57" t="str">
        <f t="shared" si="18"/>
        <v/>
      </c>
      <c r="BA46" s="57" t="str">
        <f t="shared" si="19"/>
        <v/>
      </c>
      <c r="BB46" s="300" t="str">
        <f t="shared" si="20"/>
        <v/>
      </c>
      <c r="BC46" s="57" t="str">
        <f t="shared" si="21"/>
        <v/>
      </c>
      <c r="BD46" s="57" t="str">
        <f t="shared" si="22"/>
        <v/>
      </c>
      <c r="BE46" s="57" t="str">
        <f t="shared" si="23"/>
        <v/>
      </c>
      <c r="BF46" s="57" t="str">
        <f t="shared" si="24"/>
        <v/>
      </c>
      <c r="BG46" s="300" t="str">
        <f t="shared" si="25"/>
        <v/>
      </c>
      <c r="BH46" s="1203" t="str">
        <f t="shared" si="26"/>
        <v/>
      </c>
      <c r="BI46" s="260"/>
      <c r="BJ46" s="300" t="str">
        <f t="shared" si="27"/>
        <v/>
      </c>
      <c r="BK46" s="300" t="str">
        <f t="shared" si="28"/>
        <v/>
      </c>
      <c r="BL46" s="300" t="str">
        <f t="shared" si="29"/>
        <v/>
      </c>
      <c r="BM46" s="1202" t="str" cm="1">
        <f t="array" ref="BM46">IF($AP46="","",IF((IFERROR(_xlfn.IFS($BH46="Devis 1",(IFERROR(VALUE(TRIM(SUBSTITUTE(AU46,CHAR(160),""))),0)),$BH46="Devis 2",(IFERROR(VALUE(TRIM(SUBSTITUTE(AZ46,CHAR(160),""))),0)),$BH46="Devis 3",(IFERROR(VALUE(TRIM(SUBSTITUTE(BE46,CHAR(160),""))),0))),0))*(IFERROR(VALUE(TRIM(SUBSTITUTE($AP46,CHAR(160),""))),0))=0,"",(IFERROR(_xlfn.IFS($BH46="Devis 1",(IFERROR(VALUE(TRIM(SUBSTITUTE(AU46,CHAR(160),""))),0)),$BH46="Devis 2",(IFERROR(VALUE(TRIM(SUBSTITUTE(AZ46,CHAR(160),""))),0)),$BH46="Devis 3",(IFERROR(VALUE(TRIM(SUBSTITUTE(BE46,CHAR(160),""))),0))),0))*(IFERROR(VALUE(TRIM(SUBSTITUTE($AP46,CHAR(160),""))),0))))</f>
        <v/>
      </c>
      <c r="BN46" s="1202" t="str" cm="1">
        <f t="array" ref="BN46">IF($AP46="","",IF((IFERROR(_xlfn.IFS(TRIM(SUBSTITUTE($BH46,CHAR(160),""))="Devis 1", IFERROR(VALUE(TRIM(SUBSTITUTE(AV46,CHAR(160),""))),0),TRIM(SUBSTITUTE($BH46,CHAR(160),""))="Devis 2", IFERROR(VALUE(TRIM(SUBSTITUTE(BA46,CHAR(160),""))),0),TRIM(SUBSTITUTE($BH46,CHAR(160),""))="Devis 3", IFERROR(VALUE(TRIM(SUBSTITUTE(BF46,CHAR(160),""))),0)),0) * IFERROR(VALUE(TRIM(SUBSTITUTE($AP46,CHAR(160),""))),0)) = 0,IF(BM46&lt;&gt;"",0,""),(IFERROR(_xlfn.IFS(TRIM(SUBSTITUTE($BH46,CHAR(160),""))="Devis 1", IFERROR(VALUE(TRIM(SUBSTITUTE(AV46,CHAR(160),""))),0),TRIM(SUBSTITUTE($BH46,CHAR(160),""))="Devis 2", IFERROR(VALUE(TRIM(SUBSTITUTE(BA46,CHAR(160),""))),0),TRIM(SUBSTITUTE($BH46,CHAR(160),""))="Devis 3", IFERROR(VALUE(TRIM(SUBSTITUTE(BF46,CHAR(160),""))),0)),0) * IFERROR(VALUE(TRIM(SUBSTITUTE($AP46,CHAR(160),""))),0))))</f>
        <v/>
      </c>
      <c r="BO46" s="1202" t="str" cm="1">
        <f t="array" ref="BO46">IF($AP46="","",IF(IFERROR(_xlfn.IFS($BH46="Devis 1",IFERROR(VALUE(TRIM(SUBSTITUTE(AW46,CHAR(160),""))),0),$BH46="Devis 2",IFERROR(VALUE(TRIM(SUBSTITUTE(BB46,CHAR(160),""))),0),$BH46="Devis 3",IFERROR(VALUE(TRIM(SUBSTITUTE(BG46,CHAR(160),""))),0)),0)*IFERROR(VALUE(TRIM(SUBSTITUTE($AP46,CHAR(160),""))),0)=0,"",IFERROR(_xlfn.IFS($BH46="Devis 1",IFERROR(VALUE(TRIM(SUBSTITUTE(AW46,CHAR(160),""))),0),$BH46="Devis 2",IFERROR(VALUE(TRIM(SUBSTITUTE(BB46,CHAR(160),""))),0),$BH46="Devis 3",IFERROR(VALUE(TRIM(SUBSTITUTE(BG46,CHAR(160),""))),0)),0)*IFERROR(VALUE(TRIM(SUBSTITUTE($AP46,CHAR(160),""))),0)))</f>
        <v/>
      </c>
      <c r="BP46" s="194"/>
      <c r="BQ46" s="219" t="str" cm="1">
        <f t="array" ref="BQ46">IF(OR(BO46="",BL46="",BM46="",BJ46="",BN46="",BK46=""),"",_xlfn.IFS(
ROUND(IFERROR(VALUE(TRIM(SUBSTITUTE(BO46,CHAR(160),""))),0),2)&gt;
ROUND(IFERROR(VALUE(TRIM(SUBSTITUTE(BL46,CHAR(160),""))),0),2),
"KO : Le montant retenu TTC est supérieur au montant raisonnable TTC. Merci de revoir la ligne de dépense ou plafonner son montant.",
ROUND(IFERROR(VALUE(TRIM(SUBSTITUTE(BM46,CHAR(160),""))),0),2)&gt;
ROUND(IFERROR(VALUE(TRIM(SUBSTITUTE(BJ46,CHAR(160),""))),0),2),
"Attention : Le montant retenu HT est supérieur au montant HT raisonnable. Merci de revoir la ligne de dépense, plafonner son montant, ou justifier la reventillation HT / TVA.",
ROUND(IFERROR(VALUE(TRIM(SUBSTITUTE(BN46,CHAR(160),""))),0),2)&gt;
ROUND(IFERROR(VALUE(TRIM(SUBSTITUTE(BK46,CHAR(160),""))),0),2),
"Attention : Le montant TVA retenu est supérieur au montant TVA raisonnable. Merci de revoir la ligne de dépense, plafonner son montant, ou justifier la reventillation HT / TVA.",
ROUND(IFERROR(VALUE(TRIM(SUBSTITUTE(BO46,CHAR(160),""))),0),2)&gt;
ROUND(IFERROR(VALUE(TRIM(SUBSTITUTE(MIN(R46,W46,AB46),CHAR(160),""))),0),2),
"Attention : Le devis retenu n'est pas le moins cher. Une justification de la part du porteur est nécessaire.",
ROUND(IFERROR(VALUE(TRIM(SUBSTITUTE(BO46,CHAR(160),""))),0),2)=0,
"Attention : montant présenté entièrement écarté",
ROUND(IFERROR(VALUE(TRIM(SUBSTITUTE(BL46,CHAR(160),""))),0),2)=
ROUND(IFERROR(VALUE(TRIM(SUBSTITUTE(BO46,CHAR(160),""))),0),2),
"OK",
ROUND(IFERROR(VALUE(TRIM(SUBSTITUTE(BL46,CHAR(160),""))),0),2)&gt;
ROUND(IFERROR(VALUE(TRIM(SUBSTITUTE(BO46,CHAR(160),""))),0),2),
" OK : Montant instruit inférieur au montant raisonnable.",
TRUE,""
))</f>
        <v/>
      </c>
      <c r="BR46" s="216" t="str" cm="1">
        <f t="array" ref="BR46">IF(OR(BO46="",AF46="",BM46="",AD46="",BN46="",AE46=""),"",_xlfn.IFS(
ROUND(IFERROR(VALUE(TRIM(SUBSTITUTE(BO46,CHAR(160),""))),0),2)&gt;
ROUND(IFERROR(VALUE(TRIM(SUBSTITUTE(AF46,CHAR(160),""))),0),2),
"KO : Le montant retenu TTC est supérieur au montant présenté TTC. Merci de revoir la ligne de dépense ou plafonner son montant.",
ROUND(IFERROR(VALUE(TRIM(SUBSTITUTE(BM46,CHAR(160),""))),0),2)&gt;
ROUND(IFERROR(VALUE(TRIM(SUBSTITUTE(AD46,CHAR(160),""))),0),2),
"Attention : Le montant retenu HT est supérieur au montant HT présenté. Merci de revoir la ligne de dépense, plafonner son montant, ou justifier la reventillation HT / TVA.",
ROUND(IFERROR(VALUE(TRIM(SUBSTITUTE(BN46,CHAR(160),""))),0),2)&gt;
ROUND(IFERROR(VALUE(TRIM(SUBSTITUTE(AE46,CHAR(160),""))),0),2),
"Attention : Le montant TVA retenu est supérieur au montant TVA présenté. Merci de revoir la ligne de dépense, plafonner son montant, ou justifier la reventillation HT / TVA.",
ROUND(IFERROR(VALUE(TRIM(SUBSTITUTE(AF46,CHAR(160),""))),0),2)=0,
"",
ROUND(IFERROR(VALUE(TRIM(SUBSTITUTE(BO46,CHAR(160),""))),0),2)=
ROUND(IFERROR(VALUE(TRIM(SUBSTITUTE(AF46,CHAR(160),""))),0),2),
"OK",
ROUND(IFERROR(VALUE(TRIM(SUBSTITUTE(BO46,CHAR(160),""))),0),2)=0,
"Attention : Montant présenté entièrement rejeté.",
ROUND(IFERROR(VALUE(TRIM(SUBSTITUTE(BO46,CHAR(160),""))),0),2)&lt;
ROUND(IFERROR(VALUE(TRIM(SUBSTITUTE(AF46,CHAR(160),""))),0),2),
"Attention : Montant présenté partiellement rejeté.",
TRUE,""
))</f>
        <v/>
      </c>
      <c r="BS46" s="1202" t="str">
        <f t="shared" si="30"/>
        <v/>
      </c>
      <c r="BT46" s="1202" t="str">
        <f t="shared" si="31"/>
        <v/>
      </c>
      <c r="BU46" s="1216" t="str">
        <f t="shared" si="32"/>
        <v/>
      </c>
    </row>
    <row r="47" spans="2:73" ht="15.95" customHeight="1">
      <c r="B47" s="303">
        <v>38</v>
      </c>
      <c r="C47" s="11"/>
      <c r="D47" s="11"/>
      <c r="E47" s="22"/>
      <c r="F47" s="11"/>
      <c r="G47" s="11"/>
      <c r="H47" s="11"/>
      <c r="I47" s="22"/>
      <c r="J47" s="11"/>
      <c r="K47" s="2"/>
      <c r="L47" s="23"/>
      <c r="M47" s="11"/>
      <c r="N47" s="11"/>
      <c r="O47" s="11"/>
      <c r="P47" s="24"/>
      <c r="Q47" s="24"/>
      <c r="R47" s="300" t="str">
        <f t="shared" si="35"/>
        <v/>
      </c>
      <c r="S47" s="1205"/>
      <c r="T47" s="1205"/>
      <c r="U47" s="24"/>
      <c r="V47" s="24"/>
      <c r="W47" s="300" t="str">
        <f t="shared" si="33"/>
        <v/>
      </c>
      <c r="X47" s="1205"/>
      <c r="Y47" s="1205"/>
      <c r="Z47" s="24"/>
      <c r="AA47" s="24"/>
      <c r="AB47" s="300" t="str">
        <f t="shared" si="34"/>
        <v/>
      </c>
      <c r="AC47" s="11"/>
      <c r="AD47" s="1202" t="str" cm="1">
        <f t="array" ref="AD47">IF((_xlfn.IFS(TRIM(SUBSTITUTE(AC47,CHAR(160),""))="Devis 1",IFERROR(VALUE(TRIM(SUBSTITUTE(P47,CHAR(160),""))),0),TRIM(SUBSTITUTE(AC47,CHAR(160),""))="Devis 2",IFERROR(VALUE(TRIM(SUBSTITUTE(U47,CHAR(160),""))),0),TRIM(SUBSTITUTE(AC47,CHAR(160),""))="Devis 3",IFERROR(VALUE(TRIM(SUBSTITUTE(Z47,CHAR(160),""))),0),TRUE,0)*IFERROR(VALUE(TRIM(SUBSTITUTE(K47,CHAR(160),""))),0))=0,"",_xlfn.IFS(TRIM(SUBSTITUTE(AC47,CHAR(160),""))="Devis 1",IFERROR(VALUE(TRIM(SUBSTITUTE(P47,CHAR(160),""))),0),TRIM(SUBSTITUTE(AC47,CHAR(160),""))="Devis 2",IFERROR(VALUE(TRIM(SUBSTITUTE(U47,CHAR(160),""))),0),TRIM(SUBSTITUTE(AC47,CHAR(160),""))="Devis 3",IFERROR(VALUE(TRIM(SUBSTITUTE(Z47,CHAR(160),""))),0),TRUE,0)*IFERROR(VALUE(TRIM(SUBSTITUTE(K47,CHAR(160),""))),0))</f>
        <v/>
      </c>
      <c r="AE47" s="1202" t="str" cm="1">
        <f t="array" ref="AE47">IF((_xlfn.IFS(TRIM(SUBSTITUTE(AC47,CHAR(160),""))="Devis 1",IFERROR(VALUE(TRIM(SUBSTITUTE(Q47,CHAR(160),""))),0),TRIM(SUBSTITUTE(AC47,CHAR(160),""))="Devis 2",IFERROR(VALUE(TRIM(SUBSTITUTE(V47,CHAR(160),""))),0),TRIM(SUBSTITUTE(AC47,CHAR(160),""))="Devis 3",IFERROR(VALUE(TRIM(SUBSTITUTE(AA47,CHAR(160),""))),0),TRUE,0)*IFERROR(VALUE(TRIM(SUBSTITUTE(K47,CHAR(160),""))),0))=0,"",_xlfn.IFS(TRIM(SUBSTITUTE(AC47,CHAR(160),""))="Devis 1",IFERROR(VALUE(TRIM(SUBSTITUTE(Q47,CHAR(160),""))),0),TRIM(SUBSTITUTE(AD47,CHAR(160),""))="Devis 2",IFERROR(VALUE(TRIM(SUBSTITUTE(V47,CHAR(160),""))),0),TRIM(SUBSTITUTE(AD47,CHAR(160),""))="Devis 3",IFERROR(VALUE(TRIM(SUBSTITUTE(AA47,CHAR(160),""))),0),TRUE,0)*IFERROR(VALUE(TRIM(SUBSTITUTE(K47,CHAR(160),""))),0))</f>
        <v/>
      </c>
      <c r="AF47" s="1202" t="str" cm="1">
        <f t="array" ref="AF47">IF((_xlfn.IFS(TRIM(SUBSTITUTE(AC47,CHAR(160),""))="Devis 1",IFERROR(VALUE(TRIM(SUBSTITUTE(R47,CHAR(160),""))),0),TRIM(SUBSTITUTE(AC47,CHAR(160),""))="Devis 2",IFERROR(VALUE(TRIM(SUBSTITUTE(W47,CHAR(160),""))),0),TRIM(SUBSTITUTE(AC47,CHAR(160),""))="Devis 3",IFERROR(VALUE(TRIM(SUBSTITUTE(AB47,CHAR(160),""))),0),TRUE,0)*IFERROR(VALUE(TRIM(SUBSTITUTE(K47,CHAR(160),""))),0))=0,"",_xlfn.IFS(TRIM(SUBSTITUTE(AC47,CHAR(160),""))="Devis 1",IFERROR(VALUE(TRIM(SUBSTITUTE(R47,CHAR(160),""))),0),TRIM(SUBSTITUTE(AC47,CHAR(160),""))="Devis 2",IFERROR(VALUE(TRIM(SUBSTITUTE(W47,CHAR(160),""))),0),TRIM(SUBSTITUTE(AC47,CHAR(160),""))="Devis 3",IFERROR(VALUE(TRIM(SUBSTITUTE(AB47,CHAR(160),""))),0),TRUE,0)*IFERROR(VALUE(TRIM(SUBSTITUTE(K47,CHAR(160),""))),0))</f>
        <v/>
      </c>
      <c r="AG47" s="488"/>
      <c r="AH47" s="215" t="str">
        <f t="shared" si="0"/>
        <v/>
      </c>
      <c r="AI47" s="57" t="str">
        <f t="shared" si="1"/>
        <v/>
      </c>
      <c r="AJ47" s="57" t="str">
        <f t="shared" si="2"/>
        <v/>
      </c>
      <c r="AK47" s="57" t="str">
        <f t="shared" si="3"/>
        <v/>
      </c>
      <c r="AL47" s="57" t="str">
        <f t="shared" si="4"/>
        <v/>
      </c>
      <c r="AM47" s="57" t="str">
        <f t="shared" si="5"/>
        <v/>
      </c>
      <c r="AN47" s="57" t="str">
        <f t="shared" si="6"/>
        <v/>
      </c>
      <c r="AO47" s="57" t="str">
        <f t="shared" si="7"/>
        <v/>
      </c>
      <c r="AP47" s="57" t="str">
        <f t="shared" si="8"/>
        <v/>
      </c>
      <c r="AQ47" s="57" t="str">
        <f t="shared" si="9"/>
        <v/>
      </c>
      <c r="AR47" s="57" t="str">
        <f t="shared" si="10"/>
        <v/>
      </c>
      <c r="AS47" s="57" t="str">
        <f t="shared" si="11"/>
        <v/>
      </c>
      <c r="AT47" s="57" t="str">
        <f t="shared" si="12"/>
        <v/>
      </c>
      <c r="AU47" s="57" t="str">
        <f t="shared" si="13"/>
        <v/>
      </c>
      <c r="AV47" s="57" t="str">
        <f t="shared" si="14"/>
        <v/>
      </c>
      <c r="AW47" s="300" t="str">
        <f t="shared" si="15"/>
        <v/>
      </c>
      <c r="AX47" s="57" t="str">
        <f t="shared" si="16"/>
        <v/>
      </c>
      <c r="AY47" s="57" t="str">
        <f t="shared" si="17"/>
        <v/>
      </c>
      <c r="AZ47" s="57" t="str">
        <f t="shared" si="18"/>
        <v/>
      </c>
      <c r="BA47" s="57" t="str">
        <f t="shared" si="19"/>
        <v/>
      </c>
      <c r="BB47" s="300" t="str">
        <f t="shared" si="20"/>
        <v/>
      </c>
      <c r="BC47" s="57" t="str">
        <f t="shared" si="21"/>
        <v/>
      </c>
      <c r="BD47" s="57" t="str">
        <f t="shared" si="22"/>
        <v/>
      </c>
      <c r="BE47" s="57" t="str">
        <f t="shared" si="23"/>
        <v/>
      </c>
      <c r="BF47" s="57" t="str">
        <f t="shared" si="24"/>
        <v/>
      </c>
      <c r="BG47" s="300" t="str">
        <f t="shared" si="25"/>
        <v/>
      </c>
      <c r="BH47" s="1203" t="str">
        <f t="shared" si="26"/>
        <v/>
      </c>
      <c r="BI47" s="260"/>
      <c r="BJ47" s="300" t="str">
        <f t="shared" si="27"/>
        <v/>
      </c>
      <c r="BK47" s="300" t="str">
        <f t="shared" si="28"/>
        <v/>
      </c>
      <c r="BL47" s="300" t="str">
        <f t="shared" si="29"/>
        <v/>
      </c>
      <c r="BM47" s="1202" t="str" cm="1">
        <f t="array" ref="BM47">IF($AP47="","",IF((IFERROR(_xlfn.IFS($BH47="Devis 1",(IFERROR(VALUE(TRIM(SUBSTITUTE(AU47,CHAR(160),""))),0)),$BH47="Devis 2",(IFERROR(VALUE(TRIM(SUBSTITUTE(AZ47,CHAR(160),""))),0)),$BH47="Devis 3",(IFERROR(VALUE(TRIM(SUBSTITUTE(BE47,CHAR(160),""))),0))),0))*(IFERROR(VALUE(TRIM(SUBSTITUTE($AP47,CHAR(160),""))),0))=0,"",(IFERROR(_xlfn.IFS($BH47="Devis 1",(IFERROR(VALUE(TRIM(SUBSTITUTE(AU47,CHAR(160),""))),0)),$BH47="Devis 2",(IFERROR(VALUE(TRIM(SUBSTITUTE(AZ47,CHAR(160),""))),0)),$BH47="Devis 3",(IFERROR(VALUE(TRIM(SUBSTITUTE(BE47,CHAR(160),""))),0))),0))*(IFERROR(VALUE(TRIM(SUBSTITUTE($AP47,CHAR(160),""))),0))))</f>
        <v/>
      </c>
      <c r="BN47" s="1202" t="str" cm="1">
        <f t="array" ref="BN47">IF($AP47="","",IF((IFERROR(_xlfn.IFS(TRIM(SUBSTITUTE($BH47,CHAR(160),""))="Devis 1", IFERROR(VALUE(TRIM(SUBSTITUTE(AV47,CHAR(160),""))),0),TRIM(SUBSTITUTE($BH47,CHAR(160),""))="Devis 2", IFERROR(VALUE(TRIM(SUBSTITUTE(BA47,CHAR(160),""))),0),TRIM(SUBSTITUTE($BH47,CHAR(160),""))="Devis 3", IFERROR(VALUE(TRIM(SUBSTITUTE(BF47,CHAR(160),""))),0)),0) * IFERROR(VALUE(TRIM(SUBSTITUTE($AP47,CHAR(160),""))),0)) = 0,IF(BM47&lt;&gt;"",0,""),(IFERROR(_xlfn.IFS(TRIM(SUBSTITUTE($BH47,CHAR(160),""))="Devis 1", IFERROR(VALUE(TRIM(SUBSTITUTE(AV47,CHAR(160),""))),0),TRIM(SUBSTITUTE($BH47,CHAR(160),""))="Devis 2", IFERROR(VALUE(TRIM(SUBSTITUTE(BA47,CHAR(160),""))),0),TRIM(SUBSTITUTE($BH47,CHAR(160),""))="Devis 3", IFERROR(VALUE(TRIM(SUBSTITUTE(BF47,CHAR(160),""))),0)),0) * IFERROR(VALUE(TRIM(SUBSTITUTE($AP47,CHAR(160),""))),0))))</f>
        <v/>
      </c>
      <c r="BO47" s="1202" t="str" cm="1">
        <f t="array" ref="BO47">IF($AP47="","",IF(IFERROR(_xlfn.IFS($BH47="Devis 1",IFERROR(VALUE(TRIM(SUBSTITUTE(AW47,CHAR(160),""))),0),$BH47="Devis 2",IFERROR(VALUE(TRIM(SUBSTITUTE(BB47,CHAR(160),""))),0),$BH47="Devis 3",IFERROR(VALUE(TRIM(SUBSTITUTE(BG47,CHAR(160),""))),0)),0)*IFERROR(VALUE(TRIM(SUBSTITUTE($AP47,CHAR(160),""))),0)=0,"",IFERROR(_xlfn.IFS($BH47="Devis 1",IFERROR(VALUE(TRIM(SUBSTITUTE(AW47,CHAR(160),""))),0),$BH47="Devis 2",IFERROR(VALUE(TRIM(SUBSTITUTE(BB47,CHAR(160),""))),0),$BH47="Devis 3",IFERROR(VALUE(TRIM(SUBSTITUTE(BG47,CHAR(160),""))),0)),0)*IFERROR(VALUE(TRIM(SUBSTITUTE($AP47,CHAR(160),""))),0)))</f>
        <v/>
      </c>
      <c r="BP47" s="194"/>
      <c r="BQ47" s="219" t="str" cm="1">
        <f t="array" ref="BQ47">IF(OR(BO47="",BL47="",BM47="",BJ47="",BN47="",BK47=""),"",_xlfn.IFS(
ROUND(IFERROR(VALUE(TRIM(SUBSTITUTE(BO47,CHAR(160),""))),0),2)&gt;
ROUND(IFERROR(VALUE(TRIM(SUBSTITUTE(BL47,CHAR(160),""))),0),2),
"KO : Le montant retenu TTC est supérieur au montant raisonnable TTC. Merci de revoir la ligne de dépense ou plafonner son montant.",
ROUND(IFERROR(VALUE(TRIM(SUBSTITUTE(BM47,CHAR(160),""))),0),2)&gt;
ROUND(IFERROR(VALUE(TRIM(SUBSTITUTE(BJ47,CHAR(160),""))),0),2),
"Attention : Le montant retenu HT est supérieur au montant HT raisonnable. Merci de revoir la ligne de dépense, plafonner son montant, ou justifier la reventillation HT / TVA.",
ROUND(IFERROR(VALUE(TRIM(SUBSTITUTE(BN47,CHAR(160),""))),0),2)&gt;
ROUND(IFERROR(VALUE(TRIM(SUBSTITUTE(BK47,CHAR(160),""))),0),2),
"Attention : Le montant TVA retenu est supérieur au montant TVA raisonnable. Merci de revoir la ligne de dépense, plafonner son montant, ou justifier la reventillation HT / TVA.",
ROUND(IFERROR(VALUE(TRIM(SUBSTITUTE(BO47,CHAR(160),""))),0),2)&gt;
ROUND(IFERROR(VALUE(TRIM(SUBSTITUTE(MIN(R47,W47,AB47),CHAR(160),""))),0),2),
"Attention : Le devis retenu n'est pas le moins cher. Une justification de la part du porteur est nécessaire.",
ROUND(IFERROR(VALUE(TRIM(SUBSTITUTE(BO47,CHAR(160),""))),0),2)=0,
"Attention : montant présenté entièrement écarté",
ROUND(IFERROR(VALUE(TRIM(SUBSTITUTE(BL47,CHAR(160),""))),0),2)=
ROUND(IFERROR(VALUE(TRIM(SUBSTITUTE(BO47,CHAR(160),""))),0),2),
"OK",
ROUND(IFERROR(VALUE(TRIM(SUBSTITUTE(BL47,CHAR(160),""))),0),2)&gt;
ROUND(IFERROR(VALUE(TRIM(SUBSTITUTE(BO47,CHAR(160),""))),0),2),
" OK : Montant instruit inférieur au montant raisonnable.",
TRUE,""
))</f>
        <v/>
      </c>
      <c r="BR47" s="216" t="str" cm="1">
        <f t="array" ref="BR47">IF(OR(BO47="",AF47="",BM47="",AD47="",BN47="",AE47=""),"",_xlfn.IFS(
ROUND(IFERROR(VALUE(TRIM(SUBSTITUTE(BO47,CHAR(160),""))),0),2)&gt;
ROUND(IFERROR(VALUE(TRIM(SUBSTITUTE(AF47,CHAR(160),""))),0),2),
"KO : Le montant retenu TTC est supérieur au montant présenté TTC. Merci de revoir la ligne de dépense ou plafonner son montant.",
ROUND(IFERROR(VALUE(TRIM(SUBSTITUTE(BM47,CHAR(160),""))),0),2)&gt;
ROUND(IFERROR(VALUE(TRIM(SUBSTITUTE(AD47,CHAR(160),""))),0),2),
"Attention : Le montant retenu HT est supérieur au montant HT présenté. Merci de revoir la ligne de dépense, plafonner son montant, ou justifier la reventillation HT / TVA.",
ROUND(IFERROR(VALUE(TRIM(SUBSTITUTE(BN47,CHAR(160),""))),0),2)&gt;
ROUND(IFERROR(VALUE(TRIM(SUBSTITUTE(AE47,CHAR(160),""))),0),2),
"Attention : Le montant TVA retenu est supérieur au montant TVA présenté. Merci de revoir la ligne de dépense, plafonner son montant, ou justifier la reventillation HT / TVA.",
ROUND(IFERROR(VALUE(TRIM(SUBSTITUTE(AF47,CHAR(160),""))),0),2)=0,
"",
ROUND(IFERROR(VALUE(TRIM(SUBSTITUTE(BO47,CHAR(160),""))),0),2)=
ROUND(IFERROR(VALUE(TRIM(SUBSTITUTE(AF47,CHAR(160),""))),0),2),
"OK",
ROUND(IFERROR(VALUE(TRIM(SUBSTITUTE(BO47,CHAR(160),""))),0),2)=0,
"Attention : Montant présenté entièrement rejeté.",
ROUND(IFERROR(VALUE(TRIM(SUBSTITUTE(BO47,CHAR(160),""))),0),2)&lt;
ROUND(IFERROR(VALUE(TRIM(SUBSTITUTE(AF47,CHAR(160),""))),0),2),
"Attention : Montant présenté partiellement rejeté.",
TRUE,""
))</f>
        <v/>
      </c>
      <c r="BS47" s="1202" t="str">
        <f t="shared" si="30"/>
        <v/>
      </c>
      <c r="BT47" s="1202" t="str">
        <f t="shared" si="31"/>
        <v/>
      </c>
      <c r="BU47" s="1216" t="str">
        <f t="shared" si="32"/>
        <v/>
      </c>
    </row>
    <row r="48" spans="2:73" ht="15.95" customHeight="1">
      <c r="B48" s="303">
        <v>39</v>
      </c>
      <c r="C48" s="11"/>
      <c r="D48" s="11"/>
      <c r="E48" s="22"/>
      <c r="F48" s="11"/>
      <c r="G48" s="11"/>
      <c r="H48" s="11"/>
      <c r="I48" s="22"/>
      <c r="J48" s="11"/>
      <c r="K48" s="2"/>
      <c r="L48" s="23"/>
      <c r="M48" s="11"/>
      <c r="N48" s="11"/>
      <c r="O48" s="11"/>
      <c r="P48" s="24"/>
      <c r="Q48" s="24"/>
      <c r="R48" s="300" t="str">
        <f t="shared" si="35"/>
        <v/>
      </c>
      <c r="S48" s="1205"/>
      <c r="T48" s="1205"/>
      <c r="U48" s="24"/>
      <c r="V48" s="24"/>
      <c r="W48" s="300" t="str">
        <f t="shared" si="33"/>
        <v/>
      </c>
      <c r="X48" s="1205"/>
      <c r="Y48" s="1205"/>
      <c r="Z48" s="24"/>
      <c r="AA48" s="24"/>
      <c r="AB48" s="300" t="str">
        <f t="shared" si="34"/>
        <v/>
      </c>
      <c r="AC48" s="11"/>
      <c r="AD48" s="1202" t="str" cm="1">
        <f t="array" ref="AD48">IF((_xlfn.IFS(TRIM(SUBSTITUTE(AC48,CHAR(160),""))="Devis 1",IFERROR(VALUE(TRIM(SUBSTITUTE(P48,CHAR(160),""))),0),TRIM(SUBSTITUTE(AC48,CHAR(160),""))="Devis 2",IFERROR(VALUE(TRIM(SUBSTITUTE(U48,CHAR(160),""))),0),TRIM(SUBSTITUTE(AC48,CHAR(160),""))="Devis 3",IFERROR(VALUE(TRIM(SUBSTITUTE(Z48,CHAR(160),""))),0),TRUE,0)*IFERROR(VALUE(TRIM(SUBSTITUTE(K48,CHAR(160),""))),0))=0,"",_xlfn.IFS(TRIM(SUBSTITUTE(AC48,CHAR(160),""))="Devis 1",IFERROR(VALUE(TRIM(SUBSTITUTE(P48,CHAR(160),""))),0),TRIM(SUBSTITUTE(AC48,CHAR(160),""))="Devis 2",IFERROR(VALUE(TRIM(SUBSTITUTE(U48,CHAR(160),""))),0),TRIM(SUBSTITUTE(AC48,CHAR(160),""))="Devis 3",IFERROR(VALUE(TRIM(SUBSTITUTE(Z48,CHAR(160),""))),0),TRUE,0)*IFERROR(VALUE(TRIM(SUBSTITUTE(K48,CHAR(160),""))),0))</f>
        <v/>
      </c>
      <c r="AE48" s="1202" t="str" cm="1">
        <f t="array" ref="AE48">IF((_xlfn.IFS(TRIM(SUBSTITUTE(AC48,CHAR(160),""))="Devis 1",IFERROR(VALUE(TRIM(SUBSTITUTE(Q48,CHAR(160),""))),0),TRIM(SUBSTITUTE(AC48,CHAR(160),""))="Devis 2",IFERROR(VALUE(TRIM(SUBSTITUTE(V48,CHAR(160),""))),0),TRIM(SUBSTITUTE(AC48,CHAR(160),""))="Devis 3",IFERROR(VALUE(TRIM(SUBSTITUTE(AA48,CHAR(160),""))),0),TRUE,0)*IFERROR(VALUE(TRIM(SUBSTITUTE(K48,CHAR(160),""))),0))=0,"",_xlfn.IFS(TRIM(SUBSTITUTE(AC48,CHAR(160),""))="Devis 1",IFERROR(VALUE(TRIM(SUBSTITUTE(Q48,CHAR(160),""))),0),TRIM(SUBSTITUTE(AD48,CHAR(160),""))="Devis 2",IFERROR(VALUE(TRIM(SUBSTITUTE(V48,CHAR(160),""))),0),TRIM(SUBSTITUTE(AD48,CHAR(160),""))="Devis 3",IFERROR(VALUE(TRIM(SUBSTITUTE(AA48,CHAR(160),""))),0),TRUE,0)*IFERROR(VALUE(TRIM(SUBSTITUTE(K48,CHAR(160),""))),0))</f>
        <v/>
      </c>
      <c r="AF48" s="1202" t="str" cm="1">
        <f t="array" ref="AF48">IF((_xlfn.IFS(TRIM(SUBSTITUTE(AC48,CHAR(160),""))="Devis 1",IFERROR(VALUE(TRIM(SUBSTITUTE(R48,CHAR(160),""))),0),TRIM(SUBSTITUTE(AC48,CHAR(160),""))="Devis 2",IFERROR(VALUE(TRIM(SUBSTITUTE(W48,CHAR(160),""))),0),TRIM(SUBSTITUTE(AC48,CHAR(160),""))="Devis 3",IFERROR(VALUE(TRIM(SUBSTITUTE(AB48,CHAR(160),""))),0),TRUE,0)*IFERROR(VALUE(TRIM(SUBSTITUTE(K48,CHAR(160),""))),0))=0,"",_xlfn.IFS(TRIM(SUBSTITUTE(AC48,CHAR(160),""))="Devis 1",IFERROR(VALUE(TRIM(SUBSTITUTE(R48,CHAR(160),""))),0),TRIM(SUBSTITUTE(AC48,CHAR(160),""))="Devis 2",IFERROR(VALUE(TRIM(SUBSTITUTE(W48,CHAR(160),""))),0),TRIM(SUBSTITUTE(AC48,CHAR(160),""))="Devis 3",IFERROR(VALUE(TRIM(SUBSTITUTE(AB48,CHAR(160),""))),0),TRUE,0)*IFERROR(VALUE(TRIM(SUBSTITUTE(K48,CHAR(160),""))),0))</f>
        <v/>
      </c>
      <c r="AG48" s="488"/>
      <c r="AH48" s="215" t="str">
        <f t="shared" si="0"/>
        <v/>
      </c>
      <c r="AI48" s="57" t="str">
        <f t="shared" si="1"/>
        <v/>
      </c>
      <c r="AJ48" s="57" t="str">
        <f t="shared" si="2"/>
        <v/>
      </c>
      <c r="AK48" s="57" t="str">
        <f t="shared" si="3"/>
        <v/>
      </c>
      <c r="AL48" s="57" t="str">
        <f t="shared" si="4"/>
        <v/>
      </c>
      <c r="AM48" s="57" t="str">
        <f t="shared" si="5"/>
        <v/>
      </c>
      <c r="AN48" s="57" t="str">
        <f t="shared" si="6"/>
        <v/>
      </c>
      <c r="AO48" s="57" t="str">
        <f t="shared" si="7"/>
        <v/>
      </c>
      <c r="AP48" s="57" t="str">
        <f t="shared" si="8"/>
        <v/>
      </c>
      <c r="AQ48" s="57" t="str">
        <f t="shared" si="9"/>
        <v/>
      </c>
      <c r="AR48" s="57" t="str">
        <f t="shared" si="10"/>
        <v/>
      </c>
      <c r="AS48" s="57" t="str">
        <f t="shared" si="11"/>
        <v/>
      </c>
      <c r="AT48" s="57" t="str">
        <f t="shared" si="12"/>
        <v/>
      </c>
      <c r="AU48" s="57" t="str">
        <f t="shared" si="13"/>
        <v/>
      </c>
      <c r="AV48" s="57" t="str">
        <f t="shared" si="14"/>
        <v/>
      </c>
      <c r="AW48" s="300" t="str">
        <f t="shared" si="15"/>
        <v/>
      </c>
      <c r="AX48" s="57" t="str">
        <f t="shared" si="16"/>
        <v/>
      </c>
      <c r="AY48" s="57" t="str">
        <f t="shared" si="17"/>
        <v/>
      </c>
      <c r="AZ48" s="57" t="str">
        <f t="shared" si="18"/>
        <v/>
      </c>
      <c r="BA48" s="57" t="str">
        <f t="shared" si="19"/>
        <v/>
      </c>
      <c r="BB48" s="300" t="str">
        <f t="shared" si="20"/>
        <v/>
      </c>
      <c r="BC48" s="57" t="str">
        <f t="shared" si="21"/>
        <v/>
      </c>
      <c r="BD48" s="57" t="str">
        <f t="shared" si="22"/>
        <v/>
      </c>
      <c r="BE48" s="57" t="str">
        <f t="shared" si="23"/>
        <v/>
      </c>
      <c r="BF48" s="57" t="str">
        <f t="shared" si="24"/>
        <v/>
      </c>
      <c r="BG48" s="300" t="str">
        <f t="shared" si="25"/>
        <v/>
      </c>
      <c r="BH48" s="1203" t="str">
        <f t="shared" si="26"/>
        <v/>
      </c>
      <c r="BI48" s="260"/>
      <c r="BJ48" s="300" t="str">
        <f t="shared" si="27"/>
        <v/>
      </c>
      <c r="BK48" s="300" t="str">
        <f t="shared" si="28"/>
        <v/>
      </c>
      <c r="BL48" s="300" t="str">
        <f t="shared" si="29"/>
        <v/>
      </c>
      <c r="BM48" s="1202" t="str" cm="1">
        <f t="array" ref="BM48">IF($AP48="","",IF((IFERROR(_xlfn.IFS($BH48="Devis 1",(IFERROR(VALUE(TRIM(SUBSTITUTE(AU48,CHAR(160),""))),0)),$BH48="Devis 2",(IFERROR(VALUE(TRIM(SUBSTITUTE(AZ48,CHAR(160),""))),0)),$BH48="Devis 3",(IFERROR(VALUE(TRIM(SUBSTITUTE(BE48,CHAR(160),""))),0))),0))*(IFERROR(VALUE(TRIM(SUBSTITUTE($AP48,CHAR(160),""))),0))=0,"",(IFERROR(_xlfn.IFS($BH48="Devis 1",(IFERROR(VALUE(TRIM(SUBSTITUTE(AU48,CHAR(160),""))),0)),$BH48="Devis 2",(IFERROR(VALUE(TRIM(SUBSTITUTE(AZ48,CHAR(160),""))),0)),$BH48="Devis 3",(IFERROR(VALUE(TRIM(SUBSTITUTE(BE48,CHAR(160),""))),0))),0))*(IFERROR(VALUE(TRIM(SUBSTITUTE($AP48,CHAR(160),""))),0))))</f>
        <v/>
      </c>
      <c r="BN48" s="1202" t="str" cm="1">
        <f t="array" ref="BN48">IF($AP48="","",IF((IFERROR(_xlfn.IFS(TRIM(SUBSTITUTE($BH48,CHAR(160),""))="Devis 1", IFERROR(VALUE(TRIM(SUBSTITUTE(AV48,CHAR(160),""))),0),TRIM(SUBSTITUTE($BH48,CHAR(160),""))="Devis 2", IFERROR(VALUE(TRIM(SUBSTITUTE(BA48,CHAR(160),""))),0),TRIM(SUBSTITUTE($BH48,CHAR(160),""))="Devis 3", IFERROR(VALUE(TRIM(SUBSTITUTE(BF48,CHAR(160),""))),0)),0) * IFERROR(VALUE(TRIM(SUBSTITUTE($AP48,CHAR(160),""))),0)) = 0,IF(BM48&lt;&gt;"",0,""),(IFERROR(_xlfn.IFS(TRIM(SUBSTITUTE($BH48,CHAR(160),""))="Devis 1", IFERROR(VALUE(TRIM(SUBSTITUTE(AV48,CHAR(160),""))),0),TRIM(SUBSTITUTE($BH48,CHAR(160),""))="Devis 2", IFERROR(VALUE(TRIM(SUBSTITUTE(BA48,CHAR(160),""))),0),TRIM(SUBSTITUTE($BH48,CHAR(160),""))="Devis 3", IFERROR(VALUE(TRIM(SUBSTITUTE(BF48,CHAR(160),""))),0)),0) * IFERROR(VALUE(TRIM(SUBSTITUTE($AP48,CHAR(160),""))),0))))</f>
        <v/>
      </c>
      <c r="BO48" s="1202" t="str" cm="1">
        <f t="array" ref="BO48">IF($AP48="","",IF(IFERROR(_xlfn.IFS($BH48="Devis 1",IFERROR(VALUE(TRIM(SUBSTITUTE(AW48,CHAR(160),""))),0),$BH48="Devis 2",IFERROR(VALUE(TRIM(SUBSTITUTE(BB48,CHAR(160),""))),0),$BH48="Devis 3",IFERROR(VALUE(TRIM(SUBSTITUTE(BG48,CHAR(160),""))),0)),0)*IFERROR(VALUE(TRIM(SUBSTITUTE($AP48,CHAR(160),""))),0)=0,"",IFERROR(_xlfn.IFS($BH48="Devis 1",IFERROR(VALUE(TRIM(SUBSTITUTE(AW48,CHAR(160),""))),0),$BH48="Devis 2",IFERROR(VALUE(TRIM(SUBSTITUTE(BB48,CHAR(160),""))),0),$BH48="Devis 3",IFERROR(VALUE(TRIM(SUBSTITUTE(BG48,CHAR(160),""))),0)),0)*IFERROR(VALUE(TRIM(SUBSTITUTE($AP48,CHAR(160),""))),0)))</f>
        <v/>
      </c>
      <c r="BP48" s="194"/>
      <c r="BQ48" s="219" t="str" cm="1">
        <f t="array" ref="BQ48">IF(OR(BO48="",BL48="",BM48="",BJ48="",BN48="",BK48=""),"",_xlfn.IFS(
ROUND(IFERROR(VALUE(TRIM(SUBSTITUTE(BO48,CHAR(160),""))),0),2)&gt;
ROUND(IFERROR(VALUE(TRIM(SUBSTITUTE(BL48,CHAR(160),""))),0),2),
"KO : Le montant retenu TTC est supérieur au montant raisonnable TTC. Merci de revoir la ligne de dépense ou plafonner son montant.",
ROUND(IFERROR(VALUE(TRIM(SUBSTITUTE(BM48,CHAR(160),""))),0),2)&gt;
ROUND(IFERROR(VALUE(TRIM(SUBSTITUTE(BJ48,CHAR(160),""))),0),2),
"Attention : Le montant retenu HT est supérieur au montant HT raisonnable. Merci de revoir la ligne de dépense, plafonner son montant, ou justifier la reventillation HT / TVA.",
ROUND(IFERROR(VALUE(TRIM(SUBSTITUTE(BN48,CHAR(160),""))),0),2)&gt;
ROUND(IFERROR(VALUE(TRIM(SUBSTITUTE(BK48,CHAR(160),""))),0),2),
"Attention : Le montant TVA retenu est supérieur au montant TVA raisonnable. Merci de revoir la ligne de dépense, plafonner son montant, ou justifier la reventillation HT / TVA.",
ROUND(IFERROR(VALUE(TRIM(SUBSTITUTE(BO48,CHAR(160),""))),0),2)&gt;
ROUND(IFERROR(VALUE(TRIM(SUBSTITUTE(MIN(R48,W48,AB48),CHAR(160),""))),0),2),
"Attention : Le devis retenu n'est pas le moins cher. Une justification de la part du porteur est nécessaire.",
ROUND(IFERROR(VALUE(TRIM(SUBSTITUTE(BO48,CHAR(160),""))),0),2)=0,
"Attention : montant présenté entièrement écarté",
ROUND(IFERROR(VALUE(TRIM(SUBSTITUTE(BL48,CHAR(160),""))),0),2)=
ROUND(IFERROR(VALUE(TRIM(SUBSTITUTE(BO48,CHAR(160),""))),0),2),
"OK",
ROUND(IFERROR(VALUE(TRIM(SUBSTITUTE(BL48,CHAR(160),""))),0),2)&gt;
ROUND(IFERROR(VALUE(TRIM(SUBSTITUTE(BO48,CHAR(160),""))),0),2),
" OK : Montant instruit inférieur au montant raisonnable.",
TRUE,""
))</f>
        <v/>
      </c>
      <c r="BR48" s="216" t="str" cm="1">
        <f t="array" ref="BR48">IF(OR(BO48="",AF48="",BM48="",AD48="",BN48="",AE48=""),"",_xlfn.IFS(
ROUND(IFERROR(VALUE(TRIM(SUBSTITUTE(BO48,CHAR(160),""))),0),2)&gt;
ROUND(IFERROR(VALUE(TRIM(SUBSTITUTE(AF48,CHAR(160),""))),0),2),
"KO : Le montant retenu TTC est supérieur au montant présenté TTC. Merci de revoir la ligne de dépense ou plafonner son montant.",
ROUND(IFERROR(VALUE(TRIM(SUBSTITUTE(BM48,CHAR(160),""))),0),2)&gt;
ROUND(IFERROR(VALUE(TRIM(SUBSTITUTE(AD48,CHAR(160),""))),0),2),
"Attention : Le montant retenu HT est supérieur au montant HT présenté. Merci de revoir la ligne de dépense, plafonner son montant, ou justifier la reventillation HT / TVA.",
ROUND(IFERROR(VALUE(TRIM(SUBSTITUTE(BN48,CHAR(160),""))),0),2)&gt;
ROUND(IFERROR(VALUE(TRIM(SUBSTITUTE(AE48,CHAR(160),""))),0),2),
"Attention : Le montant TVA retenu est supérieur au montant TVA présenté. Merci de revoir la ligne de dépense, plafonner son montant, ou justifier la reventillation HT / TVA.",
ROUND(IFERROR(VALUE(TRIM(SUBSTITUTE(AF48,CHAR(160),""))),0),2)=0,
"",
ROUND(IFERROR(VALUE(TRIM(SUBSTITUTE(BO48,CHAR(160),""))),0),2)=
ROUND(IFERROR(VALUE(TRIM(SUBSTITUTE(AF48,CHAR(160),""))),0),2),
"OK",
ROUND(IFERROR(VALUE(TRIM(SUBSTITUTE(BO48,CHAR(160),""))),0),2)=0,
"Attention : Montant présenté entièrement rejeté.",
ROUND(IFERROR(VALUE(TRIM(SUBSTITUTE(BO48,CHAR(160),""))),0),2)&lt;
ROUND(IFERROR(VALUE(TRIM(SUBSTITUTE(AF48,CHAR(160),""))),0),2),
"Attention : Montant présenté partiellement rejeté.",
TRUE,""
))</f>
        <v/>
      </c>
      <c r="BS48" s="1202" t="str">
        <f t="shared" si="30"/>
        <v/>
      </c>
      <c r="BT48" s="1202" t="str">
        <f t="shared" si="31"/>
        <v/>
      </c>
      <c r="BU48" s="1216" t="str">
        <f t="shared" si="32"/>
        <v/>
      </c>
    </row>
    <row r="49" spans="2:74" ht="15.95" customHeight="1" thickBot="1">
      <c r="B49" s="1297">
        <v>40</v>
      </c>
      <c r="C49" s="12"/>
      <c r="D49" s="12"/>
      <c r="E49" s="927"/>
      <c r="F49" s="12"/>
      <c r="G49" s="12"/>
      <c r="H49" s="12"/>
      <c r="I49" s="927"/>
      <c r="J49" s="12"/>
      <c r="K49" s="16"/>
      <c r="L49" s="1209"/>
      <c r="M49" s="12"/>
      <c r="N49" s="12"/>
      <c r="O49" s="12"/>
      <c r="P49" s="1210"/>
      <c r="Q49" s="1210"/>
      <c r="R49" s="1211" t="str">
        <f t="shared" si="35"/>
        <v/>
      </c>
      <c r="S49" s="1212"/>
      <c r="T49" s="1212"/>
      <c r="U49" s="1210"/>
      <c r="V49" s="1210"/>
      <c r="W49" s="1316" t="str">
        <f t="shared" si="33"/>
        <v/>
      </c>
      <c r="X49" s="1317"/>
      <c r="Y49" s="1317"/>
      <c r="Z49" s="1210"/>
      <c r="AA49" s="1210"/>
      <c r="AB49" s="1316" t="str">
        <f t="shared" si="34"/>
        <v/>
      </c>
      <c r="AC49" s="12"/>
      <c r="AD49" s="1213" t="str" cm="1">
        <f t="array" ref="AD49">IF((_xlfn.IFS(TRIM(SUBSTITUTE(AC49,CHAR(160),""))="Devis 1",IFERROR(VALUE(TRIM(SUBSTITUTE(P49,CHAR(160),""))),0),TRIM(SUBSTITUTE(AC49,CHAR(160),""))="Devis 2",IFERROR(VALUE(TRIM(SUBSTITUTE(U49,CHAR(160),""))),0),TRIM(SUBSTITUTE(AC49,CHAR(160),""))="Devis 3",IFERROR(VALUE(TRIM(SUBSTITUTE(Z49,CHAR(160),""))),0),TRUE,0)*IFERROR(VALUE(TRIM(SUBSTITUTE(K49,CHAR(160),""))),0))=0,"",_xlfn.IFS(TRIM(SUBSTITUTE(AC49,CHAR(160),""))="Devis 1",IFERROR(VALUE(TRIM(SUBSTITUTE(P49,CHAR(160),""))),0),TRIM(SUBSTITUTE(AC49,CHAR(160),""))="Devis 2",IFERROR(VALUE(TRIM(SUBSTITUTE(U49,CHAR(160),""))),0),TRIM(SUBSTITUTE(AC49,CHAR(160),""))="Devis 3",IFERROR(VALUE(TRIM(SUBSTITUTE(Z49,CHAR(160),""))),0),TRUE,0)*IFERROR(VALUE(TRIM(SUBSTITUTE(K49,CHAR(160),""))),0))</f>
        <v/>
      </c>
      <c r="AE49" s="1213" t="str" cm="1">
        <f t="array" ref="AE49">IF((_xlfn.IFS(TRIM(SUBSTITUTE(AC49,CHAR(160),""))="Devis 1",IFERROR(VALUE(TRIM(SUBSTITUTE(Q49,CHAR(160),""))),0),TRIM(SUBSTITUTE(AC49,CHAR(160),""))="Devis 2",IFERROR(VALUE(TRIM(SUBSTITUTE(V49,CHAR(160),""))),0),TRIM(SUBSTITUTE(AC49,CHAR(160),""))="Devis 3",IFERROR(VALUE(TRIM(SUBSTITUTE(AA49,CHAR(160),""))),0),TRUE,0)*IFERROR(VALUE(TRIM(SUBSTITUTE(K49,CHAR(160),""))),0))=0,"",_xlfn.IFS(TRIM(SUBSTITUTE(AC49,CHAR(160),""))="Devis 1",IFERROR(VALUE(TRIM(SUBSTITUTE(Q49,CHAR(160),""))),0),TRIM(SUBSTITUTE(AD49,CHAR(160),""))="Devis 2",IFERROR(VALUE(TRIM(SUBSTITUTE(V49,CHAR(160),""))),0),TRIM(SUBSTITUTE(AD49,CHAR(160),""))="Devis 3",IFERROR(VALUE(TRIM(SUBSTITUTE(AA49,CHAR(160),""))),0),TRUE,0)*IFERROR(VALUE(TRIM(SUBSTITUTE(K49,CHAR(160),""))),0))</f>
        <v/>
      </c>
      <c r="AF49" s="1213" t="str" cm="1">
        <f t="array" ref="AF49">IF((_xlfn.IFS(TRIM(SUBSTITUTE(AC49,CHAR(160),""))="Devis 1",IFERROR(VALUE(TRIM(SUBSTITUTE(R49,CHAR(160),""))),0),TRIM(SUBSTITUTE(AC49,CHAR(160),""))="Devis 2",IFERROR(VALUE(TRIM(SUBSTITUTE(W49,CHAR(160),""))),0),TRIM(SUBSTITUTE(AC49,CHAR(160),""))="Devis 3",IFERROR(VALUE(TRIM(SUBSTITUTE(AB49,CHAR(160),""))),0),TRUE,0)*IFERROR(VALUE(TRIM(SUBSTITUTE(K49,CHAR(160),""))),0))=0,"",_xlfn.IFS(TRIM(SUBSTITUTE(AC49,CHAR(160),""))="Devis 1",IFERROR(VALUE(TRIM(SUBSTITUTE(R49,CHAR(160),""))),0),TRIM(SUBSTITUTE(AC49,CHAR(160),""))="Devis 2",IFERROR(VALUE(TRIM(SUBSTITUTE(W49,CHAR(160),""))),0),TRIM(SUBSTITUTE(AC49,CHAR(160),""))="Devis 3",IFERROR(VALUE(TRIM(SUBSTITUTE(AB49,CHAR(160),""))),0),TRUE,0)*IFERROR(VALUE(TRIM(SUBSTITUTE(K49,CHAR(160),""))),0))</f>
        <v/>
      </c>
      <c r="AG49" s="1214"/>
      <c r="AH49" s="683" t="str">
        <f t="shared" si="0"/>
        <v/>
      </c>
      <c r="AI49" s="57" t="str">
        <f t="shared" si="1"/>
        <v/>
      </c>
      <c r="AJ49" s="1217" t="str">
        <f t="shared" si="2"/>
        <v/>
      </c>
      <c r="AK49" s="1217" t="str">
        <f t="shared" si="3"/>
        <v/>
      </c>
      <c r="AL49" s="1217" t="str">
        <f t="shared" si="4"/>
        <v/>
      </c>
      <c r="AM49" s="1217" t="str">
        <f t="shared" si="5"/>
        <v/>
      </c>
      <c r="AN49" s="1217" t="str">
        <f t="shared" si="6"/>
        <v/>
      </c>
      <c r="AO49" s="1217" t="str">
        <f t="shared" si="7"/>
        <v/>
      </c>
      <c r="AP49" s="1217" t="str">
        <f t="shared" si="8"/>
        <v/>
      </c>
      <c r="AQ49" s="1217" t="str">
        <f t="shared" si="9"/>
        <v/>
      </c>
      <c r="AR49" s="1217" t="str">
        <f t="shared" si="10"/>
        <v/>
      </c>
      <c r="AS49" s="1217" t="str">
        <f t="shared" si="11"/>
        <v/>
      </c>
      <c r="AT49" s="1217" t="str">
        <f t="shared" si="12"/>
        <v/>
      </c>
      <c r="AU49" s="1217" t="str">
        <f t="shared" si="13"/>
        <v/>
      </c>
      <c r="AV49" s="1217" t="str">
        <f t="shared" si="14"/>
        <v/>
      </c>
      <c r="AW49" s="1211" t="str">
        <f t="shared" si="15"/>
        <v/>
      </c>
      <c r="AX49" s="1217" t="str">
        <f t="shared" si="16"/>
        <v/>
      </c>
      <c r="AY49" s="1217" t="str">
        <f t="shared" si="17"/>
        <v/>
      </c>
      <c r="AZ49" s="1217" t="str">
        <f t="shared" si="18"/>
        <v/>
      </c>
      <c r="BA49" s="1217" t="str">
        <f t="shared" si="19"/>
        <v/>
      </c>
      <c r="BB49" s="1211" t="str">
        <f t="shared" si="20"/>
        <v/>
      </c>
      <c r="BC49" s="1217" t="str">
        <f t="shared" si="21"/>
        <v/>
      </c>
      <c r="BD49" s="1217" t="str">
        <f t="shared" si="22"/>
        <v/>
      </c>
      <c r="BE49" s="1217" t="str">
        <f t="shared" si="23"/>
        <v/>
      </c>
      <c r="BF49" s="1217" t="str">
        <f t="shared" si="24"/>
        <v/>
      </c>
      <c r="BG49" s="1211" t="str">
        <f t="shared" si="25"/>
        <v/>
      </c>
      <c r="BH49" s="1218" t="str">
        <f t="shared" si="26"/>
        <v/>
      </c>
      <c r="BI49" s="1219"/>
      <c r="BJ49" s="1211" t="str">
        <f t="shared" si="27"/>
        <v/>
      </c>
      <c r="BK49" s="1211" t="str">
        <f t="shared" si="28"/>
        <v/>
      </c>
      <c r="BL49" s="1211" t="str">
        <f t="shared" si="29"/>
        <v/>
      </c>
      <c r="BM49" s="1213" t="str" cm="1">
        <f t="array" ref="BM49">IF($AP49="","",IF((IFERROR(_xlfn.IFS($BH49="Devis 1",(IFERROR(VALUE(TRIM(SUBSTITUTE(AU49,CHAR(160),""))),0)),$BH49="Devis 2",(IFERROR(VALUE(TRIM(SUBSTITUTE(AZ49,CHAR(160),""))),0)),$BH49="Devis 3",(IFERROR(VALUE(TRIM(SUBSTITUTE(BE49,CHAR(160),""))),0))),0))*(IFERROR(VALUE(TRIM(SUBSTITUTE($AP49,CHAR(160),""))),0))=0,"",(IFERROR(_xlfn.IFS($BH49="Devis 1",(IFERROR(VALUE(TRIM(SUBSTITUTE(AU49,CHAR(160),""))),0)),$BH49="Devis 2",(IFERROR(VALUE(TRIM(SUBSTITUTE(AZ49,CHAR(160),""))),0)),$BH49="Devis 3",(IFERROR(VALUE(TRIM(SUBSTITUTE(BE49,CHAR(160),""))),0))),0))*(IFERROR(VALUE(TRIM(SUBSTITUTE($AP49,CHAR(160),""))),0))))</f>
        <v/>
      </c>
      <c r="BN49" s="1213" t="str" cm="1">
        <f t="array" ref="BN49">IF($AP49="","",IF((IFERROR(_xlfn.IFS(TRIM(SUBSTITUTE($BH49,CHAR(160),""))="Devis 1", IFERROR(VALUE(TRIM(SUBSTITUTE(AV49,CHAR(160),""))),0),TRIM(SUBSTITUTE($BH49,CHAR(160),""))="Devis 2", IFERROR(VALUE(TRIM(SUBSTITUTE(BA49,CHAR(160),""))),0),TRIM(SUBSTITUTE($BH49,CHAR(160),""))="Devis 3", IFERROR(VALUE(TRIM(SUBSTITUTE(BF49,CHAR(160),""))),0)),0) * IFERROR(VALUE(TRIM(SUBSTITUTE($AP49,CHAR(160),""))),0)) = 0,IF(BM49&lt;&gt;"",0,""),(IFERROR(_xlfn.IFS(TRIM(SUBSTITUTE($BH49,CHAR(160),""))="Devis 1", IFERROR(VALUE(TRIM(SUBSTITUTE(AV49,CHAR(160),""))),0),TRIM(SUBSTITUTE($BH49,CHAR(160),""))="Devis 2", IFERROR(VALUE(TRIM(SUBSTITUTE(BA49,CHAR(160),""))),0),TRIM(SUBSTITUTE($BH49,CHAR(160),""))="Devis 3", IFERROR(VALUE(TRIM(SUBSTITUTE(BF49,CHAR(160),""))),0)),0) * IFERROR(VALUE(TRIM(SUBSTITUTE($AP49,CHAR(160),""))),0))))</f>
        <v/>
      </c>
      <c r="BO49" s="1213" t="str" cm="1">
        <f t="array" ref="BO49">IF($AP49="","",IF(IFERROR(_xlfn.IFS($BH49="Devis 1",IFERROR(VALUE(TRIM(SUBSTITUTE(AW49,CHAR(160),""))),0),$BH49="Devis 2",IFERROR(VALUE(TRIM(SUBSTITUTE(BB49,CHAR(160),""))),0),$BH49="Devis 3",IFERROR(VALUE(TRIM(SUBSTITUTE(BG49,CHAR(160),""))),0)),0)*IFERROR(VALUE(TRIM(SUBSTITUTE($AP49,CHAR(160),""))),0)=0,"",IFERROR(_xlfn.IFS($BH49="Devis 1",IFERROR(VALUE(TRIM(SUBSTITUTE(AW49,CHAR(160),""))),0),$BH49="Devis 2",IFERROR(VALUE(TRIM(SUBSTITUTE(BB49,CHAR(160),""))),0),$BH49="Devis 3",IFERROR(VALUE(TRIM(SUBSTITUTE(BG49,CHAR(160),""))),0)),0)*IFERROR(VALUE(TRIM(SUBSTITUTE($AP49,CHAR(160),""))),0)))</f>
        <v/>
      </c>
      <c r="BP49" s="1220"/>
      <c r="BQ49" s="1221" t="str" cm="1">
        <f t="array" ref="BQ49">IF(OR(BO49="",BL49="",BM49="",BJ49="",BN49="",BK49=""),"",_xlfn.IFS(
ROUND(IFERROR(VALUE(TRIM(SUBSTITUTE(BO49,CHAR(160),""))),0),2)&gt;
ROUND(IFERROR(VALUE(TRIM(SUBSTITUTE(BL49,CHAR(160),""))),0),2),
"KO : Le montant retenu TTC est supérieur au montant raisonnable TTC. Merci de revoir la ligne de dépense ou plafonner son montant.",
ROUND(IFERROR(VALUE(TRIM(SUBSTITUTE(BM49,CHAR(160),""))),0),2)&gt;
ROUND(IFERROR(VALUE(TRIM(SUBSTITUTE(BJ49,CHAR(160),""))),0),2),
"Attention : Le montant retenu HT est supérieur au montant HT raisonnable. Merci de revoir la ligne de dépense, plafonner son montant, ou justifier la reventillation HT / TVA.",
ROUND(IFERROR(VALUE(TRIM(SUBSTITUTE(BN49,CHAR(160),""))),0),2)&gt;
ROUND(IFERROR(VALUE(TRIM(SUBSTITUTE(BK49,CHAR(160),""))),0),2),
"Attention : Le montant TVA retenu est supérieur au montant TVA raisonnable. Merci de revoir la ligne de dépense, plafonner son montant, ou justifier la reventillation HT / TVA.",
ROUND(IFERROR(VALUE(TRIM(SUBSTITUTE(BO49,CHAR(160),""))),0),2)&gt;
ROUND(IFERROR(VALUE(TRIM(SUBSTITUTE(MIN(R49,W49,AB49),CHAR(160),""))),0),2),
"Attention : Le devis retenu n'est pas le moins cher. Une justification de la part du porteur est nécessaire.",
ROUND(IFERROR(VALUE(TRIM(SUBSTITUTE(BO49,CHAR(160),""))),0),2)=0,
"Attention : montant présenté entièrement écarté",
ROUND(IFERROR(VALUE(TRIM(SUBSTITUTE(BL49,CHAR(160),""))),0),2)=
ROUND(IFERROR(VALUE(TRIM(SUBSTITUTE(BO49,CHAR(160),""))),0),2),
"OK",
ROUND(IFERROR(VALUE(TRIM(SUBSTITUTE(BL49,CHAR(160),""))),0),2)&gt;
ROUND(IFERROR(VALUE(TRIM(SUBSTITUTE(BO49,CHAR(160),""))),0),2),
" OK : Montant instruit inférieur au montant raisonnable.",
TRUE,""
))</f>
        <v/>
      </c>
      <c r="BR49" s="1221" t="str" cm="1">
        <f t="array" ref="BR49">IF(OR(BO49="",AF49="",BM49="",AD49="",BN49="",AE49=""),"",_xlfn.IFS(
ROUND(IFERROR(VALUE(TRIM(SUBSTITUTE(BO49,CHAR(160),""))),0),2)&gt;
ROUND(IFERROR(VALUE(TRIM(SUBSTITUTE(AF49,CHAR(160),""))),0),2),
"KO : Le montant retenu TTC est supérieur au montant présenté TTC. Merci de revoir la ligne de dépense ou plafonner son montant.",
ROUND(IFERROR(VALUE(TRIM(SUBSTITUTE(BM49,CHAR(160),""))),0),2)&gt;
ROUND(IFERROR(VALUE(TRIM(SUBSTITUTE(AD49,CHAR(160),""))),0),2),
"Attention : Le montant retenu HT est supérieur au montant HT présenté. Merci de revoir la ligne de dépense, plafonner son montant, ou justifier la reventillation HT / TVA.",
ROUND(IFERROR(VALUE(TRIM(SUBSTITUTE(BN49,CHAR(160),""))),0),2)&gt;
ROUND(IFERROR(VALUE(TRIM(SUBSTITUTE(AE49,CHAR(160),""))),0),2),
"Attention : Le montant TVA retenu est supérieur au montant TVA présenté. Merci de revoir la ligne de dépense, plafonner son montant, ou justifier la reventillation HT / TVA.",
ROUND(IFERROR(VALUE(TRIM(SUBSTITUTE(AF49,CHAR(160),""))),0),2)=0,
"",
ROUND(IFERROR(VALUE(TRIM(SUBSTITUTE(BO49,CHAR(160),""))),0),2)=
ROUND(IFERROR(VALUE(TRIM(SUBSTITUTE(AF49,CHAR(160),""))),0),2),
"OK",
ROUND(IFERROR(VALUE(TRIM(SUBSTITUTE(BO49,CHAR(160),""))),0),2)=0,
"Attention : Montant présenté entièrement rejeté.",
ROUND(IFERROR(VALUE(TRIM(SUBSTITUTE(BO49,CHAR(160),""))),0),2)&lt;
ROUND(IFERROR(VALUE(TRIM(SUBSTITUTE(AF49,CHAR(160),""))),0),2),
"Attention : Montant présenté partiellement rejeté.",
TRUE,""
))</f>
        <v/>
      </c>
      <c r="BS49" s="1213" t="str">
        <f t="shared" si="30"/>
        <v/>
      </c>
      <c r="BT49" s="1213" t="str">
        <f t="shared" si="31"/>
        <v/>
      </c>
      <c r="BU49" s="1222" t="str">
        <f t="shared" si="32"/>
        <v/>
      </c>
    </row>
    <row r="50" spans="2:74" ht="17.100000000000001" thickBot="1">
      <c r="D50" s="227"/>
      <c r="E50" s="95"/>
      <c r="F50" s="95"/>
      <c r="G50" s="95"/>
      <c r="H50" s="95"/>
      <c r="I50" s="95"/>
      <c r="J50" s="95"/>
      <c r="K50" s="95"/>
      <c r="L50" s="95"/>
      <c r="M50" s="84"/>
      <c r="N50" s="84"/>
      <c r="O50" s="84"/>
      <c r="P50" s="118"/>
      <c r="Q50" s="118"/>
      <c r="R50" s="118"/>
      <c r="S50" s="118"/>
      <c r="T50" s="118"/>
      <c r="U50" s="95"/>
      <c r="V50" s="95"/>
      <c r="W50" s="95"/>
      <c r="X50" s="95"/>
      <c r="Y50" s="95"/>
      <c r="Z50" s="95"/>
      <c r="AA50" s="95"/>
      <c r="AC50" s="434" t="s">
        <v>146</v>
      </c>
      <c r="AD50" s="1295">
        <f>SUM(AD10:AD49)</f>
        <v>0</v>
      </c>
      <c r="AE50" s="1295">
        <f>SUM(AE10:AE49)</f>
        <v>0</v>
      </c>
      <c r="AF50" s="1296">
        <f>SUM(AF10:AF49)</f>
        <v>0</v>
      </c>
      <c r="AG50" s="95"/>
      <c r="AI50" s="227"/>
      <c r="AJ50" s="95"/>
      <c r="AK50" s="84"/>
      <c r="AL50" s="84"/>
      <c r="AM50" s="118"/>
      <c r="AN50" s="118"/>
      <c r="AO50" s="118"/>
      <c r="AP50" s="118"/>
      <c r="AQ50" s="118"/>
      <c r="AR50" s="118"/>
      <c r="AS50" s="118"/>
      <c r="AT50" s="118"/>
      <c r="AU50" s="74"/>
      <c r="BI50" s="84"/>
      <c r="BL50" s="96" t="s">
        <v>147</v>
      </c>
      <c r="BM50" s="97">
        <f>SUM(BM10:BM49)</f>
        <v>0</v>
      </c>
      <c r="BN50" s="97">
        <f>SUM(BN10:BN49)</f>
        <v>0</v>
      </c>
      <c r="BO50" s="301">
        <f>SUM(BO10:BO49)</f>
        <v>0</v>
      </c>
      <c r="BR50" s="96" t="s">
        <v>148</v>
      </c>
      <c r="BS50" s="97">
        <f>SUM(BS10:BS49)</f>
        <v>0</v>
      </c>
      <c r="BT50" s="97">
        <f>SUM(BT10:BT49)</f>
        <v>0</v>
      </c>
      <c r="BU50" s="301">
        <f>SUM(BU10:BU49)</f>
        <v>0</v>
      </c>
    </row>
    <row r="51" spans="2:74" ht="14.45" customHeight="1"/>
    <row r="52" spans="2:74">
      <c r="B52" s="1877"/>
      <c r="C52" s="1877"/>
      <c r="D52" s="1877"/>
      <c r="E52" s="1877"/>
      <c r="F52" s="1877"/>
      <c r="G52" s="1877"/>
      <c r="H52" s="1877"/>
      <c r="I52" s="1877"/>
      <c r="J52" s="1877"/>
      <c r="K52" s="1877"/>
      <c r="L52" s="307"/>
      <c r="M52" s="307"/>
      <c r="N52" s="307"/>
      <c r="O52" s="307"/>
      <c r="P52" s="307"/>
      <c r="Q52" s="307"/>
      <c r="R52" s="307"/>
      <c r="S52" s="307"/>
      <c r="T52" s="307"/>
      <c r="U52" s="307"/>
      <c r="V52" s="307"/>
      <c r="W52" s="307"/>
      <c r="X52" s="307"/>
      <c r="Y52" s="307"/>
      <c r="Z52" s="307"/>
      <c r="AA52" s="307"/>
      <c r="AB52" s="307"/>
      <c r="AC52" s="307"/>
      <c r="AD52" s="307"/>
      <c r="AE52" s="307"/>
      <c r="AF52" s="307"/>
      <c r="AG52" s="307"/>
    </row>
    <row r="53" spans="2:74" ht="26.45" customHeight="1" thickBot="1"/>
    <row r="54" spans="2:74" s="98" customFormat="1" ht="60" customHeight="1">
      <c r="B54" s="185"/>
      <c r="C54" s="185"/>
      <c r="D54" s="100" t="s">
        <v>149</v>
      </c>
      <c r="E54" s="101"/>
      <c r="F54" s="308"/>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185"/>
      <c r="AI54" s="185"/>
      <c r="AJ54" s="185"/>
      <c r="AK54" s="185"/>
      <c r="AL54" s="185"/>
      <c r="AM54" s="185"/>
      <c r="AN54" s="185"/>
      <c r="AO54" s="185"/>
      <c r="AP54" s="185"/>
      <c r="AQ54" s="185"/>
      <c r="AR54" s="185"/>
      <c r="AS54" s="185"/>
      <c r="AT54" s="185"/>
      <c r="AU54" s="185"/>
      <c r="AV54" s="185"/>
      <c r="AW54" s="185"/>
      <c r="AX54" s="185"/>
      <c r="AY54" s="185"/>
      <c r="AZ54" s="185"/>
      <c r="BA54" s="185"/>
      <c r="BB54" s="185"/>
      <c r="BC54" s="185"/>
      <c r="BD54" s="185"/>
      <c r="BE54" s="185"/>
      <c r="BF54" s="185"/>
      <c r="BG54" s="185"/>
      <c r="BH54" s="405"/>
      <c r="BI54" s="185"/>
      <c r="BJ54" s="185"/>
      <c r="BK54" s="185"/>
      <c r="BL54" s="185"/>
      <c r="BM54" s="185"/>
      <c r="BN54" s="185"/>
      <c r="BO54" s="185"/>
      <c r="BP54" s="185"/>
      <c r="BQ54" s="185"/>
      <c r="BR54" s="185"/>
      <c r="BS54" s="185"/>
      <c r="BT54" s="185"/>
      <c r="BU54" s="185"/>
    </row>
    <row r="55" spans="2:74" s="291" customFormat="1" ht="132.94999999999999" customHeight="1">
      <c r="B55" s="185"/>
      <c r="C55" s="185"/>
      <c r="D55" s="65"/>
      <c r="E55" s="103"/>
      <c r="F55" s="308"/>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405"/>
      <c r="BI55" s="185"/>
      <c r="BJ55" s="185"/>
      <c r="BK55" s="185"/>
      <c r="BL55" s="185"/>
      <c r="BM55" s="185"/>
      <c r="BN55" s="185"/>
      <c r="BO55" s="185"/>
      <c r="BP55" s="185"/>
      <c r="BQ55" s="185"/>
      <c r="BR55" s="185"/>
      <c r="BS55" s="185"/>
      <c r="BT55" s="185"/>
      <c r="BU55" s="185"/>
      <c r="BV55" s="290"/>
    </row>
    <row r="56" spans="2:74" s="295" customFormat="1">
      <c r="B56" s="185"/>
      <c r="C56" s="185"/>
      <c r="D56" s="65" t="s">
        <v>150</v>
      </c>
      <c r="E56" s="103"/>
      <c r="F56" s="308"/>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185"/>
      <c r="AI56" s="185"/>
      <c r="AJ56" s="185"/>
      <c r="AK56" s="185"/>
      <c r="AL56" s="185"/>
      <c r="AM56" s="185"/>
      <c r="AN56" s="185"/>
      <c r="AO56" s="185"/>
      <c r="AP56" s="185"/>
      <c r="AQ56" s="185"/>
      <c r="AR56" s="185"/>
      <c r="AS56" s="185"/>
      <c r="AT56" s="185"/>
      <c r="AU56" s="185"/>
      <c r="AV56" s="185"/>
      <c r="AW56" s="185"/>
      <c r="AX56" s="185"/>
      <c r="AY56" s="185"/>
      <c r="AZ56" s="185"/>
      <c r="BA56" s="185"/>
      <c r="BB56" s="185"/>
      <c r="BC56" s="185"/>
      <c r="BD56" s="185"/>
      <c r="BE56" s="185"/>
      <c r="BF56" s="185"/>
      <c r="BG56" s="185"/>
      <c r="BH56" s="405"/>
      <c r="BI56" s="185"/>
      <c r="BJ56" s="185"/>
      <c r="BK56" s="185"/>
      <c r="BL56" s="185"/>
      <c r="BM56" s="185"/>
      <c r="BN56" s="185"/>
      <c r="BO56" s="185"/>
      <c r="BP56" s="185"/>
      <c r="BQ56" s="185"/>
      <c r="BR56" s="185"/>
      <c r="BS56" s="185"/>
      <c r="BT56" s="185"/>
      <c r="BU56" s="185"/>
    </row>
    <row r="57" spans="2:74">
      <c r="D57" s="65"/>
      <c r="E57" s="103"/>
      <c r="F57" s="308"/>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row>
    <row r="58" spans="2:74">
      <c r="D58" s="65"/>
      <c r="E58" s="103"/>
      <c r="F58" s="308"/>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row>
    <row r="59" spans="2:74">
      <c r="D59" s="65" t="s">
        <v>151</v>
      </c>
      <c r="E59" s="103"/>
      <c r="F59" s="308"/>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row>
    <row r="60" spans="2:74">
      <c r="D60" s="105"/>
      <c r="E60" s="103"/>
      <c r="F60" s="309"/>
      <c r="G60" s="98"/>
      <c r="H60" s="98"/>
      <c r="I60" s="98"/>
      <c r="J60" s="98"/>
      <c r="K60" s="98"/>
      <c r="L60" s="98"/>
      <c r="M60" s="98"/>
      <c r="N60" s="98"/>
      <c r="O60" s="98"/>
      <c r="P60" s="98"/>
      <c r="Q60" s="98"/>
      <c r="R60" s="98"/>
      <c r="S60" s="98"/>
      <c r="T60" s="98"/>
      <c r="U60" s="98"/>
      <c r="V60" s="98"/>
      <c r="W60" s="98"/>
      <c r="X60" s="98"/>
      <c r="Y60" s="98"/>
      <c r="Z60" s="98"/>
      <c r="AA60" s="98"/>
      <c r="AB60" s="98"/>
      <c r="AC60" s="98"/>
      <c r="AD60" s="98"/>
      <c r="AE60" s="98"/>
      <c r="AF60" s="98"/>
      <c r="AG60" s="98"/>
    </row>
    <row r="61" spans="2:74">
      <c r="D61" s="105"/>
      <c r="E61" s="103"/>
      <c r="F61" s="309"/>
      <c r="G61" s="98"/>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row>
    <row r="62" spans="2:74">
      <c r="D62" s="105"/>
      <c r="E62" s="103"/>
      <c r="F62" s="309"/>
      <c r="G62" s="98"/>
      <c r="H62" s="98"/>
      <c r="I62" s="98"/>
      <c r="J62" s="98"/>
      <c r="K62" s="98"/>
      <c r="L62" s="98"/>
      <c r="M62" s="98"/>
      <c r="N62" s="98"/>
      <c r="O62" s="98"/>
      <c r="P62" s="98"/>
      <c r="Q62" s="98"/>
      <c r="R62" s="98"/>
      <c r="S62" s="98"/>
      <c r="T62" s="98"/>
      <c r="U62" s="98"/>
      <c r="V62" s="98"/>
      <c r="W62" s="98"/>
      <c r="X62" s="98"/>
      <c r="Y62" s="98"/>
      <c r="Z62" s="98"/>
      <c r="AA62" s="98"/>
      <c r="AB62" s="98"/>
      <c r="AC62" s="98"/>
      <c r="AD62" s="98"/>
      <c r="AE62" s="98"/>
      <c r="AF62" s="98"/>
      <c r="AG62" s="98"/>
    </row>
    <row r="63" spans="2:74">
      <c r="D63" s="105"/>
      <c r="E63" s="103"/>
      <c r="F63" s="309"/>
      <c r="G63" s="98"/>
      <c r="H63" s="98"/>
      <c r="I63" s="98"/>
      <c r="J63" s="98"/>
      <c r="K63" s="98"/>
      <c r="L63" s="98"/>
      <c r="M63" s="98"/>
      <c r="N63" s="98"/>
      <c r="O63" s="98"/>
      <c r="P63" s="98"/>
      <c r="Q63" s="98"/>
      <c r="R63" s="98"/>
      <c r="S63" s="98"/>
      <c r="T63" s="98"/>
      <c r="U63" s="98"/>
      <c r="V63" s="98"/>
      <c r="W63" s="98"/>
      <c r="X63" s="98"/>
      <c r="Y63" s="98"/>
      <c r="Z63" s="98"/>
      <c r="AA63" s="98"/>
      <c r="AB63" s="98"/>
      <c r="AC63" s="98"/>
      <c r="AD63" s="98"/>
      <c r="AE63" s="98"/>
      <c r="AF63" s="98"/>
      <c r="AG63" s="98"/>
    </row>
    <row r="64" spans="2:74" ht="15.95" thickBot="1">
      <c r="D64" s="107"/>
      <c r="E64" s="108"/>
      <c r="F64" s="309"/>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row>
    <row r="99" ht="264.95" customHeight="1"/>
    <row r="103" ht="14.45" customHeight="1"/>
  </sheetData>
  <sheetProtection algorithmName="SHA-512" hashValue="hR+IXYKzEIvcaCfd0cNOXHbAe5QvuLRNXUOMB2BaKFfyTX5m49YXnd2wOy3txbMu/A62P6nhcLseHqC3ybrocA==" saltValue="1U58Wr2q7wUW23QR6tdk9g==" spinCount="100000" sheet="1" formatCells="0" formatColumns="0" formatRows="0" insertColumns="0" insertRows="0" insertHyperlinks="0" deleteColumns="0" deleteRows="0" sort="0" autoFilter="0" pivotTables="0"/>
  <mergeCells count="7">
    <mergeCell ref="B7:B8"/>
    <mergeCell ref="B52:K52"/>
    <mergeCell ref="AH6:BU6"/>
    <mergeCell ref="D3:H3"/>
    <mergeCell ref="B6:AG6"/>
    <mergeCell ref="K2:AA3"/>
    <mergeCell ref="D2:I2"/>
  </mergeCells>
  <phoneticPr fontId="31" type="noConversion"/>
  <conditionalFormatting sqref="AH10:BH49">
    <cfRule type="expression" dxfId="34" priority="90">
      <formula>AH10&lt;&gt;C10</formula>
    </cfRule>
  </conditionalFormatting>
  <conditionalFormatting sqref="BI10:BI49">
    <cfRule type="containsText" dxfId="33" priority="10" stopIfTrue="1" operator="containsText" text="Non">
      <formula>NOT(ISERROR(SEARCH("Non",BI10)))</formula>
    </cfRule>
  </conditionalFormatting>
  <conditionalFormatting sqref="BQ9:BR49">
    <cfRule type="containsText" dxfId="32" priority="5" operator="containsText" text="Attention">
      <formula>NOT(ISERROR(SEARCH("Attention",BQ9)))</formula>
    </cfRule>
    <cfRule type="containsText" dxfId="31" priority="28" stopIfTrue="1" operator="containsText" text="KO">
      <formula>NOT(ISERROR(SEARCH("KO",BQ9)))</formula>
    </cfRule>
    <cfRule type="containsText" dxfId="30" priority="29" operator="containsText" text="OK">
      <formula>NOT(ISERROR(SEARCH("OK",BQ9)))</formula>
    </cfRule>
  </conditionalFormatting>
  <dataValidations count="10">
    <dataValidation type="list" allowBlank="1" showInputMessage="1" showErrorMessage="1" promptTitle="Sélectionnez un poste de dépense" prompt="Cliquez sur le menu déroulant" sqref="D50" xr:uid="{2F04322C-D7B5-41C5-ABDD-FA8D94F79F00}">
      <formula1>"Echanges dev-perf-envir-eco , Renforcement sys-exploit , Adapt-prod-zone-contrainte , Id-protect-prod , Innov-bottom-up , Outils-num-agri-ali , Mentions-valo , Dev-gestion-risques , Fav-territ-souv-ali-écosys , Promouvoir savoir-faire-transfo-ressources"</formula1>
    </dataValidation>
    <dataValidation type="list" allowBlank="1" showInputMessage="1" showErrorMessage="1" sqref="AK9:AL9 F9" xr:uid="{D70C46C6-A50F-451C-8689-4A630B45AAF8}">
      <formula1>"Pas de marché public , Marché à procédure adaptée (MAPA) , Marché innovant , Marché à procédure formalisée"</formula1>
    </dataValidation>
    <dataValidation type="list" allowBlank="1" showInputMessage="1" showErrorMessage="1" sqref="AM9:AN9 H9:H49" xr:uid="{C2D270F6-BA43-4B9F-B177-2EB5D4178CE2}">
      <formula1>"Oui,Non,Non Concerné"</formula1>
    </dataValidation>
    <dataValidation type="list" allowBlank="1" showInputMessage="1" showErrorMessage="1" sqref="BI9:BI49" xr:uid="{5B6FE045-BA50-403E-A0CF-C979AEE080EC}">
      <formula1>"Oui,Non,Sans objet"</formula1>
    </dataValidation>
    <dataValidation type="list" allowBlank="1" showInputMessage="1" showErrorMessage="1" sqref="D9:D49 AI9:AI49" xr:uid="{4113D225-2EF5-41BA-BCB4-E3BF32F62CD8}">
      <formula1>"Création groupes opérationnels, Projets groupes opérationnels, Diffusion résultats"</formula1>
    </dataValidation>
    <dataValidation type="list" allowBlank="1" showInputMessage="1" showErrorMessage="1" sqref="C9:C49 AH9" xr:uid="{DB36895B-0487-4120-9680-F3FBBC73D1DA}">
      <formula1>"Chef de file,Partenaire 1,Partenaire 2, Partenaire 3,Partenaire 4, Partenaire 5,Partenaire 6,Partenaire 7"</formula1>
    </dataValidation>
    <dataValidation type="list" allowBlank="1" showInputMessage="1" showErrorMessage="1" sqref="AC10:AC49" xr:uid="{74BA6479-D52A-E849-AC4C-0123C83D7FF7}">
      <formula1>"Devis 1,Devis 2,Devis 3"</formula1>
    </dataValidation>
    <dataValidation type="list" allowBlank="1" showInputMessage="1" showErrorMessage="1" sqref="F10:F49 G11:G49" xr:uid="{59546045-458C-1447-A6B4-B825553DC7F4}">
      <formula1>"Pas de marché public, Marché à procédure adaptée (MAPA) , Marché innovant , Marché à procédure formalisée"</formula1>
    </dataValidation>
    <dataValidation type="list" allowBlank="1" showInputMessage="1" showErrorMessage="1" sqref="I9:I49" xr:uid="{F5377916-2A67-404C-80E2-075577B536E4}">
      <formula1>"Oui,Non"</formula1>
    </dataValidation>
    <dataValidation type="list" allowBlank="1" showInputMessage="1" showErrorMessage="1" sqref="G9:G10" xr:uid="{31ECF5A7-D2F1-184D-B543-C6FAE8BAD818}">
      <formula1>"Oui,Non,Non concerné"</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tabColor theme="8" tint="0.59999389629810485"/>
  </sheetPr>
  <dimension ref="B1:CA62"/>
  <sheetViews>
    <sheetView showGridLines="0" topLeftCell="BW3" zoomScale="55" zoomScaleNormal="55" workbookViewId="0">
      <selection activeCell="CV10" sqref="CV10"/>
    </sheetView>
  </sheetViews>
  <sheetFormatPr defaultColWidth="11.42578125" defaultRowHeight="15" outlineLevelCol="1"/>
  <cols>
    <col min="1" max="1" width="5.42578125" customWidth="1"/>
    <col min="3" max="6" width="20.42578125" customWidth="1"/>
    <col min="7" max="7" width="21.140625" customWidth="1"/>
    <col min="8" max="8" width="17.140625" customWidth="1"/>
    <col min="9" max="31" width="19.42578125" customWidth="1"/>
    <col min="32" max="32" width="43.85546875" customWidth="1"/>
    <col min="33" max="33" width="36.42578125" customWidth="1"/>
    <col min="34" max="36" width="20.42578125" hidden="1" customWidth="1" outlineLevel="1"/>
    <col min="37" max="37" width="23.85546875" hidden="1" customWidth="1" outlineLevel="1"/>
    <col min="38" max="38" width="21.140625" hidden="1" customWidth="1" outlineLevel="1"/>
    <col min="39" max="39" width="17.140625" hidden="1" customWidth="1" outlineLevel="1"/>
    <col min="40" max="43" width="19.42578125" hidden="1" customWidth="1" outlineLevel="1"/>
    <col min="44" max="53" width="19.42578125" style="353" hidden="1" customWidth="1" outlineLevel="1"/>
    <col min="54" max="54" width="18.85546875" style="353" hidden="1" customWidth="1" outlineLevel="1"/>
    <col min="55" max="55" width="17.42578125" style="353" hidden="1" customWidth="1" outlineLevel="1"/>
    <col min="56" max="66" width="16" style="353" hidden="1" customWidth="1" outlineLevel="1"/>
    <col min="67" max="67" width="53.42578125" style="353" hidden="1" customWidth="1" outlineLevel="1"/>
    <col min="68" max="68" width="46.42578125" hidden="1" customWidth="1" outlineLevel="1"/>
    <col min="69" max="69" width="38.42578125" hidden="1" customWidth="1" outlineLevel="1"/>
    <col min="70" max="71" width="30" hidden="1" customWidth="1" outlineLevel="1"/>
    <col min="72" max="74" width="16" hidden="1" customWidth="1" outlineLevel="1"/>
    <col min="75" max="75" width="11.42578125" collapsed="1"/>
    <col min="78" max="78" width="0" hidden="1" customWidth="1"/>
  </cols>
  <sheetData>
    <row r="1" spans="2:79" ht="15.95" thickBot="1"/>
    <row r="2" spans="2:79" ht="36.75" customHeight="1" thickBot="1">
      <c r="D2" s="1824" t="s">
        <v>311</v>
      </c>
      <c r="E2" s="1825"/>
      <c r="F2" s="1825"/>
      <c r="G2" s="1825"/>
      <c r="H2" s="1825"/>
      <c r="I2" s="1825"/>
      <c r="J2" s="1825"/>
      <c r="K2" s="1826"/>
      <c r="L2" s="110"/>
      <c r="M2" s="1882" t="s">
        <v>312</v>
      </c>
      <c r="N2" s="1883"/>
      <c r="O2" s="1883"/>
      <c r="P2" s="1883"/>
      <c r="Q2" s="1883"/>
      <c r="R2" s="1883"/>
      <c r="S2" s="1884"/>
      <c r="T2" s="110"/>
      <c r="U2" s="110"/>
      <c r="V2" s="110"/>
      <c r="W2" s="110"/>
      <c r="X2" s="110"/>
      <c r="Y2" s="110"/>
      <c r="Z2" s="110"/>
      <c r="AA2" s="110"/>
      <c r="AB2" s="110"/>
      <c r="AC2" s="110"/>
      <c r="AD2" s="110"/>
      <c r="AE2" s="110"/>
      <c r="AF2" s="110"/>
      <c r="AG2" s="110"/>
    </row>
    <row r="3" spans="2:79" ht="348" customHeight="1" thickBot="1">
      <c r="D3" s="1827" t="s">
        <v>313</v>
      </c>
      <c r="E3" s="1828"/>
      <c r="F3" s="1828"/>
      <c r="G3" s="1828"/>
      <c r="H3" s="1828"/>
      <c r="I3" s="1828"/>
      <c r="J3" s="1828"/>
      <c r="K3" s="1829"/>
      <c r="L3" s="111"/>
      <c r="M3" s="1885" t="s">
        <v>314</v>
      </c>
      <c r="N3" s="1886"/>
      <c r="O3" s="1886"/>
      <c r="P3" s="1886"/>
      <c r="Q3" s="1886"/>
      <c r="R3" s="1886"/>
      <c r="S3" s="1887"/>
      <c r="T3" s="111"/>
      <c r="U3" s="111"/>
      <c r="V3" s="111"/>
      <c r="W3" s="111"/>
      <c r="X3" s="111"/>
      <c r="Y3" s="111"/>
      <c r="Z3" s="111"/>
      <c r="AC3" s="111"/>
      <c r="AD3" s="111"/>
      <c r="AE3" s="111"/>
      <c r="AF3" s="111"/>
      <c r="AG3" s="111"/>
    </row>
    <row r="4" spans="2:79" ht="20.100000000000001" thickBot="1">
      <c r="C4" s="112"/>
      <c r="D4" s="112"/>
      <c r="BZ4" s="840" t="s">
        <v>315</v>
      </c>
    </row>
    <row r="5" spans="2:79" ht="81.95" customHeight="1" thickBot="1">
      <c r="B5" s="1897" t="s">
        <v>316</v>
      </c>
      <c r="C5" s="1898"/>
      <c r="D5" s="1898"/>
      <c r="E5" s="1898"/>
      <c r="F5" s="1898"/>
      <c r="G5" s="1898"/>
      <c r="H5" s="1898"/>
      <c r="I5" s="1898"/>
      <c r="J5" s="1898"/>
      <c r="K5" s="1898"/>
      <c r="L5" s="1898"/>
      <c r="M5" s="1898"/>
      <c r="N5" s="1898"/>
      <c r="O5" s="1898"/>
      <c r="P5" s="1898"/>
      <c r="Q5" s="1898"/>
      <c r="R5" s="1898"/>
      <c r="S5" s="1898"/>
      <c r="T5" s="1898"/>
      <c r="U5" s="1898"/>
      <c r="V5" s="1898"/>
      <c r="W5" s="1898"/>
      <c r="X5" s="1898"/>
      <c r="Y5" s="1898"/>
      <c r="Z5" s="1898"/>
      <c r="AA5" s="1898"/>
      <c r="AB5" s="1898"/>
      <c r="AC5" s="1898"/>
      <c r="AD5" s="1898"/>
      <c r="AE5" s="1898"/>
      <c r="AF5" s="1899"/>
      <c r="AG5" s="1900"/>
      <c r="AH5" s="1891" t="s">
        <v>317</v>
      </c>
      <c r="AI5" s="1892"/>
      <c r="AJ5" s="1892"/>
      <c r="AK5" s="1892"/>
      <c r="AL5" s="1892"/>
      <c r="AM5" s="1892"/>
      <c r="AN5" s="1892"/>
      <c r="AO5" s="1892"/>
      <c r="AP5" s="1892"/>
      <c r="AQ5" s="1892"/>
      <c r="AR5" s="1892"/>
      <c r="AS5" s="1892"/>
      <c r="AT5" s="1892"/>
      <c r="AU5" s="1892"/>
      <c r="AV5" s="1892"/>
      <c r="AW5" s="1892"/>
      <c r="AX5" s="1892"/>
      <c r="AY5" s="1892"/>
      <c r="AZ5" s="1892"/>
      <c r="BA5" s="1892"/>
      <c r="BB5" s="1892"/>
      <c r="BC5" s="1892"/>
      <c r="BD5" s="1892"/>
      <c r="BE5" s="1892"/>
      <c r="BF5" s="1892"/>
      <c r="BG5" s="1892"/>
      <c r="BH5" s="1892"/>
      <c r="BI5" s="1892"/>
      <c r="BJ5" s="1892"/>
      <c r="BK5" s="1892"/>
      <c r="BL5" s="1892"/>
      <c r="BM5" s="1892"/>
      <c r="BN5" s="1892"/>
      <c r="BO5" s="1893"/>
      <c r="BP5" s="1893"/>
      <c r="BQ5" s="1893"/>
      <c r="BR5" s="1893"/>
      <c r="BS5" s="1893"/>
      <c r="BT5" s="1893"/>
      <c r="BU5" s="1893"/>
      <c r="BV5" s="1894"/>
      <c r="BZ5" s="838" t="s">
        <v>318</v>
      </c>
    </row>
    <row r="6" spans="2:79" ht="81" customHeight="1" thickBot="1">
      <c r="B6" s="626"/>
      <c r="C6" s="1863" t="s">
        <v>319</v>
      </c>
      <c r="D6" s="1864"/>
      <c r="E6" s="1864"/>
      <c r="F6" s="1888"/>
      <c r="G6" s="1864" t="s">
        <v>320</v>
      </c>
      <c r="H6" s="1864"/>
      <c r="I6" s="1864"/>
      <c r="J6" s="1864"/>
      <c r="K6" s="1864"/>
      <c r="L6" s="1864"/>
      <c r="M6" s="1864"/>
      <c r="N6" s="1864"/>
      <c r="O6" s="1864"/>
      <c r="P6" s="1864"/>
      <c r="Q6" s="1864"/>
      <c r="R6" s="1864"/>
      <c r="S6" s="1864"/>
      <c r="T6" s="1864"/>
      <c r="U6" s="1864"/>
      <c r="V6" s="1864"/>
      <c r="W6" s="1864"/>
      <c r="X6" s="1864"/>
      <c r="Y6" s="1864"/>
      <c r="Z6" s="1910" t="s">
        <v>321</v>
      </c>
      <c r="AA6" s="1911"/>
      <c r="AB6" s="1911"/>
      <c r="AC6" s="1911"/>
      <c r="AD6" s="1911"/>
      <c r="AE6" s="1912"/>
      <c r="AF6" s="849" t="s">
        <v>322</v>
      </c>
      <c r="AG6" s="700" t="s">
        <v>34</v>
      </c>
      <c r="AH6" s="1889" t="s">
        <v>319</v>
      </c>
      <c r="AI6" s="1890"/>
      <c r="AJ6" s="1890"/>
      <c r="AK6" s="1904"/>
      <c r="AL6" s="1889" t="s">
        <v>320</v>
      </c>
      <c r="AM6" s="1890"/>
      <c r="AN6" s="1890"/>
      <c r="AO6" s="1890"/>
      <c r="AP6" s="1890"/>
      <c r="AQ6" s="1890"/>
      <c r="AR6" s="1890"/>
      <c r="AS6" s="1890"/>
      <c r="AT6" s="1890"/>
      <c r="AU6" s="1890"/>
      <c r="AV6" s="1890"/>
      <c r="AW6" s="1890"/>
      <c r="AX6" s="1890"/>
      <c r="AY6" s="1890"/>
      <c r="AZ6" s="1890"/>
      <c r="BA6" s="1890"/>
      <c r="BB6" s="1890"/>
      <c r="BC6" s="1890"/>
      <c r="BD6" s="1890"/>
      <c r="BE6" s="1890"/>
      <c r="BF6" s="1890"/>
      <c r="BG6" s="1890"/>
      <c r="BH6" s="1890"/>
      <c r="BI6" s="1907" t="s">
        <v>321</v>
      </c>
      <c r="BJ6" s="1908"/>
      <c r="BK6" s="1908"/>
      <c r="BL6" s="1908"/>
      <c r="BM6" s="1908"/>
      <c r="BN6" s="1909"/>
      <c r="BO6" s="658" t="s">
        <v>323</v>
      </c>
      <c r="BP6" s="659"/>
      <c r="BQ6" s="659"/>
      <c r="BR6" s="659"/>
      <c r="BS6" s="659"/>
      <c r="BT6" s="659"/>
      <c r="BU6" s="659"/>
      <c r="BV6" s="660"/>
      <c r="BZ6" s="838" t="s">
        <v>324</v>
      </c>
    </row>
    <row r="7" spans="2:79" s="1" customFormat="1" ht="73.5" customHeight="1">
      <c r="B7" s="1895" t="s">
        <v>97</v>
      </c>
      <c r="C7" s="646" t="s">
        <v>98</v>
      </c>
      <c r="D7" s="113" t="s">
        <v>77</v>
      </c>
      <c r="E7" s="114" t="s">
        <v>185</v>
      </c>
      <c r="F7" s="647" t="s">
        <v>325</v>
      </c>
      <c r="G7" s="645" t="s">
        <v>161</v>
      </c>
      <c r="H7" s="311" t="s">
        <v>326</v>
      </c>
      <c r="I7" s="310" t="s">
        <v>164</v>
      </c>
      <c r="J7" s="311" t="s">
        <v>327</v>
      </c>
      <c r="K7" s="311" t="s">
        <v>328</v>
      </c>
      <c r="L7" s="310" t="s">
        <v>329</v>
      </c>
      <c r="M7" s="427" t="s">
        <v>170</v>
      </c>
      <c r="N7" s="114" t="s">
        <v>171</v>
      </c>
      <c r="O7" s="428" t="s">
        <v>172</v>
      </c>
      <c r="P7" s="429" t="s">
        <v>175</v>
      </c>
      <c r="Q7" s="114" t="s">
        <v>294</v>
      </c>
      <c r="R7" s="430" t="s">
        <v>177</v>
      </c>
      <c r="S7" s="431" t="s">
        <v>180</v>
      </c>
      <c r="T7" s="114" t="s">
        <v>181</v>
      </c>
      <c r="U7" s="430" t="s">
        <v>182</v>
      </c>
      <c r="V7" s="437" t="s">
        <v>183</v>
      </c>
      <c r="W7" s="432" t="s">
        <v>32</v>
      </c>
      <c r="X7" s="432" t="s">
        <v>184</v>
      </c>
      <c r="Y7" s="841" t="s">
        <v>33</v>
      </c>
      <c r="Z7" s="847" t="s">
        <v>330</v>
      </c>
      <c r="AA7" s="432" t="s">
        <v>331</v>
      </c>
      <c r="AB7" s="432" t="s">
        <v>332</v>
      </c>
      <c r="AC7" s="432" t="s">
        <v>333</v>
      </c>
      <c r="AD7" s="432" t="s">
        <v>334</v>
      </c>
      <c r="AE7" s="848" t="s">
        <v>335</v>
      </c>
      <c r="AF7" s="1901" t="s">
        <v>336</v>
      </c>
      <c r="AG7" s="1902" t="s">
        <v>221</v>
      </c>
      <c r="AH7" s="495" t="s">
        <v>98</v>
      </c>
      <c r="AI7" s="115" t="s">
        <v>77</v>
      </c>
      <c r="AJ7" s="86" t="s">
        <v>185</v>
      </c>
      <c r="AK7" s="652" t="s">
        <v>325</v>
      </c>
      <c r="AL7" s="661" t="s">
        <v>161</v>
      </c>
      <c r="AM7" s="52" t="s">
        <v>163</v>
      </c>
      <c r="AN7" s="273" t="s">
        <v>164</v>
      </c>
      <c r="AO7" s="52" t="s">
        <v>327</v>
      </c>
      <c r="AP7" s="52" t="s">
        <v>328</v>
      </c>
      <c r="AQ7" s="273" t="s">
        <v>329</v>
      </c>
      <c r="AR7" s="312" t="s">
        <v>170</v>
      </c>
      <c r="AS7" s="86" t="s">
        <v>171</v>
      </c>
      <c r="AT7" s="313" t="s">
        <v>172</v>
      </c>
      <c r="AU7" s="314" t="s">
        <v>175</v>
      </c>
      <c r="AV7" s="86" t="s">
        <v>294</v>
      </c>
      <c r="AW7" s="315" t="s">
        <v>177</v>
      </c>
      <c r="AX7" s="316" t="s">
        <v>180</v>
      </c>
      <c r="AY7" s="86" t="s">
        <v>181</v>
      </c>
      <c r="AZ7" s="315" t="s">
        <v>182</v>
      </c>
      <c r="BA7" s="316" t="s">
        <v>193</v>
      </c>
      <c r="BB7" s="52" t="s">
        <v>114</v>
      </c>
      <c r="BC7" s="88" t="s">
        <v>194</v>
      </c>
      <c r="BD7" s="88" t="s">
        <v>195</v>
      </c>
      <c r="BE7" s="88" t="s">
        <v>196</v>
      </c>
      <c r="BF7" s="88" t="s">
        <v>337</v>
      </c>
      <c r="BG7" s="88" t="s">
        <v>338</v>
      </c>
      <c r="BH7" s="88" t="s">
        <v>339</v>
      </c>
      <c r="BI7" s="833" t="s">
        <v>330</v>
      </c>
      <c r="BJ7" s="834" t="s">
        <v>331</v>
      </c>
      <c r="BK7" s="834" t="s">
        <v>332</v>
      </c>
      <c r="BL7" s="834" t="s">
        <v>333</v>
      </c>
      <c r="BM7" s="834" t="s">
        <v>334</v>
      </c>
      <c r="BN7" s="835" t="s">
        <v>335</v>
      </c>
      <c r="BO7" s="1905" t="s">
        <v>54</v>
      </c>
      <c r="BP7" s="836" t="s">
        <v>116</v>
      </c>
      <c r="BQ7" s="461" t="s">
        <v>200</v>
      </c>
      <c r="BR7" s="462" t="s">
        <v>340</v>
      </c>
      <c r="BS7" s="462" t="s">
        <v>341</v>
      </c>
      <c r="BT7" s="462" t="s">
        <v>201</v>
      </c>
      <c r="BU7" s="462" t="s">
        <v>202</v>
      </c>
      <c r="BV7" s="463" t="s">
        <v>203</v>
      </c>
      <c r="BZ7" s="839" t="s">
        <v>342</v>
      </c>
      <c r="CA7"/>
    </row>
    <row r="8" spans="2:79" ht="27" customHeight="1">
      <c r="B8" s="1896"/>
      <c r="C8" s="648" t="s">
        <v>117</v>
      </c>
      <c r="D8" s="53" t="s">
        <v>118</v>
      </c>
      <c r="E8" s="53"/>
      <c r="F8" s="649" t="s">
        <v>343</v>
      </c>
      <c r="G8" s="278" t="s">
        <v>344</v>
      </c>
      <c r="H8" s="276" t="s">
        <v>345</v>
      </c>
      <c r="I8" s="277" t="s">
        <v>211</v>
      </c>
      <c r="J8" s="275" t="s">
        <v>216</v>
      </c>
      <c r="K8" s="276" t="s">
        <v>215</v>
      </c>
      <c r="L8" s="277" t="s">
        <v>271</v>
      </c>
      <c r="M8" s="279" t="s">
        <v>217</v>
      </c>
      <c r="N8" s="276" t="s">
        <v>346</v>
      </c>
      <c r="O8" s="317" t="s">
        <v>57</v>
      </c>
      <c r="P8" s="280" t="s">
        <v>217</v>
      </c>
      <c r="Q8" s="276" t="s">
        <v>346</v>
      </c>
      <c r="R8" s="277" t="s">
        <v>57</v>
      </c>
      <c r="S8" s="281" t="s">
        <v>217</v>
      </c>
      <c r="T8" s="276" t="s">
        <v>346</v>
      </c>
      <c r="U8" s="282" t="s">
        <v>57</v>
      </c>
      <c r="V8" s="438" t="s">
        <v>220</v>
      </c>
      <c r="W8" s="426" t="s">
        <v>57</v>
      </c>
      <c r="X8" s="425" t="s">
        <v>57</v>
      </c>
      <c r="Y8" s="842" t="s">
        <v>57</v>
      </c>
      <c r="Z8" s="845" t="s">
        <v>347</v>
      </c>
      <c r="AA8" s="843" t="s">
        <v>348</v>
      </c>
      <c r="AB8" s="843" t="s">
        <v>349</v>
      </c>
      <c r="AC8" s="843" t="s">
        <v>348</v>
      </c>
      <c r="AD8" s="843" t="s">
        <v>350</v>
      </c>
      <c r="AE8" s="846" t="s">
        <v>351</v>
      </c>
      <c r="AF8" s="1901"/>
      <c r="AG8" s="1903"/>
      <c r="AH8" s="464" t="s">
        <v>57</v>
      </c>
      <c r="AI8" s="55" t="s">
        <v>57</v>
      </c>
      <c r="AJ8" s="89" t="s">
        <v>54</v>
      </c>
      <c r="AK8" s="653" t="s">
        <v>343</v>
      </c>
      <c r="AL8" s="663" t="s">
        <v>352</v>
      </c>
      <c r="AM8" s="283" t="s">
        <v>225</v>
      </c>
      <c r="AN8" s="284" t="s">
        <v>211</v>
      </c>
      <c r="AO8" s="89" t="s">
        <v>216</v>
      </c>
      <c r="AP8" s="283" t="s">
        <v>215</v>
      </c>
      <c r="AQ8" s="284" t="s">
        <v>271</v>
      </c>
      <c r="AR8" s="318" t="s">
        <v>217</v>
      </c>
      <c r="AS8" s="283" t="s">
        <v>346</v>
      </c>
      <c r="AT8" s="319" t="s">
        <v>57</v>
      </c>
      <c r="AU8" s="285" t="s">
        <v>217</v>
      </c>
      <c r="AV8" s="283" t="s">
        <v>346</v>
      </c>
      <c r="AW8" s="284" t="s">
        <v>57</v>
      </c>
      <c r="AX8" s="320" t="s">
        <v>217</v>
      </c>
      <c r="AY8" s="283" t="s">
        <v>346</v>
      </c>
      <c r="AZ8" s="286" t="s">
        <v>57</v>
      </c>
      <c r="BA8" s="287" t="s">
        <v>223</v>
      </c>
      <c r="BB8" s="283" t="s">
        <v>226</v>
      </c>
      <c r="BC8" s="55" t="s">
        <v>353</v>
      </c>
      <c r="BD8" s="55" t="s">
        <v>353</v>
      </c>
      <c r="BE8" s="55" t="s">
        <v>353</v>
      </c>
      <c r="BF8" s="55" t="s">
        <v>54</v>
      </c>
      <c r="BG8" s="55" t="s">
        <v>54</v>
      </c>
      <c r="BH8" s="289" t="s">
        <v>54</v>
      </c>
      <c r="BI8" s="828" t="s">
        <v>347</v>
      </c>
      <c r="BJ8" s="657" t="s">
        <v>354</v>
      </c>
      <c r="BK8" s="657" t="s">
        <v>354</v>
      </c>
      <c r="BL8" s="657" t="s">
        <v>354</v>
      </c>
      <c r="BM8" s="657" t="s">
        <v>354</v>
      </c>
      <c r="BN8" s="829" t="s">
        <v>354</v>
      </c>
      <c r="BO8" s="1906"/>
      <c r="BP8" s="837" t="s">
        <v>228</v>
      </c>
      <c r="BQ8" s="406" t="s">
        <v>229</v>
      </c>
      <c r="BR8" s="55" t="s">
        <v>56</v>
      </c>
      <c r="BS8" s="55" t="s">
        <v>56</v>
      </c>
      <c r="BT8" s="55" t="s">
        <v>57</v>
      </c>
      <c r="BU8" s="289" t="s">
        <v>57</v>
      </c>
      <c r="BV8" s="420" t="s">
        <v>57</v>
      </c>
      <c r="BZ8" s="838" t="s">
        <v>355</v>
      </c>
    </row>
    <row r="9" spans="2:79" s="116" customFormat="1" ht="48.95" thickBot="1">
      <c r="B9" s="644" t="s">
        <v>84</v>
      </c>
      <c r="C9" s="650" t="s">
        <v>13</v>
      </c>
      <c r="D9" s="446" t="s">
        <v>91</v>
      </c>
      <c r="E9" s="446" t="s">
        <v>356</v>
      </c>
      <c r="F9" s="1235" t="s">
        <v>141</v>
      </c>
      <c r="G9" s="408" t="s">
        <v>232</v>
      </c>
      <c r="H9" s="408" t="s">
        <v>242</v>
      </c>
      <c r="I9" s="409">
        <v>1</v>
      </c>
      <c r="J9" s="447" t="s">
        <v>357</v>
      </c>
      <c r="K9" s="408" t="s">
        <v>358</v>
      </c>
      <c r="L9" s="448" t="s">
        <v>359</v>
      </c>
      <c r="M9" s="467">
        <v>1200</v>
      </c>
      <c r="N9" s="294">
        <f>0.085*M9</f>
        <v>102.00000000000001</v>
      </c>
      <c r="O9" s="468">
        <v>1302</v>
      </c>
      <c r="P9" s="411"/>
      <c r="Q9" s="410"/>
      <c r="R9" s="412"/>
      <c r="S9" s="413"/>
      <c r="T9" s="410"/>
      <c r="U9" s="414"/>
      <c r="V9" s="632" t="s">
        <v>241</v>
      </c>
      <c r="W9" s="433">
        <v>1200</v>
      </c>
      <c r="X9" s="433">
        <v>102</v>
      </c>
      <c r="Y9" s="1361">
        <v>1302</v>
      </c>
      <c r="Z9" s="1362" t="s">
        <v>355</v>
      </c>
      <c r="AA9" s="1363" cm="1">
        <f t="array" ref="AA9">IF(Z9="","",_xlfn.IFS(Z9=$BZ$5,70,Z9=$BZ$6,90,Z9=$BZ$7,70,Z9=$BZ$8,90,Z9=$BZ$9,110))</f>
        <v>90</v>
      </c>
      <c r="AB9" s="1364">
        <v>4</v>
      </c>
      <c r="AC9" s="1363" cm="1">
        <f t="array" ref="AC9">IF(Z9="","",_xlfn.IFS(Z9=$BZ$5,15.75,Z9=$BZ$6,21,Z9=$BZ$7,15.25,Z9=$BZ$8,15.25,Z9=$BZ$9,15.25))</f>
        <v>15.25</v>
      </c>
      <c r="AD9" s="1364">
        <v>8</v>
      </c>
      <c r="AE9" s="1365">
        <f>IF(Z9="",0,AA9*AB9+AC9*AD9)</f>
        <v>482</v>
      </c>
      <c r="AF9" s="1366">
        <f>IF(D9="","",Y9+AE9)</f>
        <v>1784</v>
      </c>
      <c r="AG9" s="844"/>
      <c r="AH9" s="465" t="s">
        <v>13</v>
      </c>
      <c r="AI9" s="446" t="s">
        <v>91</v>
      </c>
      <c r="AJ9" s="446" t="s">
        <v>356</v>
      </c>
      <c r="AK9" s="1235" t="s">
        <v>141</v>
      </c>
      <c r="AL9" s="631" t="s">
        <v>232</v>
      </c>
      <c r="AM9" s="408" t="s">
        <v>242</v>
      </c>
      <c r="AN9" s="409">
        <v>1</v>
      </c>
      <c r="AO9" s="447" t="s">
        <v>357</v>
      </c>
      <c r="AP9" s="408" t="s">
        <v>358</v>
      </c>
      <c r="AQ9" s="448" t="s">
        <v>359</v>
      </c>
      <c r="AR9" s="449">
        <v>1200</v>
      </c>
      <c r="AS9" s="416">
        <f>0.085*AR9</f>
        <v>102.00000000000001</v>
      </c>
      <c r="AT9" s="474">
        <v>1302</v>
      </c>
      <c r="AU9" s="411"/>
      <c r="AV9" s="410"/>
      <c r="AW9" s="412"/>
      <c r="AX9" s="413"/>
      <c r="AY9" s="410"/>
      <c r="AZ9" s="414"/>
      <c r="BA9" s="415" t="s">
        <v>241</v>
      </c>
      <c r="BB9" s="369" t="s">
        <v>141</v>
      </c>
      <c r="BC9" s="416">
        <v>1380</v>
      </c>
      <c r="BD9" s="416">
        <v>117.3</v>
      </c>
      <c r="BE9" s="416">
        <v>1497.3</v>
      </c>
      <c r="BF9" s="450">
        <v>1200</v>
      </c>
      <c r="BG9" s="450">
        <v>102</v>
      </c>
      <c r="BH9" s="825">
        <v>1302</v>
      </c>
      <c r="BI9" s="825" t="str">
        <f t="shared" ref="BI9:BN9" si="0">Z9</f>
        <v>Métropole du Grand Paris</v>
      </c>
      <c r="BJ9" s="825">
        <f t="shared" si="0"/>
        <v>90</v>
      </c>
      <c r="BK9" s="825">
        <f t="shared" si="0"/>
        <v>4</v>
      </c>
      <c r="BL9" s="825">
        <f t="shared" si="0"/>
        <v>15.25</v>
      </c>
      <c r="BM9" s="825">
        <f t="shared" si="0"/>
        <v>8</v>
      </c>
      <c r="BN9" s="825">
        <f t="shared" si="0"/>
        <v>482</v>
      </c>
      <c r="BO9" s="825">
        <f>AF9</f>
        <v>1784</v>
      </c>
      <c r="BP9" s="825"/>
      <c r="BQ9" s="219" t="str" cm="1">
        <f t="array" ref="BQ9">IF(OR(BH9="",BE9="",BF9="",BC9="",BG9="",BD9=""),"",_xlfn.IFS(
ROUND(IFERROR(VALUE(TRIM(SUBSTITUTE(BH9,CHAR(160),""))),0),2)&gt;
ROUND(IFERROR(VALUE(TRIM(SUBSTITUTE(BE9,CHAR(160),""))),0),2),
"KO : Le montant retenu TTC est supérieur au montant raisonnable TTC. Merci de revoir la ligne de dépense ou plafonner son montant.",
ROUND(IFERROR(VALUE(TRIM(SUBSTITUTE(BF9,CHAR(160),""))),0),2)&gt;
ROUND(IFERROR(VALUE(TRIM(SUBSTITUTE(BC9,CHAR(160),""))),0),2),
"Attention : Le montant retenu HT est supérieur au montant HT raisonnable. Merci de revoir la ligne de dépense, plafonner son montant, ou justifier la reventillation HT / TVA.",
ROUND(IFERROR(VALUE(TRIM(SUBSTITUTE(BG9,CHAR(160),""))),0),2)&gt;
ROUND(IFERROR(VALUE(TRIM(SUBSTITUTE(BD9,CHAR(160),""))),0),2),
"Attention : Le montant TVA retenu est supérieur au montant TVA raisonnable. Merci de revoir la ligne de dépense, plafonner son montant, ou justifier la reventillation HT / TVA.",
ROUND(IFERROR(VALUE(TRIM(SUBSTITUTE(BH9,CHAR(160),""))),0),2)&gt;
ROUND(IFERROR(VALUE(TRIM(SUBSTITUTE(MIN(O9,R9,U9),CHAR(160),""))),0),2),
"Attention : Le devis retenu n'est pas le moins cher. Une justification de la part du porteur est nécessaire.",
ROUND(IFERROR(VALUE(TRIM(SUBSTITUTE(BH9,CHAR(160),""))),0),2)=0,
"Attention : montant présenté entièrement écarté",
ROUND(IFERROR(VALUE(TRIM(SUBSTITUTE(BE9,CHAR(160),""))),0),2)=
ROUND(IFERROR(VALUE(TRIM(SUBSTITUTE(BH9,CHAR(160),""))),0),2),
"OK",
ROUND(IFERROR(VALUE(TRIM(SUBSTITUTE(BE9,CHAR(160),""))),0),2)&gt;
ROUND(IFERROR(VALUE(TRIM(SUBSTITUTE(BH9,CHAR(160),""))),0),2),
" OK : Montant instruit inférieur au montant raisonnable.",
TRUE,""
))</f>
        <v xml:space="preserve"> OK : Montant instruit inférieur au montant raisonnable.</v>
      </c>
      <c r="BR9" s="219" t="str" cm="1">
        <f t="array" ref="BR9">IF(OR(BH9="",Y9="",BF9="",W9="",BG9="",X9=""),"",_xlfn.IFS(
ROUND(IFERROR(VALUE(TRIM(SUBSTITUTE(BH9,CHAR(160),""))),0),2)&gt;
ROUND(IFERROR(VALUE(TRIM(SUBSTITUTE(Y9,CHAR(160),""))),0),2),
"KO : Le montant retenu TTC est supérieur au montant présenté TTC. Merci de revoir la ligne de dépense ou plafonner son montant.",
ROUND(IFERROR(VALUE(TRIM(SUBSTITUTE(BF9,CHAR(160),""))),0),2)&gt;
ROUND(IFERROR(VALUE(TRIM(SUBSTITUTE(W9,CHAR(160),""))),0),2),
"Attention : Le montant retenu HT est supérieur au montant HT présenté. Merci de revoir la ligne de dépense, plafonner son montant, ou justifier la reventillation HT / TVA.",
ROUND(IFERROR(VALUE(TRIM(SUBSTITUTE(BG9,CHAR(160),""))),0),2)&gt;
ROUND(IFERROR(VALUE(TRIM(SUBSTITUTE(X9,CHAR(160),""))),0),2),
"Attention : Le montant TVA retenu est supérieur au montant TVA présenté. Merci de revoir la ligne de dépense, plafonner son montant, ou justifier la reventillation HT / TVA.",
ROUND(IFERROR(VALUE(TRIM(SUBSTITUTE(Y9,CHAR(160),""))),0),2)=0,
"",
ROUND(IFERROR(VALUE(TRIM(SUBSTITUTE(BH9,CHAR(160),""))),0),2)=
ROUND(IFERROR(VALUE(TRIM(SUBSTITUTE(Y9,CHAR(160),""))),0),2),
"OK",
ROUND(IFERROR(VALUE(TRIM(SUBSTITUTE(BH9,CHAR(160),""))),0),2)=0,
"Attention : Montant présenté entièrement rejeté.",
ROUND(IFERROR(VALUE(TRIM(SUBSTITUTE(BH9,CHAR(160),""))),0),2)&lt;
ROUND(IFERROR(VALUE(TRIM(SUBSTITUTE(Y9,CHAR(160),""))),0),2),
"Attention : Montant présenté partiellement rejeté.",
TRUE,""
))</f>
        <v>OK</v>
      </c>
      <c r="BS9" s="1332" t="str" cm="1">
        <f t="array" ref="BS9">IF(OR(BN9="",AE9=""),"",_xlfn.IFS(
ROUND(IFERROR(VALUE(TRIM(SUBSTITUTE(BN9,CHAR(160),""))),0),2)&gt;
ROUND(IFERROR(VALUE(TRIM(SUBSTITUTE(AE9,CHAR(160),""))),0),2),
"KO : Le montant retenu est supérieur au montant présenté. Merci de revoir la ligne de contributions ou plafonner son montant.",
ROUND(IFERROR(VALUE(TRIM(SUBSTITUTE(AE9,CHAR(160),""))),0),2)=0,
"",
ROUND(IFERROR(VALUE(TRIM(SUBSTITUTE(BN9,CHAR(160),""))),0),2)=
ROUND(IFERROR(VALUE(TRIM(SUBSTITUTE(AE9,CHAR(160),""))),0),2),
"OK",
ROUND(IFERROR(VALUE(TRIM(SUBSTITUTE(BN9,CHAR(160),""))),0),2)=0,
"Attention : Montant présenté entièrement rejeté.",
ROUND(IFERROR(VALUE(TRIM(SUBSTITUTE(BN9,CHAR(160),""))),0),2)&lt;
ROUND(IFERROR(VALUE(TRIM(SUBSTITUTE(AE9,CHAR(160),""))),0),2),
"Attention : Montant présenté partiellement rejeté.",
TRUE,""
))</f>
        <v>OK</v>
      </c>
      <c r="BT9" s="294">
        <v>0</v>
      </c>
      <c r="BU9" s="294">
        <v>0</v>
      </c>
      <c r="BV9" s="422">
        <v>0</v>
      </c>
      <c r="BZ9" s="838" t="s">
        <v>360</v>
      </c>
      <c r="CA9"/>
    </row>
    <row r="10" spans="2:79" ht="155.1" customHeight="1">
      <c r="B10" s="584">
        <v>1</v>
      </c>
      <c r="C10" s="1367"/>
      <c r="D10" s="10"/>
      <c r="E10" s="1368"/>
      <c r="F10" s="403"/>
      <c r="G10" s="1368"/>
      <c r="H10" s="1368"/>
      <c r="I10" s="1292"/>
      <c r="J10" s="10"/>
      <c r="K10" s="10"/>
      <c r="L10" s="1369"/>
      <c r="M10" s="14"/>
      <c r="N10" s="8"/>
      <c r="O10" s="296" t="str">
        <f>IF(OR(M10="", N10=""), "", IFERROR(VALUE(TRIM(SUBSTITUTE(M10,CHAR(160),""))),0) + IFERROR(VALUE(TRIM(SUBSTITUTE(N10,CHAR(160),""))),0))</f>
        <v/>
      </c>
      <c r="P10" s="1370"/>
      <c r="Q10" s="8"/>
      <c r="R10" s="1371" t="str">
        <f>IF(OR(P10="", Q10=""), "", IFERROR(VALUE(TRIM(SUBSTITUTE(P10,CHAR(160),""))),0) + IFERROR(VALUE(TRIM(SUBSTITUTE(Q10,CHAR(160),""))),0))</f>
        <v/>
      </c>
      <c r="S10" s="1372"/>
      <c r="T10" s="8"/>
      <c r="U10" s="1371" t="str">
        <f t="shared" ref="U10:U48" si="1">IF(OR(S10="", T10=""), "", IFERROR(VALUE(TRIM(SUBSTITUTE(S10,CHAR(160),""))),0) + IFERROR(VALUE(TRIM(SUBSTITUTE(T10,CHAR(160),""))),0))</f>
        <v/>
      </c>
      <c r="V10" s="1373"/>
      <c r="W10" s="1374" t="str" cm="1">
        <f t="array" ref="W10">IF((_xlfn.IFS(TRIM(SUBSTITUTE(V10,CHAR(160),""))="Devis 1",IFERROR(VALUE(TRIM(SUBSTITUTE(M10,CHAR(160),""))),0),TRIM(SUBSTITUTE(V10,CHAR(160),""))="Devis 2",IFERROR(VALUE(TRIM(SUBSTITUTE(P10,CHAR(160),""))),0),TRIM(SUBSTITUTE(V10,CHAR(160),""))="Devis 3",IFERROR(VALUE(TRIM(SUBSTITUTE(S10,CHAR(160),""))),0),TRUE,0))=0,"",_xlfn.IFS(TRIM(SUBSTITUTE(V10,CHAR(160),""))="Devis 1",IFERROR(VALUE(TRIM(SUBSTITUTE(M10,CHAR(160),""))),0),TRIM(SUBSTITUTE(V10,CHAR(160),""))="Devis 2",IFERROR(VALUE(TRIM(SUBSTITUTE(P10,CHAR(160),""))),0),TRIM(SUBSTITUTE(V10,CHAR(160),""))="Devis 3",IFERROR(VALUE(TRIM(SUBSTITUTE(S10,CHAR(160),""))),0),TRUE,0))</f>
        <v/>
      </c>
      <c r="X10" s="1374" t="str" cm="1">
        <f t="array" ref="X10">IF((_xlfn.IFS(TRIM(SUBSTITUTE(V10,CHAR(160),""))="Devis 1",IFERROR(VALUE(TRIM(SUBSTITUTE(N10,CHAR(160),""))),0),TRIM(SUBSTITUTE(V10,CHAR(160),""))="Devis 2",IFERROR(VALUE(TRIM(SUBSTITUTE(Q10,CHAR(160),""))),0),TRIM(SUBSTITUTE(V10,CHAR(160),""))="Devis 3",IFERROR(VALUE(TRIM(SUBSTITUTE(T10,CHAR(160),""))),0),TRUE,0))=0,"",_xlfn.IFS(TRIM(SUBSTITUTE(V10,CHAR(160),""))="Devis 1",IFERROR(VALUE(TRIM(SUBSTITUTE(N10,CHAR(160),""))),0),TRIM(SUBSTITUTE(V10,CHAR(160),""))="Devis 2",IFERROR(VALUE(TRIM(SUBSTITUTE(Q10,CHAR(160),""))),0),TRIM(SUBSTITUTE(V10,CHAR(160),""))="Devis 3",IFERROR(VALUE(TRIM(SUBSTITUTE(T10,CHAR(160),""))),0),TRUE,0))</f>
        <v/>
      </c>
      <c r="Y10" s="1375" t="str" cm="1">
        <f t="array" ref="Y10">IF((_xlfn.IFS(TRIM(SUBSTITUTE(V10,CHAR(160),""))="Devis 1",IFERROR(VALUE(TRIM(SUBSTITUTE(O10,CHAR(160),""))),0),TRIM(SUBSTITUTE(V10,CHAR(160),""))="Devis 2",IFERROR(VALUE(TRIM(SUBSTITUTE(R10,CHAR(160),""))),0),TRIM(SUBSTITUTE(V10,CHAR(160),""))="Devis 3",IFERROR(VALUE(TRIM(SUBSTITUTE(U10,CHAR(160),""))),0),TRUE,0))=0,"",_xlfn.IFS(TRIM(SUBSTITUTE(V10,CHAR(160),""))="Devis 1",IFERROR(VALUE(TRIM(SUBSTITUTE(O10,CHAR(160),""))),0),TRIM(SUBSTITUTE(V10,CHAR(160),""))="Devis 2",IFERROR(VALUE(TRIM(SUBSTITUTE(R10,CHAR(160),""))),0),TRIM(SUBSTITUTE(V10,CHAR(160),""))="Devis 3",IFERROR(VALUE(TRIM(SUBSTITUTE(U10,CHAR(160),""))),0),TRUE,0))</f>
        <v/>
      </c>
      <c r="Z10" s="1376"/>
      <c r="AA10" s="1377" t="str" cm="1">
        <f t="array" ref="AA10">IF(Z10="","",_xlfn.IFS(Z10=$BZ$5,70,Z10=$BZ$6,90,Z10=$BZ$7,70,Z10=$BZ$8,90,Z10=$BZ$9,110))</f>
        <v/>
      </c>
      <c r="AB10" s="1378"/>
      <c r="AC10" s="1377" t="str" cm="1">
        <f t="array" ref="AC10">IF(Z10="","",_xlfn.IFS(Z10=$BZ$5,15.75,Z10=$BZ$6,21,Z10=$BZ$7,15.25,Z10=$BZ$8,15.25,Z10=$BZ$9,15.25))</f>
        <v/>
      </c>
      <c r="AD10" s="1379"/>
      <c r="AE10" s="1344">
        <f>IF(Z10="",0,AA10*AB10+AC10*AD10)</f>
        <v>0</v>
      </c>
      <c r="AF10" s="1380" t="str">
        <f>IF(D10="","",Y10+AE10)</f>
        <v/>
      </c>
      <c r="AG10" s="1381"/>
      <c r="AH10" s="1382" t="str">
        <f t="shared" ref="AH10:AH49" si="2">IF(C10="","",C10)</f>
        <v/>
      </c>
      <c r="AI10" s="1413" t="str">
        <f t="shared" ref="AI10" si="3">IF(D10="","",D10)</f>
        <v/>
      </c>
      <c r="AJ10" s="1335" t="str">
        <f t="shared" ref="AJ10:AJ49" si="4">IF(E10="","",E10)</f>
        <v/>
      </c>
      <c r="AK10" s="403"/>
      <c r="AL10" s="1334" t="str">
        <f t="shared" ref="AL10:AL49" si="5">IF(G10="","",G10)</f>
        <v/>
      </c>
      <c r="AM10" s="1335" t="str">
        <f t="shared" ref="AM10:AM49" si="6">IF(H10="","",H10)</f>
        <v/>
      </c>
      <c r="AN10" s="1335" t="str">
        <f>IF(I10="","",I10)</f>
        <v/>
      </c>
      <c r="AO10" s="1335" t="str">
        <f>IF(J10="","",J10)</f>
        <v/>
      </c>
      <c r="AP10" s="1335" t="str">
        <f>IF(K10="","",K10)</f>
        <v/>
      </c>
      <c r="AQ10" s="1335" t="str">
        <f t="shared" ref="AQ10:AQ49" si="7">IF(L10="","",L10)</f>
        <v/>
      </c>
      <c r="AR10" s="1336" t="str">
        <f t="shared" ref="AR10:AR49" si="8">IF(M10="","",M10)</f>
        <v/>
      </c>
      <c r="AS10" s="1337" t="str">
        <f t="shared" ref="AS10:AS49" si="9">IF(N10="","",N10)</f>
        <v/>
      </c>
      <c r="AT10" s="1338" t="str">
        <f>IF(OR(AR10="", AS10=""), "", IFERROR(VALUE(TRIM(SUBSTITUTE(AR10,CHAR(160),""))),0) + IFERROR(VALUE(TRIM(SUBSTITUTE(AS10,CHAR(160),""))),0))</f>
        <v/>
      </c>
      <c r="AU10" s="1337" t="str">
        <f t="shared" ref="AU10:AU49" si="10">IF(P10="","",P10)</f>
        <v/>
      </c>
      <c r="AV10" s="1337" t="str">
        <f>IF(Q10="","",Q10)</f>
        <v/>
      </c>
      <c r="AW10" s="1339" t="str">
        <f>IF(OR(AU10="", AV10=""), "", IFERROR(VALUE(TRIM(SUBSTITUTE(AU10,CHAR(160),""))),0) + IFERROR(VALUE(TRIM(SUBSTITUTE(AV10,CHAR(160),""))),0))</f>
        <v/>
      </c>
      <c r="AX10" s="1337" t="str">
        <f t="shared" ref="AX10:AX49" si="11">IF(S10="","",S10)</f>
        <v/>
      </c>
      <c r="AY10" s="1337" t="str">
        <f t="shared" ref="AY10:AY49" si="12">IF(T10="","",T10)</f>
        <v/>
      </c>
      <c r="AZ10" s="1339" t="str">
        <f>IF(OR(AX10="", AY10=""), "", IFERROR(VALUE(TRIM(SUBSTITUTE(AX10,CHAR(160),""))),0) + IFERROR(VALUE(TRIM(SUBSTITUTE(AY10,CHAR(160),""))),0))</f>
        <v/>
      </c>
      <c r="BA10" s="1340" t="str">
        <f t="shared" ref="BA10:BA49" si="13">IF(V10="","",V10)</f>
        <v/>
      </c>
      <c r="BB10" s="1341"/>
      <c r="BC10" s="424" t="str">
        <f t="shared" ref="BC10:BC49" si="14">IF(AR10="","",IF((1.15*MIN(IF((IFERROR(VALUE(TRIM(SUBSTITUTE(AR10,CHAR(160),""))),0))=0,1E+30,(IFERROR(VALUE(TRIM(SUBSTITUTE(AR10,CHAR(160),""))),0))),IF((IFERROR(VALUE(TRIM(SUBSTITUTE(AU10,CHAR(160),""))),0))=0,1E+30,(IFERROR(VALUE(TRIM(SUBSTITUTE(AU10,CHAR(160),""))),0))),IF((IFERROR(VALUE(TRIM(SUBSTITUTE(AX10,CHAR(160),""))),0))=0,1E+30,(IFERROR(VALUE(TRIM(SUBSTITUTE(AX10,CHAR(160),""))),0)))=0)),"",(1.15*MIN(IF((IFERROR(VALUE(TRIM(SUBSTITUTE(AR10,CHAR(160),""))),0))=0,1E+30,(IFERROR(VALUE(TRIM(SUBSTITUTE(AR10,CHAR(160),""))),0))),IF((IFERROR(VALUE(TRIM(SUBSTITUTE(AU10,CHAR(160),""))),0))=0,1E+30,(IFERROR(VALUE(TRIM(SUBSTITUTE(AU10,CHAR(160),""))),0))),IF((IFERROR(VALUE(TRIM(SUBSTITUTE(AX10,CHAR(160),""))),0))=0,1E+30,(IFERROR(VALUE(TRIM(SUBSTITUTE(AX10,CHAR(160),""))),0)))))))</f>
        <v/>
      </c>
      <c r="BD10" s="424" t="str">
        <f t="shared" ref="BD10:BD48" si="15">IF(AS10="","",IF((1.15*MIN(IF((IFERROR(VALUE(TRIM(SUBSTITUTE(AS10,CHAR(160),""))),0))=0,1E+30,(IFERROR(VALUE(TRIM(SUBSTITUTE(AS10,CHAR(160),""))),0))),IF((IFERROR(VALUE(TRIM(SUBSTITUTE(AV10,CHAR(160),""))),0))=0,1E+30,(IFERROR(VALUE(TRIM(SUBSTITUTE(AV10,CHAR(160),""))),0))),IF((IFERROR(VALUE(TRIM(SUBSTITUTE(AY10,CHAR(160),""))),0))=0,1E+30,(IFERROR(VALUE(TRIM(SUBSTITUTE(AY10,CHAR(160),""))),0)))=0)),"",(1.15*MIN(IF((IFERROR(VALUE(TRIM(SUBSTITUTE(AS10,CHAR(160),""))),0))=0,1E+30,(IFERROR(VALUE(TRIM(SUBSTITUTE(AS10,CHAR(160),""))),0))),IF((IFERROR(VALUE(TRIM(SUBSTITUTE(AV10,CHAR(160),""))),0))=0,1E+30,(IFERROR(VALUE(TRIM(SUBSTITUTE(AV10,CHAR(160),""))),0))),IF((IFERROR(VALUE(TRIM(SUBSTITUTE(AY10,CHAR(160),""))),0))=0,1E+30,(IFERROR(VALUE(TRIM(SUBSTITUTE(AY10,CHAR(160),""))),0)))))))</f>
        <v/>
      </c>
      <c r="BE10" s="424" t="str">
        <f>IF(BC10="","",BC10+BD10)</f>
        <v/>
      </c>
      <c r="BF10" s="455" t="str" cm="1">
        <f t="array" ref="BF10">IF(AR10="","",IF((IFERROR(_xlfn.IFS($BA10="Devis 1",(IFERROR(VALUE(TRIM(SUBSTITUTE(AR10,CHAR(160),""))),0)),$BA10="Devis 2",(IFERROR(VALUE(TRIM(SUBSTITUTE(AU10,CHAR(160),""))),0)),$BA10="Devis 3",(IFERROR(VALUE(TRIM(SUBSTITUTE(AX10,CHAR(160),""))),0))),0))=0,"",(IFERROR(_xlfn.IFS($BA10="Devis 1",(IFERROR(VALUE(TRIM(SUBSTITUTE(AR10,CHAR(160),""))),0)),$BA10="Devis 2",(IFERROR(VALUE(TRIM(SUBSTITUTE(AU10,CHAR(160),""))),0)),$BA10="Devis 3",(IFERROR(VALUE(TRIM(SUBSTITUTE(AX10,CHAR(160),""))),0))),0))))</f>
        <v/>
      </c>
      <c r="BG10" s="455" t="str" cm="1">
        <f t="array" ref="BG10">IF(AS10="","",IF((IFERROR(_xlfn.IFS($BA10="Devis 1",(IFERROR(VALUE(TRIM(SUBSTITUTE(AS10,CHAR(160),""))),0)),$BA10="Devis 2",(IFERROR(VALUE(TRIM(SUBSTITUTE(AV10,CHAR(160),""))),0)),$BA10="Devis 3",(IFERROR(VALUE(TRIM(SUBSTITUTE(AY10,CHAR(160),""))),0))),0))=0,"",(IFERROR(_xlfn.IFS($BA10="Devis 1",(IFERROR(VALUE(TRIM(SUBSTITUTE(AS10,CHAR(160),""))),0)),$BA10="Devis 2",(IFERROR(VALUE(TRIM(SUBSTITUTE(AV10,CHAR(160),""))),0)),$BA10="Devis 3",(IFERROR(VALUE(TRIM(SUBSTITUTE(AY10,CHAR(160),""))),0))),0))))</f>
        <v/>
      </c>
      <c r="BH10" s="826" t="str">
        <f>IF(BF10="","",BF10+BG10)</f>
        <v/>
      </c>
      <c r="BI10" s="1342" t="str">
        <f>IF(Z10="","",Z10)</f>
        <v/>
      </c>
      <c r="BJ10" s="1337" t="str">
        <f>IF(AA10="","",AA10)</f>
        <v/>
      </c>
      <c r="BK10" s="1343" t="str">
        <f>IF(AB10="","",AB10)</f>
        <v/>
      </c>
      <c r="BL10" s="1337" t="str">
        <f>IF(AC10="","",AC10)</f>
        <v/>
      </c>
      <c r="BM10" s="1343" t="str">
        <f>IF(AD10="","",AD10)</f>
        <v/>
      </c>
      <c r="BN10" s="1344">
        <f t="shared" ref="BN10:BN11" si="16">IF(AH10=0,0,IFERROR(VALUE(TRIM(SUBSTITUTE(BJ10,CHAR(160),""))),0)*IFERROR(VALUE(TRIM(SUBSTITUTE(BK10,CHAR(160),""))),0)+IFERROR(VALUE(TRIM(SUBSTITUTE(BL10,CHAR(160),""))),0)*IFERROR(VALUE(TRIM(SUBSTITUTE(BM10,CHAR(160),""))),0))</f>
        <v>0</v>
      </c>
      <c r="BO10" s="676" t="str">
        <f t="shared" ref="BO10:BO49" si="17">IFERROR(IF(AH10="","",IF(BB10="Non",0,BH10+BN10)),"")</f>
        <v/>
      </c>
      <c r="BP10" s="1345"/>
      <c r="BQ10" s="1346" t="str" cm="1">
        <f t="array" ref="BQ10">IF(OR(BH10="",BE10="",BF10="",BC10="",BG10="",BD10=""),"",_xlfn.IFS(
ROUND(IFERROR(VALUE(TRIM(SUBSTITUTE(BH10,CHAR(160),""))),0),2)&gt;
ROUND(IFERROR(VALUE(TRIM(SUBSTITUTE(BE10,CHAR(160),""))),0),2),
"KO : Le montant retenu TTC est supérieur au montant raisonnable TTC. Merci de revoir la ligne de dépense ou plafonner son montant.",
ROUND(IFERROR(VALUE(TRIM(SUBSTITUTE(BF10,CHAR(160),""))),0),2)&gt;
ROUND(IFERROR(VALUE(TRIM(SUBSTITUTE(BC10,CHAR(160),""))),0),2),
"Attention : Le montant retenu HT est supérieur au montant HT raisonnable. Merci de revoir la ligne de dépense, plafonner son montant, ou justifier la reventillation HT / TVA.",
ROUND(IFERROR(VALUE(TRIM(SUBSTITUTE(BG10,CHAR(160),""))),0),2)&gt;
ROUND(IFERROR(VALUE(TRIM(SUBSTITUTE(BD10,CHAR(160),""))),0),2),
"Attention : Le montant TVA retenu est supérieur au montant TVA raisonnable. Merci de revoir la ligne de dépense, plafonner son montant, ou justifier la reventillation HT / TVA.",
ROUND(IFERROR(VALUE(TRIM(SUBSTITUTE(BH10,CHAR(160),""))),0),2)&gt;
ROUND(IFERROR(VALUE(TRIM(SUBSTITUTE(MIN(O10,R10,U10),CHAR(160),""))),0),2),
"Attention : Le devis retenu n'est pas le moins cher. Une justification de la part du porteur est nécessaire.",
ROUND(IFERROR(VALUE(TRIM(SUBSTITUTE(BH10,CHAR(160),""))),0),2)=0,
"Attention : montant présenté entièrement écarté",
ROUND(IFERROR(VALUE(TRIM(SUBSTITUTE(BE10,CHAR(160),""))),0),2)=
ROUND(IFERROR(VALUE(TRIM(SUBSTITUTE(BH10,CHAR(160),""))),0),2),
"OK",
ROUND(IFERROR(VALUE(TRIM(SUBSTITUTE(BE10,CHAR(160),""))),0),2)&gt;
ROUND(IFERROR(VALUE(TRIM(SUBSTITUTE(BH10,CHAR(160),""))),0),2),
" OK : Montant instruit inférieur au montant raisonnable.",
TRUE,""
))</f>
        <v/>
      </c>
      <c r="BR10" s="1346" t="str" cm="1">
        <f t="array" ref="BR10">IF(OR(BH10="",Y10="",BF10="",W10="",BG10="",X10=""),"",_xlfn.IFS(
ROUND(IFERROR(VALUE(TRIM(SUBSTITUTE(BH10,CHAR(160),""))),0),2)&gt;
ROUND(IFERROR(VALUE(TRIM(SUBSTITUTE(Y10,CHAR(160),""))),0),2),
"KO : Le montant retenu TTC est supérieur au montant présenté TTC. Merci de revoir la ligne de dépense ou plafonner son montant.",
ROUND(IFERROR(VALUE(TRIM(SUBSTITUTE(BF10,CHAR(160),""))),0),2)&gt;
ROUND(IFERROR(VALUE(TRIM(SUBSTITUTE(W10,CHAR(160),""))),0),2),
"Attention : Le montant retenu HT est supérieur au montant HT présenté. Merci de revoir la ligne de dépense, plafonner son montant, ou justifier la reventillation HT / TVA.",
ROUND(IFERROR(VALUE(TRIM(SUBSTITUTE(BG10,CHAR(160),""))),0),2)&gt;
ROUND(IFERROR(VALUE(TRIM(SUBSTITUTE(X10,CHAR(160),""))),0),2),
"Attention : Le montant TVA retenu est supérieur au montant TVA présenté. Merci de revoir la ligne de dépense, plafonner son montant, ou justifier la reventillation HT / TVA.",
ROUND(IFERROR(VALUE(TRIM(SUBSTITUTE(Y10,CHAR(160),""))),0),2)=0,
"",
ROUND(IFERROR(VALUE(TRIM(SUBSTITUTE(BH10,CHAR(160),""))),0),2)=
ROUND(IFERROR(VALUE(TRIM(SUBSTITUTE(Y10,CHAR(160),""))),0),2),
"OK",
ROUND(IFERROR(VALUE(TRIM(SUBSTITUTE(BH10,CHAR(160),""))),0),2)=0,
"Attention : Montant présenté entièrement rejeté.",
ROUND(IFERROR(VALUE(TRIM(SUBSTITUTE(BH10,CHAR(160),""))),0),2)&lt;
ROUND(IFERROR(VALUE(TRIM(SUBSTITUTE(Y10,CHAR(160),""))),0),2),
"Attention : Montant présenté partiellement rejeté.",
TRUE,""
))</f>
        <v/>
      </c>
      <c r="BS10" s="1347" t="str" cm="1">
        <f t="array" ref="BS10">IF(OR(BN10="",AE10=""),"",_xlfn.IFS(
ROUND(IFERROR(VALUE(TRIM(SUBSTITUTE(BN10,CHAR(160),""))),0),2)&gt;
ROUND(IFERROR(VALUE(TRIM(SUBSTITUTE(AE10,CHAR(160),""))),0),2),
"KO : Le montant retenu est supérieur au montant présenté. Merci de revoir la ligne de contributions ou plafonner son montant.",
ROUND(IFERROR(VALUE(TRIM(SUBSTITUTE(AE10,CHAR(160),""))),0),2)=0,
"",
ROUND(IFERROR(VALUE(TRIM(SUBSTITUTE(BN10,CHAR(160),""))),0),2)=
ROUND(IFERROR(VALUE(TRIM(SUBSTITUTE(AE10,CHAR(160),""))),0),2),
"OK",
ROUND(IFERROR(VALUE(TRIM(SUBSTITUTE(BN10,CHAR(160),""))),0),2)=0,
"Attention : Montant présenté entièrement rejeté.",
ROUND(IFERROR(VALUE(TRIM(SUBSTITUTE(BN10,CHAR(160),""))),0),2)&lt;
ROUND(IFERROR(VALUE(TRIM(SUBSTITUTE(AE10,CHAR(160),""))),0),2),
"Attention : Montant présenté partiellement rejeté.",
TRUE,""
))</f>
        <v/>
      </c>
      <c r="BT10" s="1348" t="str">
        <f t="shared" ref="BT10:BT49" si="18">IF(C10="","",((IFERROR(VALUE(TRIM(SUBSTITUTE(W10,CHAR(160),""))),0))+(IFERROR(VALUE(TRIM(SUBSTITUTE(AE10,CHAR(160),""))),0)))-((IFERROR(VALUE(TRIM(SUBSTITUTE(BF10,CHAR(160),""))),0))+(IFERROR(VALUE(TRIM(SUBSTITUTE(BN10,CHAR(160),""))),0))))</f>
        <v/>
      </c>
      <c r="BU10" s="1349" t="str">
        <f t="shared" ref="BU10:BU49" si="19">IF(OR(X10="",BG10=""),"",(IFERROR(VALUE(TRIM(SUBSTITUTE(X10,CHAR(160),""))),0))-(IFERROR(VALUE(TRIM(SUBSTITUTE(BG10,CHAR(160),""))),0)))</f>
        <v/>
      </c>
      <c r="BV10" s="1350" t="str">
        <f t="shared" ref="BV10:BV49" si="20">IF(OR(Y10="",BH10=""),"",(IFERROR(VALUE(TRIM(SUBSTITUTE(Y10,CHAR(160),""))),0))-(IFERROR(VALUE(TRIM(SUBSTITUTE(BH10,CHAR(160),""))),0)))</f>
        <v/>
      </c>
    </row>
    <row r="11" spans="2:79" ht="36" customHeight="1">
      <c r="B11" s="498">
        <v>2</v>
      </c>
      <c r="C11" s="119"/>
      <c r="D11" s="11"/>
      <c r="E11" s="6"/>
      <c r="F11" s="28"/>
      <c r="G11" s="6"/>
      <c r="H11" s="6"/>
      <c r="I11" s="13"/>
      <c r="J11" s="11"/>
      <c r="K11" s="6"/>
      <c r="L11" s="120"/>
      <c r="M11" s="15"/>
      <c r="N11" s="9"/>
      <c r="O11" s="321"/>
      <c r="P11" s="17"/>
      <c r="Q11" s="9"/>
      <c r="R11" s="299"/>
      <c r="S11" s="18"/>
      <c r="T11" s="9"/>
      <c r="U11" s="299"/>
      <c r="V11" s="439"/>
      <c r="W11" s="441"/>
      <c r="X11" s="441"/>
      <c r="Y11" s="815"/>
      <c r="Z11" s="850"/>
      <c r="AA11" s="817"/>
      <c r="AB11" s="627"/>
      <c r="AC11" s="817"/>
      <c r="AD11" s="818"/>
      <c r="AE11" s="830"/>
      <c r="AF11" s="819"/>
      <c r="AG11" s="473"/>
      <c r="AH11" s="1411" t="str">
        <f t="shared" si="2"/>
        <v/>
      </c>
      <c r="AI11" s="1414" t="str">
        <f t="shared" ref="AI11:AI49" si="21">IF(D11="","",D11)</f>
        <v/>
      </c>
      <c r="AJ11" s="1412" t="str">
        <f t="shared" si="4"/>
        <v/>
      </c>
      <c r="AK11" s="28"/>
      <c r="AL11" s="664" t="str">
        <f t="shared" si="5"/>
        <v/>
      </c>
      <c r="AM11" s="452" t="str">
        <f t="shared" si="6"/>
        <v/>
      </c>
      <c r="AN11" s="452" t="str">
        <f t="shared" ref="AN11:AN49" si="22">IF(I11="","",I11)</f>
        <v/>
      </c>
      <c r="AO11" s="452" t="str">
        <f t="shared" ref="AO11:AO49" si="23">IF(J11="","",J11)</f>
        <v/>
      </c>
      <c r="AP11" s="452" t="str">
        <f t="shared" ref="AP11:AP49" si="24">IF(K11="","",K11)</f>
        <v/>
      </c>
      <c r="AQ11" s="452" t="str">
        <f t="shared" si="7"/>
        <v/>
      </c>
      <c r="AR11" s="478" t="str">
        <f t="shared" si="8"/>
        <v/>
      </c>
      <c r="AS11" s="453" t="str">
        <f t="shared" si="9"/>
        <v/>
      </c>
      <c r="AT11" s="479" t="str">
        <f>IF(OR(AR11="", AS11=""), "", IFERROR(VALUE(TRIM(SUBSTITUTE(AR11,CHAR(160),""))),0) + IFERROR(VALUE(TRIM(SUBSTITUTE(AS11,CHAR(160),""))),0))</f>
        <v/>
      </c>
      <c r="AU11" s="453" t="str">
        <f t="shared" si="10"/>
        <v/>
      </c>
      <c r="AV11" s="453" t="str">
        <f>IF(Q11="","",Q11)</f>
        <v/>
      </c>
      <c r="AW11" s="480" t="str">
        <f t="shared" ref="AW11:AW49" si="25">IF(OR(AU11="", AV11=""), "", IFERROR(VALUE(TRIM(SUBSTITUTE(AU11,CHAR(160),""))),0) + IFERROR(VALUE(TRIM(SUBSTITUTE(AV11,CHAR(160),""))),0))</f>
        <v/>
      </c>
      <c r="AX11" s="453" t="str">
        <f t="shared" si="11"/>
        <v/>
      </c>
      <c r="AY11" s="453" t="str">
        <f t="shared" si="12"/>
        <v/>
      </c>
      <c r="AZ11" s="480" t="str">
        <f t="shared" ref="AZ11:AZ49" si="26">IF(OR(AX11="", AY11=""), "", IFERROR(VALUE(TRIM(SUBSTITUTE(AX11,CHAR(160),""))),0) + IFERROR(VALUE(TRIM(SUBSTITUTE(AY11,CHAR(160),""))),0))</f>
        <v/>
      </c>
      <c r="BA11" s="424" t="str">
        <f t="shared" si="13"/>
        <v/>
      </c>
      <c r="BB11" s="454"/>
      <c r="BC11" s="424" t="str">
        <f t="shared" si="14"/>
        <v/>
      </c>
      <c r="BD11" s="424" t="str">
        <f t="shared" si="15"/>
        <v/>
      </c>
      <c r="BE11" s="424" t="str">
        <f t="shared" ref="BE11:BE49" si="27">IF(BC11="","",BC11+BD11)</f>
        <v/>
      </c>
      <c r="BF11" s="455" t="str" cm="1">
        <f t="array" ref="BF11">IF(AR11="","",IF((IFERROR(_xlfn.IFS($BA11="Devis 1",(IFERROR(VALUE(TRIM(SUBSTITUTE(AR11,CHAR(160),""))),0)),$BA11="Devis 2",(IFERROR(VALUE(TRIM(SUBSTITUTE(AU11,CHAR(160),""))),0)),$BA11="Devis 3",(IFERROR(VALUE(TRIM(SUBSTITUTE(AX11,CHAR(160),""))),0))),0))=0,"",(IFERROR(_xlfn.IFS($BA11="Devis 1",(IFERROR(VALUE(TRIM(SUBSTITUTE(AR11,CHAR(160),""))),0)),$BA11="Devis 2",(IFERROR(VALUE(TRIM(SUBSTITUTE(AU11,CHAR(160),""))),0)),$BA11="Devis 3",(IFERROR(VALUE(TRIM(SUBSTITUTE(AX11,CHAR(160),""))),0))),0))))</f>
        <v/>
      </c>
      <c r="BG11" s="455" t="str" cm="1">
        <f t="array" ref="BG11">IF(AS11="","",IF((IFERROR(_xlfn.IFS($BA11="Devis 1",(IFERROR(VALUE(TRIM(SUBSTITUTE(AS11,CHAR(160),""))),0)),$BA11="Devis 2",(IFERROR(VALUE(TRIM(SUBSTITUTE(AV11,CHAR(160),""))),0)),$BA11="Devis 3",(IFERROR(VALUE(TRIM(SUBSTITUTE(AY11,CHAR(160),""))),0))),0))=0,"",(IFERROR(_xlfn.IFS($BA11="Devis 1",(IFERROR(VALUE(TRIM(SUBSTITUTE(AS11,CHAR(160),""))),0)),$BA11="Devis 2",(IFERROR(VALUE(TRIM(SUBSTITUTE(AV11,CHAR(160),""))),0)),$BA11="Devis 3",(IFERROR(VALUE(TRIM(SUBSTITUTE(AY11,CHAR(160),""))),0))),0))))</f>
        <v/>
      </c>
      <c r="BH11" s="826" t="str" cm="1">
        <f t="array" ref="BH11">IF(AT11="","",IF(IFERROR(_xlfn.IFS($BA11="Devis 1",IFERROR(VALUE(TRIM(SUBSTITUTE(AT11,CHAR(160),""))),0),$BA11="Devis 2",IFERROR(VALUE(TRIM(SUBSTITUTE(AW11,CHAR(160),""))),0),$BA11="Devis 3",IFERROR(VALUE(TRIM(SUBSTITUTE(AZ11,CHAR(160),""))),0)),0)=0,"",IFERROR(_xlfn.IFS($BA11="Devis 1",IFERROR(VALUE(TRIM(SUBSTITUTE(AT11,CHAR(160),""))),0),$BA11="Devis 2",IFERROR(VALUE(TRIM(SUBSTITUTE(AW11,CHAR(160),""))),0),$BA11="Devis 3",IFERROR(VALUE(TRIM(SUBSTITUTE(AZ11,CHAR(160),""))),0)),0)))</f>
        <v/>
      </c>
      <c r="BI11" s="832" t="str">
        <f t="shared" ref="BI11:BI49" si="28">IF(Z11="","",Z11)</f>
        <v/>
      </c>
      <c r="BJ11" s="455"/>
      <c r="BK11" s="831"/>
      <c r="BL11" s="455"/>
      <c r="BM11" s="831"/>
      <c r="BN11" s="830">
        <f t="shared" si="16"/>
        <v>0</v>
      </c>
      <c r="BO11" s="676" t="str">
        <f t="shared" si="17"/>
        <v/>
      </c>
      <c r="BP11" s="1330"/>
      <c r="BQ11" s="216" t="str" cm="1">
        <f t="array" ref="BQ11">IF(OR(BH11="",BE11="",BF11="",BC11="",BG11="",BD11=""),"",_xlfn.IFS(
ROUND(IFERROR(VALUE(TRIM(SUBSTITUTE(BH11,CHAR(160),""))),0),2)&gt;
ROUND(IFERROR(VALUE(TRIM(SUBSTITUTE(BE11,CHAR(160),""))),0),2),
"KO : Le montant retenu TTC est supérieur au montant raisonnable TTC. Merci de revoir la ligne de dépense ou plafonner son montant.",
ROUND(IFERROR(VALUE(TRIM(SUBSTITUTE(BF11,CHAR(160),""))),0),2)&gt;
ROUND(IFERROR(VALUE(TRIM(SUBSTITUTE(BC11,CHAR(160),""))),0),2),
"Attention : Le montant retenu HT est supérieur au montant HT raisonnable. Merci de revoir la ligne de dépense, plafonner son montant, ou justifier la reventillation HT / TVA.",
ROUND(IFERROR(VALUE(TRIM(SUBSTITUTE(BG11,CHAR(160),""))),0),2)&gt;
ROUND(IFERROR(VALUE(TRIM(SUBSTITUTE(BD11,CHAR(160),""))),0),2),
"Attention : Le montant TVA retenu est supérieur au montant TVA raisonnable. Merci de revoir la ligne de dépense, plafonner son montant, ou justifier la reventillation HT / TVA.",
ROUND(IFERROR(VALUE(TRIM(SUBSTITUTE(BH11,CHAR(160),""))),0),2)&gt;
ROUND(IFERROR(VALUE(TRIM(SUBSTITUTE(MIN(O11,R11,U11),CHAR(160),""))),0),2),
"Attention : Le devis retenu n'est pas le moins cher. Une justification de la part du porteur est nécessaire.",
ROUND(IFERROR(VALUE(TRIM(SUBSTITUTE(BH11,CHAR(160),""))),0),2)=0,
"Attention : montant présenté entièrement écarté",
ROUND(IFERROR(VALUE(TRIM(SUBSTITUTE(BE11,CHAR(160),""))),0),2)=
ROUND(IFERROR(VALUE(TRIM(SUBSTITUTE(BH11,CHAR(160),""))),0),2),
"OK",
ROUND(IFERROR(VALUE(TRIM(SUBSTITUTE(BE11,CHAR(160),""))),0),2)&gt;
ROUND(IFERROR(VALUE(TRIM(SUBSTITUTE(BH11,CHAR(160),""))),0),2),
" OK : Montant instruit inférieur au montant raisonnable.",
TRUE,""
))</f>
        <v/>
      </c>
      <c r="BR11" s="216" t="str" cm="1">
        <f t="array" ref="BR11">IF(OR(BH11="",Y11="",BF11="",W11="",BG11="",X11=""),"",_xlfn.IFS(
ROUND(IFERROR(VALUE(TRIM(SUBSTITUTE(BH11,CHAR(160),""))),0),2)&gt;
ROUND(IFERROR(VALUE(TRIM(SUBSTITUTE(Y11,CHAR(160),""))),0),2),
"KO : Le montant retenu TTC est supérieur au montant présenté TTC. Merci de revoir la ligne de dépense ou plafonner son montant.",
ROUND(IFERROR(VALUE(TRIM(SUBSTITUTE(BF11,CHAR(160),""))),0),2)&gt;
ROUND(IFERROR(VALUE(TRIM(SUBSTITUTE(W11,CHAR(160),""))),0),2),
"Attention : Le montant retenu HT est supérieur au montant HT présenté. Merci de revoir la ligne de dépense, plafonner son montant, ou justifier la reventillation HT / TVA.",
ROUND(IFERROR(VALUE(TRIM(SUBSTITUTE(BG11,CHAR(160),""))),0),2)&gt;
ROUND(IFERROR(VALUE(TRIM(SUBSTITUTE(X11,CHAR(160),""))),0),2),
"Attention : Le montant TVA retenu est supérieur au montant TVA présenté. Merci de revoir la ligne de dépense, plafonner son montant, ou justifier la reventillation HT / TVA.",
ROUND(IFERROR(VALUE(TRIM(SUBSTITUTE(Y11,CHAR(160),""))),0),2)=0,
"",
ROUND(IFERROR(VALUE(TRIM(SUBSTITUTE(BH11,CHAR(160),""))),0),2)=
ROUND(IFERROR(VALUE(TRIM(SUBSTITUTE(Y11,CHAR(160),""))),0),2),
"OK",
ROUND(IFERROR(VALUE(TRIM(SUBSTITUTE(BH11,CHAR(160),""))),0),2)=0,
"Attention : Montant présenté entièrement rejeté.",
ROUND(IFERROR(VALUE(TRIM(SUBSTITUTE(BH11,CHAR(160),""))),0),2)&lt;
ROUND(IFERROR(VALUE(TRIM(SUBSTITUTE(Y11,CHAR(160),""))),0),2),
"Attention : Montant présenté partiellement rejeté.",
TRUE,""
))</f>
        <v/>
      </c>
      <c r="BS11" s="1331" t="str" cm="1">
        <f t="array" ref="BS11">IF(OR(BN11="",AE11=""),"",_xlfn.IFS(
ROUND(IFERROR(VALUE(TRIM(SUBSTITUTE(BN11,CHAR(160),""))),0),2)&gt;
ROUND(IFERROR(VALUE(TRIM(SUBSTITUTE(AE11,CHAR(160),""))),0),2),
"KO : Le montant retenu est supérieur au montant présenté. Merci de revoir la ligne de contributions ou plafonner son montant.",
ROUND(IFERROR(VALUE(TRIM(SUBSTITUTE(AE11,CHAR(160),""))),0),2)=0,
"",
ROUND(IFERROR(VALUE(TRIM(SUBSTITUTE(BN11,CHAR(160),""))),0),2)=
ROUND(IFERROR(VALUE(TRIM(SUBSTITUTE(AE11,CHAR(160),""))),0),2),
"OK",
ROUND(IFERROR(VALUE(TRIM(SUBSTITUTE(BN11,CHAR(160),""))),0),2)=0,
"Attention : Montant présenté entièrement rejeté.",
ROUND(IFERROR(VALUE(TRIM(SUBSTITUTE(BN11,CHAR(160),""))),0),2)&lt;
ROUND(IFERROR(VALUE(TRIM(SUBSTITUTE(AE11,CHAR(160),""))),0),2),
"Attention : Montant présenté partiellement rejeté.",
TRUE,""
))</f>
        <v/>
      </c>
      <c r="BT11" s="674" t="str">
        <f t="shared" si="18"/>
        <v/>
      </c>
      <c r="BU11" s="673" t="str">
        <f t="shared" si="19"/>
        <v/>
      </c>
      <c r="BV11" s="1351" t="str">
        <f t="shared" si="20"/>
        <v/>
      </c>
    </row>
    <row r="12" spans="2:79" ht="14.1" customHeight="1">
      <c r="B12" s="498">
        <v>3</v>
      </c>
      <c r="C12" s="119"/>
      <c r="D12" s="11"/>
      <c r="E12" s="6"/>
      <c r="F12" s="28"/>
      <c r="G12" s="6"/>
      <c r="H12" s="6"/>
      <c r="I12" s="13"/>
      <c r="J12" s="11"/>
      <c r="K12" s="6"/>
      <c r="L12" s="120"/>
      <c r="M12" s="15"/>
      <c r="N12" s="9"/>
      <c r="O12" s="321"/>
      <c r="P12" s="17"/>
      <c r="Q12" s="9"/>
      <c r="R12" s="299"/>
      <c r="S12" s="18"/>
      <c r="T12" s="9"/>
      <c r="U12" s="299"/>
      <c r="V12" s="439"/>
      <c r="W12" s="441"/>
      <c r="X12" s="441"/>
      <c r="Y12" s="815"/>
      <c r="Z12" s="850"/>
      <c r="AA12" s="817"/>
      <c r="AB12" s="627"/>
      <c r="AC12" s="817"/>
      <c r="AD12" s="818"/>
      <c r="AE12" s="830"/>
      <c r="AF12" s="819"/>
      <c r="AG12" s="473"/>
      <c r="AH12" s="466" t="str">
        <f t="shared" si="2"/>
        <v/>
      </c>
      <c r="AI12" s="1414" t="str">
        <f t="shared" si="21"/>
        <v/>
      </c>
      <c r="AJ12" s="452" t="str">
        <f t="shared" si="4"/>
        <v/>
      </c>
      <c r="AK12" s="28"/>
      <c r="AL12" s="664" t="str">
        <f t="shared" si="5"/>
        <v/>
      </c>
      <c r="AM12" s="452" t="str">
        <f t="shared" si="6"/>
        <v/>
      </c>
      <c r="AN12" s="452" t="str">
        <f t="shared" si="22"/>
        <v/>
      </c>
      <c r="AO12" s="452" t="str">
        <f t="shared" si="23"/>
        <v/>
      </c>
      <c r="AP12" s="452" t="str">
        <f t="shared" si="24"/>
        <v/>
      </c>
      <c r="AQ12" s="452" t="str">
        <f t="shared" si="7"/>
        <v/>
      </c>
      <c r="AR12" s="478" t="str">
        <f t="shared" si="8"/>
        <v/>
      </c>
      <c r="AS12" s="453" t="str">
        <f t="shared" si="9"/>
        <v/>
      </c>
      <c r="AT12" s="479" t="str">
        <f t="shared" ref="AT12:AT49" si="29">IF(OR(AR12="", AS12=""), "", IFERROR(VALUE(TRIM(SUBSTITUTE(AR12,CHAR(160),""))),0) + IFERROR(VALUE(TRIM(SUBSTITUTE(AS12,CHAR(160),""))),0))</f>
        <v/>
      </c>
      <c r="AU12" s="453" t="str">
        <f t="shared" si="10"/>
        <v/>
      </c>
      <c r="AV12" s="453" t="str">
        <f t="shared" ref="AV12:AV49" si="30">IF(Q12="","",Q12)</f>
        <v/>
      </c>
      <c r="AW12" s="480" t="str">
        <f t="shared" si="25"/>
        <v/>
      </c>
      <c r="AX12" s="453" t="str">
        <f t="shared" si="11"/>
        <v/>
      </c>
      <c r="AY12" s="453" t="str">
        <f t="shared" si="12"/>
        <v/>
      </c>
      <c r="AZ12" s="480" t="str">
        <f t="shared" si="26"/>
        <v/>
      </c>
      <c r="BA12" s="424" t="str">
        <f t="shared" si="13"/>
        <v/>
      </c>
      <c r="BB12" s="454"/>
      <c r="BC12" s="424" t="str">
        <f t="shared" si="14"/>
        <v/>
      </c>
      <c r="BD12" s="424" t="str">
        <f t="shared" si="15"/>
        <v/>
      </c>
      <c r="BE12" s="424" t="str">
        <f t="shared" si="27"/>
        <v/>
      </c>
      <c r="BF12" s="455" t="str" cm="1">
        <f t="array" ref="BF12">IF(AR12="","",IF((IFERROR(_xlfn.IFS($BA12="Devis 1",(IFERROR(VALUE(TRIM(SUBSTITUTE(AR12,CHAR(160),""))),0)),$BA12="Devis 2",(IFERROR(VALUE(TRIM(SUBSTITUTE(AU12,CHAR(160),""))),0)),$BA12="Devis 3",(IFERROR(VALUE(TRIM(SUBSTITUTE(AX12,CHAR(160),""))),0))),0))=0,"",(IFERROR(_xlfn.IFS($BA12="Devis 1",(IFERROR(VALUE(TRIM(SUBSTITUTE(AR12,CHAR(160),""))),0)),$BA12="Devis 2",(IFERROR(VALUE(TRIM(SUBSTITUTE(AU12,CHAR(160),""))),0)),$BA12="Devis 3",(IFERROR(VALUE(TRIM(SUBSTITUTE(AX12,CHAR(160),""))),0))),0))))</f>
        <v/>
      </c>
      <c r="BG12" s="455" t="str" cm="1">
        <f t="array" ref="BG12">IF(AS12="","",IF((IFERROR(_xlfn.IFS($BA12="Devis 1",(IFERROR(VALUE(TRIM(SUBSTITUTE(AS12,CHAR(160),""))),0)),$BA12="Devis 2",(IFERROR(VALUE(TRIM(SUBSTITUTE(AV12,CHAR(160),""))),0)),$BA12="Devis 3",(IFERROR(VALUE(TRIM(SUBSTITUTE(AY12,CHAR(160),""))),0))),0))=0,"",(IFERROR(_xlfn.IFS($BA12="Devis 1",(IFERROR(VALUE(TRIM(SUBSTITUTE(AS12,CHAR(160),""))),0)),$BA12="Devis 2",(IFERROR(VALUE(TRIM(SUBSTITUTE(AV12,CHAR(160),""))),0)),$BA12="Devis 3",(IFERROR(VALUE(TRIM(SUBSTITUTE(AY12,CHAR(160),""))),0))),0))))</f>
        <v/>
      </c>
      <c r="BH12" s="826" t="str" cm="1">
        <f t="array" ref="BH12">IF(AT12="","",IF(IFERROR(_xlfn.IFS($BA12="Devis 1",IFERROR(VALUE(TRIM(SUBSTITUTE(AT12,CHAR(160),""))),0),$BA12="Devis 2",IFERROR(VALUE(TRIM(SUBSTITUTE(AW12,CHAR(160),""))),0),$BA12="Devis 3",IFERROR(VALUE(TRIM(SUBSTITUTE(AZ12,CHAR(160),""))),0)),0)=0,"",IFERROR(_xlfn.IFS($BA12="Devis 1",IFERROR(VALUE(TRIM(SUBSTITUTE(AT12,CHAR(160),""))),0),$BA12="Devis 2",IFERROR(VALUE(TRIM(SUBSTITUTE(AW12,CHAR(160),""))),0),$BA12="Devis 3",IFERROR(VALUE(TRIM(SUBSTITUTE(AZ12,CHAR(160),""))),0)),0)))</f>
        <v/>
      </c>
      <c r="BI12" s="832" t="str">
        <f t="shared" si="28"/>
        <v/>
      </c>
      <c r="BJ12" s="455"/>
      <c r="BK12" s="831"/>
      <c r="BL12" s="455"/>
      <c r="BM12" s="831"/>
      <c r="BN12" s="830">
        <f>IF(AH12=0,0,IFERROR(VALUE(TRIM(SUBSTITUTE(BJ12,CHAR(160),""))),0)*IFERROR(VALUE(TRIM(SUBSTITUTE(BK12,CHAR(160),""))),0)+IFERROR(VALUE(TRIM(SUBSTITUTE(BL12,CHAR(160),""))),0)*IFERROR(VALUE(TRIM(SUBSTITUTE(BM12,CHAR(160),""))),0))</f>
        <v>0</v>
      </c>
      <c r="BO12" s="676" t="str">
        <f t="shared" si="17"/>
        <v/>
      </c>
      <c r="BP12" s="1330"/>
      <c r="BQ12" s="216" t="str" cm="1">
        <f t="array" ref="BQ12">IF(OR(BH12="",BE12="",BF12="",BC12="",BG12="",BD12=""),"",_xlfn.IFS(
ROUND(IFERROR(VALUE(TRIM(SUBSTITUTE(BH12,CHAR(160),""))),0),2)&gt;
ROUND(IFERROR(VALUE(TRIM(SUBSTITUTE(BE12,CHAR(160),""))),0),2),
"KO : Le montant retenu TTC est supérieur au montant raisonnable TTC. Merci de revoir la ligne de dépense ou plafonner son montant.",
ROUND(IFERROR(VALUE(TRIM(SUBSTITUTE(BF12,CHAR(160),""))),0),2)&gt;
ROUND(IFERROR(VALUE(TRIM(SUBSTITUTE(BC12,CHAR(160),""))),0),2),
"Attention : Le montant retenu HT est supérieur au montant HT raisonnable. Merci de revoir la ligne de dépense, plafonner son montant, ou justifier la reventillation HT / TVA.",
ROUND(IFERROR(VALUE(TRIM(SUBSTITUTE(BG12,CHAR(160),""))),0),2)&gt;
ROUND(IFERROR(VALUE(TRIM(SUBSTITUTE(BD12,CHAR(160),""))),0),2),
"Attention : Le montant TVA retenu est supérieur au montant TVA raisonnable. Merci de revoir la ligne de dépense, plafonner son montant, ou justifier la reventillation HT / TVA.",
ROUND(IFERROR(VALUE(TRIM(SUBSTITUTE(BH12,CHAR(160),""))),0),2)&gt;
ROUND(IFERROR(VALUE(TRIM(SUBSTITUTE(MIN(O12,R12,U12),CHAR(160),""))),0),2),
"Attention : Le devis retenu n'est pas le moins cher. Une justification de la part du porteur est nécessaire.",
ROUND(IFERROR(VALUE(TRIM(SUBSTITUTE(BH12,CHAR(160),""))),0),2)=0,
"Attention : montant présenté entièrement écarté",
ROUND(IFERROR(VALUE(TRIM(SUBSTITUTE(BE12,CHAR(160),""))),0),2)=
ROUND(IFERROR(VALUE(TRIM(SUBSTITUTE(BH12,CHAR(160),""))),0),2),
"OK",
ROUND(IFERROR(VALUE(TRIM(SUBSTITUTE(BE12,CHAR(160),""))),0),2)&gt;
ROUND(IFERROR(VALUE(TRIM(SUBSTITUTE(BH12,CHAR(160),""))),0),2),
" OK : Montant instruit inférieur au montant raisonnable.",
TRUE,""
))</f>
        <v/>
      </c>
      <c r="BR12" s="216" t="str" cm="1">
        <f t="array" ref="BR12">IF(OR(BH12="",Y12="",BF12="",W12="",BG12="",X12=""),"",_xlfn.IFS(
ROUND(IFERROR(VALUE(TRIM(SUBSTITUTE(BH12,CHAR(160),""))),0),2)&gt;
ROUND(IFERROR(VALUE(TRIM(SUBSTITUTE(Y12,CHAR(160),""))),0),2),
"KO : Le montant retenu TTC est supérieur au montant présenté TTC. Merci de revoir la ligne de dépense ou plafonner son montant.",
ROUND(IFERROR(VALUE(TRIM(SUBSTITUTE(BF12,CHAR(160),""))),0),2)&gt;
ROUND(IFERROR(VALUE(TRIM(SUBSTITUTE(W12,CHAR(160),""))),0),2),
"Attention : Le montant retenu HT est supérieur au montant HT présenté. Merci de revoir la ligne de dépense, plafonner son montant, ou justifier la reventillation HT / TVA.",
ROUND(IFERROR(VALUE(TRIM(SUBSTITUTE(BG12,CHAR(160),""))),0),2)&gt;
ROUND(IFERROR(VALUE(TRIM(SUBSTITUTE(X12,CHAR(160),""))),0),2),
"Attention : Le montant TVA retenu est supérieur au montant TVA présenté. Merci de revoir la ligne de dépense, plafonner son montant, ou justifier la reventillation HT / TVA.",
ROUND(IFERROR(VALUE(TRIM(SUBSTITUTE(Y12,CHAR(160),""))),0),2)=0,
"",
ROUND(IFERROR(VALUE(TRIM(SUBSTITUTE(BH12,CHAR(160),""))),0),2)=
ROUND(IFERROR(VALUE(TRIM(SUBSTITUTE(Y12,CHAR(160),""))),0),2),
"OK",
ROUND(IFERROR(VALUE(TRIM(SUBSTITUTE(BH12,CHAR(160),""))),0),2)=0,
"Attention : Montant présenté entièrement rejeté.",
ROUND(IFERROR(VALUE(TRIM(SUBSTITUTE(BH12,CHAR(160),""))),0),2)&lt;
ROUND(IFERROR(VALUE(TRIM(SUBSTITUTE(Y12,CHAR(160),""))),0),2),
"Attention : Montant présenté partiellement rejeté.",
TRUE,""
))</f>
        <v/>
      </c>
      <c r="BS12" s="1331" t="str" cm="1">
        <f t="array" ref="BS12">IF(OR(BN12="",AE12=""),"",_xlfn.IFS(
ROUND(IFERROR(VALUE(TRIM(SUBSTITUTE(BN12,CHAR(160),""))),0),2)&gt;
ROUND(IFERROR(VALUE(TRIM(SUBSTITUTE(AE12,CHAR(160),""))),0),2),
"KO : Le montant retenu est supérieur au montant présenté. Merci de revoir la ligne de contributions ou plafonner son montant.",
ROUND(IFERROR(VALUE(TRIM(SUBSTITUTE(AE12,CHAR(160),""))),0),2)=0,
"",
ROUND(IFERROR(VALUE(TRIM(SUBSTITUTE(BN12,CHAR(160),""))),0),2)=
ROUND(IFERROR(VALUE(TRIM(SUBSTITUTE(AE12,CHAR(160),""))),0),2),
"OK",
ROUND(IFERROR(VALUE(TRIM(SUBSTITUTE(BN12,CHAR(160),""))),0),2)=0,
"Attention : Montant présenté entièrement rejeté.",
ROUND(IFERROR(VALUE(TRIM(SUBSTITUTE(BN12,CHAR(160),""))),0),2)&lt;
ROUND(IFERROR(VALUE(TRIM(SUBSTITUTE(AE12,CHAR(160),""))),0),2),
"Attention : Montant présenté partiellement rejeté.",
TRUE,""
))</f>
        <v/>
      </c>
      <c r="BT12" s="674" t="str">
        <f t="shared" si="18"/>
        <v/>
      </c>
      <c r="BU12" s="673" t="str">
        <f t="shared" si="19"/>
        <v/>
      </c>
      <c r="BV12" s="1351" t="str">
        <f t="shared" si="20"/>
        <v/>
      </c>
    </row>
    <row r="13" spans="2:79" ht="14.1" customHeight="1">
      <c r="B13" s="498">
        <v>4</v>
      </c>
      <c r="C13" s="119"/>
      <c r="D13" s="11"/>
      <c r="E13" s="6"/>
      <c r="F13" s="28"/>
      <c r="G13" s="6"/>
      <c r="H13" s="6"/>
      <c r="I13" s="13"/>
      <c r="J13" s="11"/>
      <c r="K13" s="6"/>
      <c r="L13" s="120"/>
      <c r="M13" s="15"/>
      <c r="N13" s="9"/>
      <c r="O13" s="321"/>
      <c r="P13" s="17"/>
      <c r="Q13" s="9"/>
      <c r="R13" s="299"/>
      <c r="S13" s="18"/>
      <c r="T13" s="9"/>
      <c r="U13" s="299"/>
      <c r="V13" s="439"/>
      <c r="W13" s="441"/>
      <c r="X13" s="441"/>
      <c r="Y13" s="815"/>
      <c r="Z13" s="850"/>
      <c r="AA13" s="817"/>
      <c r="AB13" s="627"/>
      <c r="AC13" s="817"/>
      <c r="AD13" s="818"/>
      <c r="AE13" s="830"/>
      <c r="AF13" s="819"/>
      <c r="AG13" s="473"/>
      <c r="AH13" s="466" t="str">
        <f t="shared" si="2"/>
        <v/>
      </c>
      <c r="AI13" s="1414" t="str">
        <f t="shared" si="21"/>
        <v/>
      </c>
      <c r="AJ13" s="452" t="str">
        <f t="shared" si="4"/>
        <v/>
      </c>
      <c r="AK13" s="28"/>
      <c r="AL13" s="664" t="str">
        <f t="shared" si="5"/>
        <v/>
      </c>
      <c r="AM13" s="452" t="str">
        <f t="shared" si="6"/>
        <v/>
      </c>
      <c r="AN13" s="452" t="str">
        <f t="shared" si="22"/>
        <v/>
      </c>
      <c r="AO13" s="452" t="str">
        <f t="shared" si="23"/>
        <v/>
      </c>
      <c r="AP13" s="452" t="str">
        <f t="shared" si="24"/>
        <v/>
      </c>
      <c r="AQ13" s="452" t="str">
        <f t="shared" si="7"/>
        <v/>
      </c>
      <c r="AR13" s="478" t="str">
        <f t="shared" si="8"/>
        <v/>
      </c>
      <c r="AS13" s="453" t="str">
        <f t="shared" si="9"/>
        <v/>
      </c>
      <c r="AT13" s="479" t="str">
        <f t="shared" si="29"/>
        <v/>
      </c>
      <c r="AU13" s="453" t="str">
        <f t="shared" si="10"/>
        <v/>
      </c>
      <c r="AV13" s="453" t="str">
        <f t="shared" si="30"/>
        <v/>
      </c>
      <c r="AW13" s="480" t="str">
        <f t="shared" si="25"/>
        <v/>
      </c>
      <c r="AX13" s="453" t="str">
        <f t="shared" si="11"/>
        <v/>
      </c>
      <c r="AY13" s="453" t="str">
        <f t="shared" si="12"/>
        <v/>
      </c>
      <c r="AZ13" s="480" t="str">
        <f t="shared" si="26"/>
        <v/>
      </c>
      <c r="BA13" s="424" t="str">
        <f t="shared" si="13"/>
        <v/>
      </c>
      <c r="BB13" s="454"/>
      <c r="BC13" s="424" t="str">
        <f t="shared" si="14"/>
        <v/>
      </c>
      <c r="BD13" s="424" t="str">
        <f t="shared" si="15"/>
        <v/>
      </c>
      <c r="BE13" s="424" t="str">
        <f t="shared" si="27"/>
        <v/>
      </c>
      <c r="BF13" s="455" t="str" cm="1">
        <f t="array" ref="BF13">IF(AR13="","",IF((IFERROR(_xlfn.IFS($BA13="Devis 1",(IFERROR(VALUE(TRIM(SUBSTITUTE(AR13,CHAR(160),""))),0)),$BA13="Devis 2",(IFERROR(VALUE(TRIM(SUBSTITUTE(AU13,CHAR(160),""))),0)),$BA13="Devis 3",(IFERROR(VALUE(TRIM(SUBSTITUTE(AX13,CHAR(160),""))),0))),0))=0,"",(IFERROR(_xlfn.IFS($BA13="Devis 1",(IFERROR(VALUE(TRIM(SUBSTITUTE(AR13,CHAR(160),""))),0)),$BA13="Devis 2",(IFERROR(VALUE(TRIM(SUBSTITUTE(AU13,CHAR(160),""))),0)),$BA13="Devis 3",(IFERROR(VALUE(TRIM(SUBSTITUTE(AX13,CHAR(160),""))),0))),0))))</f>
        <v/>
      </c>
      <c r="BG13" s="455" t="str" cm="1">
        <f t="array" ref="BG13">IF(AS13="","",IF((IFERROR(_xlfn.IFS($BA13="Devis 1",(IFERROR(VALUE(TRIM(SUBSTITUTE(AS13,CHAR(160),""))),0)),$BA13="Devis 2",(IFERROR(VALUE(TRIM(SUBSTITUTE(AV13,CHAR(160),""))),0)),$BA13="Devis 3",(IFERROR(VALUE(TRIM(SUBSTITUTE(AY13,CHAR(160),""))),0))),0))=0,"",(IFERROR(_xlfn.IFS($BA13="Devis 1",(IFERROR(VALUE(TRIM(SUBSTITUTE(AS13,CHAR(160),""))),0)),$BA13="Devis 2",(IFERROR(VALUE(TRIM(SUBSTITUTE(AV13,CHAR(160),""))),0)),$BA13="Devis 3",(IFERROR(VALUE(TRIM(SUBSTITUTE(AY13,CHAR(160),""))),0))),0))))</f>
        <v/>
      </c>
      <c r="BH13" s="826" t="str" cm="1">
        <f t="array" ref="BH13">IF(AT13="","",IF(IFERROR(_xlfn.IFS($BA13="Devis 1",IFERROR(VALUE(TRIM(SUBSTITUTE(AT13,CHAR(160),""))),0),$BA13="Devis 2",IFERROR(VALUE(TRIM(SUBSTITUTE(AW13,CHAR(160),""))),0),$BA13="Devis 3",IFERROR(VALUE(TRIM(SUBSTITUTE(AZ13,CHAR(160),""))),0)),0)=0,"",IFERROR(_xlfn.IFS($BA13="Devis 1",IFERROR(VALUE(TRIM(SUBSTITUTE(AT13,CHAR(160),""))),0),$BA13="Devis 2",IFERROR(VALUE(TRIM(SUBSTITUTE(AW13,CHAR(160),""))),0),$BA13="Devis 3",IFERROR(VALUE(TRIM(SUBSTITUTE(AZ13,CHAR(160),""))),0)),0)))</f>
        <v/>
      </c>
      <c r="BI13" s="832" t="str">
        <f t="shared" si="28"/>
        <v/>
      </c>
      <c r="BJ13" s="455"/>
      <c r="BK13" s="831"/>
      <c r="BL13" s="455"/>
      <c r="BM13" s="831"/>
      <c r="BN13" s="830">
        <f t="shared" ref="BN13:BN49" si="31">IF(AH13=0,0,IFERROR(VALUE(TRIM(SUBSTITUTE(BJ13,CHAR(160),""))),0)*IFERROR(VALUE(TRIM(SUBSTITUTE(BK13,CHAR(160),""))),0)+IFERROR(VALUE(TRIM(SUBSTITUTE(BL13,CHAR(160),""))),0)*IFERROR(VALUE(TRIM(SUBSTITUTE(BM13,CHAR(160),""))),0))</f>
        <v>0</v>
      </c>
      <c r="BO13" s="676" t="str">
        <f t="shared" si="17"/>
        <v/>
      </c>
      <c r="BP13" s="1330"/>
      <c r="BQ13" s="216" t="str" cm="1">
        <f t="array" ref="BQ13">IF(OR(BH13="",BE13="",BF13="",BC13="",BG13="",BD13=""),"",_xlfn.IFS(
ROUND(IFERROR(VALUE(TRIM(SUBSTITUTE(BH13,CHAR(160),""))),0),2)&gt;
ROUND(IFERROR(VALUE(TRIM(SUBSTITUTE(BE13,CHAR(160),""))),0),2),
"KO : Le montant retenu TTC est supérieur au montant raisonnable TTC. Merci de revoir la ligne de dépense ou plafonner son montant.",
ROUND(IFERROR(VALUE(TRIM(SUBSTITUTE(BF13,CHAR(160),""))),0),2)&gt;
ROUND(IFERROR(VALUE(TRIM(SUBSTITUTE(BC13,CHAR(160),""))),0),2),
"Attention : Le montant retenu HT est supérieur au montant HT raisonnable. Merci de revoir la ligne de dépense, plafonner son montant, ou justifier la reventillation HT / TVA.",
ROUND(IFERROR(VALUE(TRIM(SUBSTITUTE(BG13,CHAR(160),""))),0),2)&gt;
ROUND(IFERROR(VALUE(TRIM(SUBSTITUTE(BD13,CHAR(160),""))),0),2),
"Attention : Le montant TVA retenu est supérieur au montant TVA raisonnable. Merci de revoir la ligne de dépense, plafonner son montant, ou justifier la reventillation HT / TVA.",
ROUND(IFERROR(VALUE(TRIM(SUBSTITUTE(BH13,CHAR(160),""))),0),2)&gt;
ROUND(IFERROR(VALUE(TRIM(SUBSTITUTE(MIN(O13,R13,U13),CHAR(160),""))),0),2),
"Attention : Le devis retenu n'est pas le moins cher. Une justification de la part du porteur est nécessaire.",
ROUND(IFERROR(VALUE(TRIM(SUBSTITUTE(BH13,CHAR(160),""))),0),2)=0,
"Attention : montant présenté entièrement écarté",
ROUND(IFERROR(VALUE(TRIM(SUBSTITUTE(BE13,CHAR(160),""))),0),2)=
ROUND(IFERROR(VALUE(TRIM(SUBSTITUTE(BH13,CHAR(160),""))),0),2),
"OK",
ROUND(IFERROR(VALUE(TRIM(SUBSTITUTE(BE13,CHAR(160),""))),0),2)&gt;
ROUND(IFERROR(VALUE(TRIM(SUBSTITUTE(BH13,CHAR(160),""))),0),2),
" OK : Montant instruit inférieur au montant raisonnable.",
TRUE,""
))</f>
        <v/>
      </c>
      <c r="BR13" s="216" t="str" cm="1">
        <f t="array" ref="BR13">IF(OR(BH13="",Y13="",BF13="",W13="",BG13="",X13=""),"",_xlfn.IFS(
ROUND(IFERROR(VALUE(TRIM(SUBSTITUTE(BH13,CHAR(160),""))),0),2)&gt;
ROUND(IFERROR(VALUE(TRIM(SUBSTITUTE(Y13,CHAR(160),""))),0),2),
"KO : Le montant retenu TTC est supérieur au montant présenté TTC. Merci de revoir la ligne de dépense ou plafonner son montant.",
ROUND(IFERROR(VALUE(TRIM(SUBSTITUTE(BF13,CHAR(160),""))),0),2)&gt;
ROUND(IFERROR(VALUE(TRIM(SUBSTITUTE(W13,CHAR(160),""))),0),2),
"Attention : Le montant retenu HT est supérieur au montant HT présenté. Merci de revoir la ligne de dépense, plafonner son montant, ou justifier la reventillation HT / TVA.",
ROUND(IFERROR(VALUE(TRIM(SUBSTITUTE(BG13,CHAR(160),""))),0),2)&gt;
ROUND(IFERROR(VALUE(TRIM(SUBSTITUTE(X13,CHAR(160),""))),0),2),
"Attention : Le montant TVA retenu est supérieur au montant TVA présenté. Merci de revoir la ligne de dépense, plafonner son montant, ou justifier la reventillation HT / TVA.",
ROUND(IFERROR(VALUE(TRIM(SUBSTITUTE(Y13,CHAR(160),""))),0),2)=0,
"",
ROUND(IFERROR(VALUE(TRIM(SUBSTITUTE(BH13,CHAR(160),""))),0),2)=
ROUND(IFERROR(VALUE(TRIM(SUBSTITUTE(Y13,CHAR(160),""))),0),2),
"OK",
ROUND(IFERROR(VALUE(TRIM(SUBSTITUTE(BH13,CHAR(160),""))),0),2)=0,
"Attention : Montant présenté entièrement rejeté.",
ROUND(IFERROR(VALUE(TRIM(SUBSTITUTE(BH13,CHAR(160),""))),0),2)&lt;
ROUND(IFERROR(VALUE(TRIM(SUBSTITUTE(Y13,CHAR(160),""))),0),2),
"Attention : Montant présenté partiellement rejeté.",
TRUE,""
))</f>
        <v/>
      </c>
      <c r="BS13" s="1331" t="str" cm="1">
        <f t="array" ref="BS13">IF(OR(BN13="",AE13=""),"",_xlfn.IFS(
ROUND(IFERROR(VALUE(TRIM(SUBSTITUTE(BN13,CHAR(160),""))),0),2)&gt;
ROUND(IFERROR(VALUE(TRIM(SUBSTITUTE(AE13,CHAR(160),""))),0),2),
"KO : Le montant retenu est supérieur au montant présenté. Merci de revoir la ligne de contributions ou plafonner son montant.",
ROUND(IFERROR(VALUE(TRIM(SUBSTITUTE(AE13,CHAR(160),""))),0),2)=0,
"",
ROUND(IFERROR(VALUE(TRIM(SUBSTITUTE(BN13,CHAR(160),""))),0),2)=
ROUND(IFERROR(VALUE(TRIM(SUBSTITUTE(AE13,CHAR(160),""))),0),2),
"OK",
ROUND(IFERROR(VALUE(TRIM(SUBSTITUTE(BN13,CHAR(160),""))),0),2)=0,
"Attention : Montant présenté entièrement rejeté.",
ROUND(IFERROR(VALUE(TRIM(SUBSTITUTE(BN13,CHAR(160),""))),0),2)&lt;
ROUND(IFERROR(VALUE(TRIM(SUBSTITUTE(AE13,CHAR(160),""))),0),2),
"Attention : Montant présenté partiellement rejeté.",
TRUE,""
))</f>
        <v/>
      </c>
      <c r="BT13" s="674" t="str">
        <f t="shared" si="18"/>
        <v/>
      </c>
      <c r="BU13" s="673" t="str">
        <f t="shared" si="19"/>
        <v/>
      </c>
      <c r="BV13" s="1351" t="str">
        <f t="shared" si="20"/>
        <v/>
      </c>
    </row>
    <row r="14" spans="2:79" ht="14.1" customHeight="1">
      <c r="B14" s="498">
        <v>5</v>
      </c>
      <c r="C14" s="119"/>
      <c r="D14" s="11"/>
      <c r="E14" s="6"/>
      <c r="F14" s="28"/>
      <c r="G14" s="6"/>
      <c r="H14" s="6"/>
      <c r="I14" s="26"/>
      <c r="J14" s="27"/>
      <c r="K14" s="30"/>
      <c r="L14" s="31"/>
      <c r="M14" s="440"/>
      <c r="N14" s="33"/>
      <c r="O14" s="321"/>
      <c r="P14" s="32"/>
      <c r="Q14" s="33"/>
      <c r="R14" s="299"/>
      <c r="S14" s="34"/>
      <c r="T14" s="33"/>
      <c r="U14" s="299"/>
      <c r="V14" s="439"/>
      <c r="W14" s="441"/>
      <c r="X14" s="441"/>
      <c r="Y14" s="815"/>
      <c r="Z14" s="850"/>
      <c r="AA14" s="817"/>
      <c r="AB14" s="627"/>
      <c r="AC14" s="817"/>
      <c r="AD14" s="818"/>
      <c r="AE14" s="830"/>
      <c r="AF14" s="819"/>
      <c r="AG14" s="26"/>
      <c r="AH14" s="466" t="str">
        <f t="shared" si="2"/>
        <v/>
      </c>
      <c r="AI14" s="1414" t="str">
        <f t="shared" si="21"/>
        <v/>
      </c>
      <c r="AJ14" s="452" t="str">
        <f t="shared" si="4"/>
        <v/>
      </c>
      <c r="AK14" s="28"/>
      <c r="AL14" s="664" t="str">
        <f t="shared" si="5"/>
        <v/>
      </c>
      <c r="AM14" s="452" t="str">
        <f t="shared" si="6"/>
        <v/>
      </c>
      <c r="AN14" s="452" t="str">
        <f t="shared" si="22"/>
        <v/>
      </c>
      <c r="AO14" s="452" t="str">
        <f t="shared" si="23"/>
        <v/>
      </c>
      <c r="AP14" s="452" t="str">
        <f t="shared" si="24"/>
        <v/>
      </c>
      <c r="AQ14" s="452" t="str">
        <f t="shared" si="7"/>
        <v/>
      </c>
      <c r="AR14" s="478" t="str">
        <f t="shared" si="8"/>
        <v/>
      </c>
      <c r="AS14" s="453" t="str">
        <f t="shared" si="9"/>
        <v/>
      </c>
      <c r="AT14" s="479" t="str">
        <f t="shared" si="29"/>
        <v/>
      </c>
      <c r="AU14" s="453" t="str">
        <f t="shared" si="10"/>
        <v/>
      </c>
      <c r="AV14" s="453" t="str">
        <f t="shared" si="30"/>
        <v/>
      </c>
      <c r="AW14" s="480" t="str">
        <f t="shared" si="25"/>
        <v/>
      </c>
      <c r="AX14" s="453" t="str">
        <f t="shared" si="11"/>
        <v/>
      </c>
      <c r="AY14" s="453" t="str">
        <f t="shared" si="12"/>
        <v/>
      </c>
      <c r="AZ14" s="480" t="str">
        <f t="shared" si="26"/>
        <v/>
      </c>
      <c r="BA14" s="424" t="str">
        <f t="shared" si="13"/>
        <v/>
      </c>
      <c r="BB14" s="454"/>
      <c r="BC14" s="424" t="str">
        <f t="shared" si="14"/>
        <v/>
      </c>
      <c r="BD14" s="424" t="str">
        <f t="shared" si="15"/>
        <v/>
      </c>
      <c r="BE14" s="424" t="str">
        <f t="shared" si="27"/>
        <v/>
      </c>
      <c r="BF14" s="455" t="str" cm="1">
        <f t="array" ref="BF14">IF(AR14="","",IF((IFERROR(_xlfn.IFS($BA14="Devis 1",(IFERROR(VALUE(TRIM(SUBSTITUTE(AR14,CHAR(160),""))),0)),$BA14="Devis 2",(IFERROR(VALUE(TRIM(SUBSTITUTE(AU14,CHAR(160),""))),0)),$BA14="Devis 3",(IFERROR(VALUE(TRIM(SUBSTITUTE(AX14,CHAR(160),""))),0))),0))=0,"",(IFERROR(_xlfn.IFS($BA14="Devis 1",(IFERROR(VALUE(TRIM(SUBSTITUTE(AR14,CHAR(160),""))),0)),$BA14="Devis 2",(IFERROR(VALUE(TRIM(SUBSTITUTE(AU14,CHAR(160),""))),0)),$BA14="Devis 3",(IFERROR(VALUE(TRIM(SUBSTITUTE(AX14,CHAR(160),""))),0))),0))))</f>
        <v/>
      </c>
      <c r="BG14" s="455" t="str" cm="1">
        <f t="array" ref="BG14">IF(AS14="","",IF((IFERROR(_xlfn.IFS($BA14="Devis 1",(IFERROR(VALUE(TRIM(SUBSTITUTE(AS14,CHAR(160),""))),0)),$BA14="Devis 2",(IFERROR(VALUE(TRIM(SUBSTITUTE(AV14,CHAR(160),""))),0)),$BA14="Devis 3",(IFERROR(VALUE(TRIM(SUBSTITUTE(AY14,CHAR(160),""))),0))),0))=0,"",(IFERROR(_xlfn.IFS($BA14="Devis 1",(IFERROR(VALUE(TRIM(SUBSTITUTE(AS14,CHAR(160),""))),0)),$BA14="Devis 2",(IFERROR(VALUE(TRIM(SUBSTITUTE(AV14,CHAR(160),""))),0)),$BA14="Devis 3",(IFERROR(VALUE(TRIM(SUBSTITUTE(AY14,CHAR(160),""))),0))),0))))</f>
        <v/>
      </c>
      <c r="BH14" s="826" t="str" cm="1">
        <f t="array" ref="BH14">IF(AT14="","",IF(IFERROR(_xlfn.IFS($BA14="Devis 1",IFERROR(VALUE(TRIM(SUBSTITUTE(AT14,CHAR(160),""))),0),$BA14="Devis 2",IFERROR(VALUE(TRIM(SUBSTITUTE(AW14,CHAR(160),""))),0),$BA14="Devis 3",IFERROR(VALUE(TRIM(SUBSTITUTE(AZ14,CHAR(160),""))),0)),0)=0,"",IFERROR(_xlfn.IFS($BA14="Devis 1",IFERROR(VALUE(TRIM(SUBSTITUTE(AT14,CHAR(160),""))),0),$BA14="Devis 2",IFERROR(VALUE(TRIM(SUBSTITUTE(AW14,CHAR(160),""))),0),$BA14="Devis 3",IFERROR(VALUE(TRIM(SUBSTITUTE(AZ14,CHAR(160),""))),0)),0)))</f>
        <v/>
      </c>
      <c r="BI14" s="832" t="str">
        <f t="shared" si="28"/>
        <v/>
      </c>
      <c r="BJ14" s="455"/>
      <c r="BK14" s="831"/>
      <c r="BL14" s="455"/>
      <c r="BM14" s="831"/>
      <c r="BN14" s="830">
        <f t="shared" si="31"/>
        <v>0</v>
      </c>
      <c r="BO14" s="676" t="str">
        <f t="shared" si="17"/>
        <v/>
      </c>
      <c r="BP14" s="1330"/>
      <c r="BQ14" s="216" t="str" cm="1">
        <f t="array" ref="BQ14">IF(OR(BH14="",BE14="",BF14="",BC14="",BG14="",BD14=""),"",_xlfn.IFS(
ROUND(IFERROR(VALUE(TRIM(SUBSTITUTE(BH14,CHAR(160),""))),0),2)&gt;
ROUND(IFERROR(VALUE(TRIM(SUBSTITUTE(BE14,CHAR(160),""))),0),2),
"KO : Le montant retenu TTC est supérieur au montant raisonnable TTC. Merci de revoir la ligne de dépense ou plafonner son montant.",
ROUND(IFERROR(VALUE(TRIM(SUBSTITUTE(BF14,CHAR(160),""))),0),2)&gt;
ROUND(IFERROR(VALUE(TRIM(SUBSTITUTE(BC14,CHAR(160),""))),0),2),
"Attention : Le montant retenu HT est supérieur au montant HT raisonnable. Merci de revoir la ligne de dépense, plafonner son montant, ou justifier la reventillation HT / TVA.",
ROUND(IFERROR(VALUE(TRIM(SUBSTITUTE(BG14,CHAR(160),""))),0),2)&gt;
ROUND(IFERROR(VALUE(TRIM(SUBSTITUTE(BD14,CHAR(160),""))),0),2),
"Attention : Le montant TVA retenu est supérieur au montant TVA raisonnable. Merci de revoir la ligne de dépense, plafonner son montant, ou justifier la reventillation HT / TVA.",
ROUND(IFERROR(VALUE(TRIM(SUBSTITUTE(BH14,CHAR(160),""))),0),2)&gt;
ROUND(IFERROR(VALUE(TRIM(SUBSTITUTE(MIN(O14,R14,U14),CHAR(160),""))),0),2),
"Attention : Le devis retenu n'est pas le moins cher. Une justification de la part du porteur est nécessaire.",
ROUND(IFERROR(VALUE(TRIM(SUBSTITUTE(BH14,CHAR(160),""))),0),2)=0,
"Attention : montant présenté entièrement écarté",
ROUND(IFERROR(VALUE(TRIM(SUBSTITUTE(BE14,CHAR(160),""))),0),2)=
ROUND(IFERROR(VALUE(TRIM(SUBSTITUTE(BH14,CHAR(160),""))),0),2),
"OK",
ROUND(IFERROR(VALUE(TRIM(SUBSTITUTE(BE14,CHAR(160),""))),0),2)&gt;
ROUND(IFERROR(VALUE(TRIM(SUBSTITUTE(BH14,CHAR(160),""))),0),2),
" OK : Montant instruit inférieur au montant raisonnable.",
TRUE,""
))</f>
        <v/>
      </c>
      <c r="BR14" s="216" t="str" cm="1">
        <f t="array" ref="BR14">IF(OR(BH14="",Y14="",BF14="",W14="",BG14="",X14=""),"",_xlfn.IFS(
ROUND(IFERROR(VALUE(TRIM(SUBSTITUTE(BH14,CHAR(160),""))),0),2)&gt;
ROUND(IFERROR(VALUE(TRIM(SUBSTITUTE(Y14,CHAR(160),""))),0),2),
"KO : Le montant retenu TTC est supérieur au montant présenté TTC. Merci de revoir la ligne de dépense ou plafonner son montant.",
ROUND(IFERROR(VALUE(TRIM(SUBSTITUTE(BF14,CHAR(160),""))),0),2)&gt;
ROUND(IFERROR(VALUE(TRIM(SUBSTITUTE(W14,CHAR(160),""))),0),2),
"Attention : Le montant retenu HT est supérieur au montant HT présenté. Merci de revoir la ligne de dépense, plafonner son montant, ou justifier la reventillation HT / TVA.",
ROUND(IFERROR(VALUE(TRIM(SUBSTITUTE(BG14,CHAR(160),""))),0),2)&gt;
ROUND(IFERROR(VALUE(TRIM(SUBSTITUTE(X14,CHAR(160),""))),0),2),
"Attention : Le montant TVA retenu est supérieur au montant TVA présenté. Merci de revoir la ligne de dépense, plafonner son montant, ou justifier la reventillation HT / TVA.",
ROUND(IFERROR(VALUE(TRIM(SUBSTITUTE(Y14,CHAR(160),""))),0),2)=0,
"",
ROUND(IFERROR(VALUE(TRIM(SUBSTITUTE(BH14,CHAR(160),""))),0),2)=
ROUND(IFERROR(VALUE(TRIM(SUBSTITUTE(Y14,CHAR(160),""))),0),2),
"OK",
ROUND(IFERROR(VALUE(TRIM(SUBSTITUTE(BH14,CHAR(160),""))),0),2)=0,
"Attention : Montant présenté entièrement rejeté.",
ROUND(IFERROR(VALUE(TRIM(SUBSTITUTE(BH14,CHAR(160),""))),0),2)&lt;
ROUND(IFERROR(VALUE(TRIM(SUBSTITUTE(Y14,CHAR(160),""))),0),2),
"Attention : Montant présenté partiellement rejeté.",
TRUE,""
))</f>
        <v/>
      </c>
      <c r="BS14" s="1331" t="str" cm="1">
        <f t="array" ref="BS14">IF(OR(BN14="",AE14=""),"",_xlfn.IFS(
ROUND(IFERROR(VALUE(TRIM(SUBSTITUTE(BN14,CHAR(160),""))),0),2)&gt;
ROUND(IFERROR(VALUE(TRIM(SUBSTITUTE(AE14,CHAR(160),""))),0),2),
"KO : Le montant retenu est supérieur au montant présenté. Merci de revoir la ligne de contributions ou plafonner son montant.",
ROUND(IFERROR(VALUE(TRIM(SUBSTITUTE(AE14,CHAR(160),""))),0),2)=0,
"",
ROUND(IFERROR(VALUE(TRIM(SUBSTITUTE(BN14,CHAR(160),""))),0),2)=
ROUND(IFERROR(VALUE(TRIM(SUBSTITUTE(AE14,CHAR(160),""))),0),2),
"OK",
ROUND(IFERROR(VALUE(TRIM(SUBSTITUTE(BN14,CHAR(160),""))),0),2)=0,
"Attention : Montant présenté entièrement rejeté.",
ROUND(IFERROR(VALUE(TRIM(SUBSTITUTE(BN14,CHAR(160),""))),0),2)&lt;
ROUND(IFERROR(VALUE(TRIM(SUBSTITUTE(AE14,CHAR(160),""))),0),2),
"Attention : Montant présenté partiellement rejeté.",
TRUE,""
))</f>
        <v/>
      </c>
      <c r="BT14" s="674" t="str">
        <f t="shared" si="18"/>
        <v/>
      </c>
      <c r="BU14" s="673" t="str">
        <f t="shared" si="19"/>
        <v/>
      </c>
      <c r="BV14" s="1351" t="str">
        <f t="shared" si="20"/>
        <v/>
      </c>
    </row>
    <row r="15" spans="2:79" ht="14.1" customHeight="1">
      <c r="B15" s="498">
        <v>6</v>
      </c>
      <c r="C15" s="119"/>
      <c r="D15" s="11"/>
      <c r="E15" s="6"/>
      <c r="F15" s="28"/>
      <c r="G15" s="6"/>
      <c r="H15" s="6"/>
      <c r="I15" s="26"/>
      <c r="J15" s="27"/>
      <c r="K15" s="30"/>
      <c r="L15" s="31"/>
      <c r="M15" s="440"/>
      <c r="N15" s="33"/>
      <c r="O15" s="321"/>
      <c r="P15" s="32"/>
      <c r="Q15" s="33"/>
      <c r="R15" s="299"/>
      <c r="S15" s="34"/>
      <c r="T15" s="33"/>
      <c r="U15" s="299"/>
      <c r="V15" s="439"/>
      <c r="W15" s="441"/>
      <c r="X15" s="441"/>
      <c r="Y15" s="815"/>
      <c r="Z15" s="850"/>
      <c r="AA15" s="817"/>
      <c r="AB15" s="627"/>
      <c r="AC15" s="817"/>
      <c r="AD15" s="818"/>
      <c r="AE15" s="830"/>
      <c r="AF15" s="819"/>
      <c r="AG15" s="26"/>
      <c r="AH15" s="466" t="str">
        <f t="shared" si="2"/>
        <v/>
      </c>
      <c r="AI15" s="1414" t="str">
        <f t="shared" si="21"/>
        <v/>
      </c>
      <c r="AJ15" s="452" t="str">
        <f t="shared" si="4"/>
        <v/>
      </c>
      <c r="AK15" s="28"/>
      <c r="AL15" s="664" t="str">
        <f t="shared" si="5"/>
        <v/>
      </c>
      <c r="AM15" s="452" t="str">
        <f t="shared" si="6"/>
        <v/>
      </c>
      <c r="AN15" s="452" t="str">
        <f t="shared" si="22"/>
        <v/>
      </c>
      <c r="AO15" s="452" t="str">
        <f t="shared" si="23"/>
        <v/>
      </c>
      <c r="AP15" s="452" t="str">
        <f t="shared" si="24"/>
        <v/>
      </c>
      <c r="AQ15" s="452" t="str">
        <f t="shared" si="7"/>
        <v/>
      </c>
      <c r="AR15" s="478" t="str">
        <f t="shared" si="8"/>
        <v/>
      </c>
      <c r="AS15" s="453" t="str">
        <f t="shared" si="9"/>
        <v/>
      </c>
      <c r="AT15" s="479" t="str">
        <f t="shared" si="29"/>
        <v/>
      </c>
      <c r="AU15" s="453" t="str">
        <f t="shared" si="10"/>
        <v/>
      </c>
      <c r="AV15" s="453" t="str">
        <f t="shared" si="30"/>
        <v/>
      </c>
      <c r="AW15" s="480" t="str">
        <f t="shared" si="25"/>
        <v/>
      </c>
      <c r="AX15" s="453" t="str">
        <f t="shared" si="11"/>
        <v/>
      </c>
      <c r="AY15" s="453" t="str">
        <f t="shared" si="12"/>
        <v/>
      </c>
      <c r="AZ15" s="480" t="str">
        <f t="shared" si="26"/>
        <v/>
      </c>
      <c r="BA15" s="424" t="str">
        <f t="shared" si="13"/>
        <v/>
      </c>
      <c r="BB15" s="454"/>
      <c r="BC15" s="424" t="str">
        <f t="shared" si="14"/>
        <v/>
      </c>
      <c r="BD15" s="424" t="str">
        <f t="shared" si="15"/>
        <v/>
      </c>
      <c r="BE15" s="424" t="str">
        <f t="shared" si="27"/>
        <v/>
      </c>
      <c r="BF15" s="455" t="str" cm="1">
        <f t="array" ref="BF15">IF(AR15="","",IF((IFERROR(_xlfn.IFS($BA15="Devis 1",(IFERROR(VALUE(TRIM(SUBSTITUTE(AR15,CHAR(160),""))),0)),$BA15="Devis 2",(IFERROR(VALUE(TRIM(SUBSTITUTE(AU15,CHAR(160),""))),0)),$BA15="Devis 3",(IFERROR(VALUE(TRIM(SUBSTITUTE(AX15,CHAR(160),""))),0))),0))=0,"",(IFERROR(_xlfn.IFS($BA15="Devis 1",(IFERROR(VALUE(TRIM(SUBSTITUTE(AR15,CHAR(160),""))),0)),$BA15="Devis 2",(IFERROR(VALUE(TRIM(SUBSTITUTE(AU15,CHAR(160),""))),0)),$BA15="Devis 3",(IFERROR(VALUE(TRIM(SUBSTITUTE(AX15,CHAR(160),""))),0))),0))))</f>
        <v/>
      </c>
      <c r="BG15" s="455" t="str" cm="1">
        <f t="array" ref="BG15">IF(AS15="","",IF((IFERROR(_xlfn.IFS($BA15="Devis 1",(IFERROR(VALUE(TRIM(SUBSTITUTE(AS15,CHAR(160),""))),0)),$BA15="Devis 2",(IFERROR(VALUE(TRIM(SUBSTITUTE(AV15,CHAR(160),""))),0)),$BA15="Devis 3",(IFERROR(VALUE(TRIM(SUBSTITUTE(AY15,CHAR(160),""))),0))),0))=0,"",(IFERROR(_xlfn.IFS($BA15="Devis 1",(IFERROR(VALUE(TRIM(SUBSTITUTE(AS15,CHAR(160),""))),0)),$BA15="Devis 2",(IFERROR(VALUE(TRIM(SUBSTITUTE(AV15,CHAR(160),""))),0)),$BA15="Devis 3",(IFERROR(VALUE(TRIM(SUBSTITUTE(AY15,CHAR(160),""))),0))),0))))</f>
        <v/>
      </c>
      <c r="BH15" s="826" t="str" cm="1">
        <f t="array" ref="BH15">IF(AT15="","",IF(IFERROR(_xlfn.IFS($BA15="Devis 1",IFERROR(VALUE(TRIM(SUBSTITUTE(AT15,CHAR(160),""))),0),$BA15="Devis 2",IFERROR(VALUE(TRIM(SUBSTITUTE(AW15,CHAR(160),""))),0),$BA15="Devis 3",IFERROR(VALUE(TRIM(SUBSTITUTE(AZ15,CHAR(160),""))),0)),0)=0,"",IFERROR(_xlfn.IFS($BA15="Devis 1",IFERROR(VALUE(TRIM(SUBSTITUTE(AT15,CHAR(160),""))),0),$BA15="Devis 2",IFERROR(VALUE(TRIM(SUBSTITUTE(AW15,CHAR(160),""))),0),$BA15="Devis 3",IFERROR(VALUE(TRIM(SUBSTITUTE(AZ15,CHAR(160),""))),0)),0)))</f>
        <v/>
      </c>
      <c r="BI15" s="832" t="str">
        <f t="shared" si="28"/>
        <v/>
      </c>
      <c r="BJ15" s="455"/>
      <c r="BK15" s="831"/>
      <c r="BL15" s="455"/>
      <c r="BM15" s="831"/>
      <c r="BN15" s="830">
        <f t="shared" si="31"/>
        <v>0</v>
      </c>
      <c r="BO15" s="676" t="str">
        <f t="shared" si="17"/>
        <v/>
      </c>
      <c r="BP15" s="1330"/>
      <c r="BQ15" s="216" t="str" cm="1">
        <f t="array" ref="BQ15">IF(OR(BH15="",BE15="",BF15="",BC15="",BG15="",BD15=""),"",_xlfn.IFS(
ROUND(IFERROR(VALUE(TRIM(SUBSTITUTE(BH15,CHAR(160),""))),0),2)&gt;
ROUND(IFERROR(VALUE(TRIM(SUBSTITUTE(BE15,CHAR(160),""))),0),2),
"KO : Le montant retenu TTC est supérieur au montant raisonnable TTC. Merci de revoir la ligne de dépense ou plafonner son montant.",
ROUND(IFERROR(VALUE(TRIM(SUBSTITUTE(BF15,CHAR(160),""))),0),2)&gt;
ROUND(IFERROR(VALUE(TRIM(SUBSTITUTE(BC15,CHAR(160),""))),0),2),
"Attention : Le montant retenu HT est supérieur au montant HT raisonnable. Merci de revoir la ligne de dépense, plafonner son montant, ou justifier la reventillation HT / TVA.",
ROUND(IFERROR(VALUE(TRIM(SUBSTITUTE(BG15,CHAR(160),""))),0),2)&gt;
ROUND(IFERROR(VALUE(TRIM(SUBSTITUTE(BD15,CHAR(160),""))),0),2),
"Attention : Le montant TVA retenu est supérieur au montant TVA raisonnable. Merci de revoir la ligne de dépense, plafonner son montant, ou justifier la reventillation HT / TVA.",
ROUND(IFERROR(VALUE(TRIM(SUBSTITUTE(BH15,CHAR(160),""))),0),2)&gt;
ROUND(IFERROR(VALUE(TRIM(SUBSTITUTE(MIN(O15,R15,U15),CHAR(160),""))),0),2),
"Attention : Le devis retenu n'est pas le moins cher. Une justification de la part du porteur est nécessaire.",
ROUND(IFERROR(VALUE(TRIM(SUBSTITUTE(BH15,CHAR(160),""))),0),2)=0,
"Attention : montant présenté entièrement écarté",
ROUND(IFERROR(VALUE(TRIM(SUBSTITUTE(BE15,CHAR(160),""))),0),2)=
ROUND(IFERROR(VALUE(TRIM(SUBSTITUTE(BH15,CHAR(160),""))),0),2),
"OK",
ROUND(IFERROR(VALUE(TRIM(SUBSTITUTE(BE15,CHAR(160),""))),0),2)&gt;
ROUND(IFERROR(VALUE(TRIM(SUBSTITUTE(BH15,CHAR(160),""))),0),2),
" OK : Montant instruit inférieur au montant raisonnable.",
TRUE,""
))</f>
        <v/>
      </c>
      <c r="BR15" s="216" t="str" cm="1">
        <f t="array" ref="BR15">IF(OR(BH15="",Y15="",BF15="",W15="",BG15="",X15=""),"",_xlfn.IFS(
ROUND(IFERROR(VALUE(TRIM(SUBSTITUTE(BH15,CHAR(160),""))),0),2)&gt;
ROUND(IFERROR(VALUE(TRIM(SUBSTITUTE(Y15,CHAR(160),""))),0),2),
"KO : Le montant retenu TTC est supérieur au montant présenté TTC. Merci de revoir la ligne de dépense ou plafonner son montant.",
ROUND(IFERROR(VALUE(TRIM(SUBSTITUTE(BF15,CHAR(160),""))),0),2)&gt;
ROUND(IFERROR(VALUE(TRIM(SUBSTITUTE(W15,CHAR(160),""))),0),2),
"Attention : Le montant retenu HT est supérieur au montant HT présenté. Merci de revoir la ligne de dépense, plafonner son montant, ou justifier la reventillation HT / TVA.",
ROUND(IFERROR(VALUE(TRIM(SUBSTITUTE(BG15,CHAR(160),""))),0),2)&gt;
ROUND(IFERROR(VALUE(TRIM(SUBSTITUTE(X15,CHAR(160),""))),0),2),
"Attention : Le montant TVA retenu est supérieur au montant TVA présenté. Merci de revoir la ligne de dépense, plafonner son montant, ou justifier la reventillation HT / TVA.",
ROUND(IFERROR(VALUE(TRIM(SUBSTITUTE(Y15,CHAR(160),""))),0),2)=0,
"",
ROUND(IFERROR(VALUE(TRIM(SUBSTITUTE(BH15,CHAR(160),""))),0),2)=
ROUND(IFERROR(VALUE(TRIM(SUBSTITUTE(Y15,CHAR(160),""))),0),2),
"OK",
ROUND(IFERROR(VALUE(TRIM(SUBSTITUTE(BH15,CHAR(160),""))),0),2)=0,
"Attention : Montant présenté entièrement rejeté.",
ROUND(IFERROR(VALUE(TRIM(SUBSTITUTE(BH15,CHAR(160),""))),0),2)&lt;
ROUND(IFERROR(VALUE(TRIM(SUBSTITUTE(Y15,CHAR(160),""))),0),2),
"Attention : Montant présenté partiellement rejeté.",
TRUE,""
))</f>
        <v/>
      </c>
      <c r="BS15" s="1331" t="str" cm="1">
        <f t="array" ref="BS15">IF(OR(BN15="",AE15=""),"",_xlfn.IFS(
ROUND(IFERROR(VALUE(TRIM(SUBSTITUTE(BN15,CHAR(160),""))),0),2)&gt;
ROUND(IFERROR(VALUE(TRIM(SUBSTITUTE(AE15,CHAR(160),""))),0),2),
"KO : Le montant retenu est supérieur au montant présenté. Merci de revoir la ligne de contributions ou plafonner son montant.",
ROUND(IFERROR(VALUE(TRIM(SUBSTITUTE(AE15,CHAR(160),""))),0),2)=0,
"",
ROUND(IFERROR(VALUE(TRIM(SUBSTITUTE(BN15,CHAR(160),""))),0),2)=
ROUND(IFERROR(VALUE(TRIM(SUBSTITUTE(AE15,CHAR(160),""))),0),2),
"OK",
ROUND(IFERROR(VALUE(TRIM(SUBSTITUTE(BN15,CHAR(160),""))),0),2)=0,
"Attention : Montant présenté entièrement rejeté.",
ROUND(IFERROR(VALUE(TRIM(SUBSTITUTE(BN15,CHAR(160),""))),0),2)&lt;
ROUND(IFERROR(VALUE(TRIM(SUBSTITUTE(AE15,CHAR(160),""))),0),2),
"Attention : Montant présenté partiellement rejeté.",
TRUE,""
))</f>
        <v/>
      </c>
      <c r="BT15" s="674" t="str">
        <f t="shared" si="18"/>
        <v/>
      </c>
      <c r="BU15" s="673" t="str">
        <f t="shared" si="19"/>
        <v/>
      </c>
      <c r="BV15" s="1351" t="str">
        <f t="shared" si="20"/>
        <v/>
      </c>
    </row>
    <row r="16" spans="2:79" ht="14.1" customHeight="1">
      <c r="B16" s="498">
        <v>7</v>
      </c>
      <c r="C16" s="119"/>
      <c r="D16" s="11"/>
      <c r="E16" s="6"/>
      <c r="F16" s="28"/>
      <c r="G16" s="6"/>
      <c r="H16" s="6"/>
      <c r="I16" s="26"/>
      <c r="J16" s="27"/>
      <c r="K16" s="30"/>
      <c r="L16" s="31"/>
      <c r="M16" s="440"/>
      <c r="N16" s="33"/>
      <c r="O16" s="321"/>
      <c r="P16" s="32"/>
      <c r="Q16" s="33"/>
      <c r="R16" s="299"/>
      <c r="S16" s="34"/>
      <c r="T16" s="33"/>
      <c r="U16" s="299"/>
      <c r="V16" s="439"/>
      <c r="W16" s="441"/>
      <c r="X16" s="441"/>
      <c r="Y16" s="815"/>
      <c r="Z16" s="850"/>
      <c r="AA16" s="817"/>
      <c r="AB16" s="627"/>
      <c r="AC16" s="817"/>
      <c r="AD16" s="818"/>
      <c r="AE16" s="830"/>
      <c r="AF16" s="819"/>
      <c r="AG16" s="26"/>
      <c r="AH16" s="466" t="str">
        <f t="shared" si="2"/>
        <v/>
      </c>
      <c r="AI16" s="1414" t="str">
        <f t="shared" si="21"/>
        <v/>
      </c>
      <c r="AJ16" s="452" t="str">
        <f t="shared" si="4"/>
        <v/>
      </c>
      <c r="AK16" s="28"/>
      <c r="AL16" s="664" t="str">
        <f t="shared" si="5"/>
        <v/>
      </c>
      <c r="AM16" s="452" t="str">
        <f t="shared" si="6"/>
        <v/>
      </c>
      <c r="AN16" s="452" t="str">
        <f t="shared" si="22"/>
        <v/>
      </c>
      <c r="AO16" s="452" t="str">
        <f t="shared" si="23"/>
        <v/>
      </c>
      <c r="AP16" s="452" t="str">
        <f t="shared" si="24"/>
        <v/>
      </c>
      <c r="AQ16" s="452" t="str">
        <f t="shared" si="7"/>
        <v/>
      </c>
      <c r="AR16" s="478" t="str">
        <f t="shared" si="8"/>
        <v/>
      </c>
      <c r="AS16" s="453" t="str">
        <f t="shared" si="9"/>
        <v/>
      </c>
      <c r="AT16" s="479" t="str">
        <f t="shared" si="29"/>
        <v/>
      </c>
      <c r="AU16" s="453" t="str">
        <f t="shared" si="10"/>
        <v/>
      </c>
      <c r="AV16" s="453" t="str">
        <f t="shared" si="30"/>
        <v/>
      </c>
      <c r="AW16" s="480" t="str">
        <f t="shared" si="25"/>
        <v/>
      </c>
      <c r="AX16" s="453" t="str">
        <f t="shared" si="11"/>
        <v/>
      </c>
      <c r="AY16" s="453" t="str">
        <f t="shared" si="12"/>
        <v/>
      </c>
      <c r="AZ16" s="480" t="str">
        <f t="shared" si="26"/>
        <v/>
      </c>
      <c r="BA16" s="424" t="str">
        <f t="shared" si="13"/>
        <v/>
      </c>
      <c r="BB16" s="454"/>
      <c r="BC16" s="424" t="str">
        <f t="shared" si="14"/>
        <v/>
      </c>
      <c r="BD16" s="424" t="str">
        <f t="shared" si="15"/>
        <v/>
      </c>
      <c r="BE16" s="424" t="str">
        <f t="shared" si="27"/>
        <v/>
      </c>
      <c r="BF16" s="455" t="str" cm="1">
        <f t="array" ref="BF16">IF(AR16="","",IF((IFERROR(_xlfn.IFS($BA16="Devis 1",(IFERROR(VALUE(TRIM(SUBSTITUTE(AR16,CHAR(160),""))),0)),$BA16="Devis 2",(IFERROR(VALUE(TRIM(SUBSTITUTE(AU16,CHAR(160),""))),0)),$BA16="Devis 3",(IFERROR(VALUE(TRIM(SUBSTITUTE(AX16,CHAR(160),""))),0))),0))=0,"",(IFERROR(_xlfn.IFS($BA16="Devis 1",(IFERROR(VALUE(TRIM(SUBSTITUTE(AR16,CHAR(160),""))),0)),$BA16="Devis 2",(IFERROR(VALUE(TRIM(SUBSTITUTE(AU16,CHAR(160),""))),0)),$BA16="Devis 3",(IFERROR(VALUE(TRIM(SUBSTITUTE(AX16,CHAR(160),""))),0))),0))))</f>
        <v/>
      </c>
      <c r="BG16" s="455" t="str" cm="1">
        <f t="array" ref="BG16">IF(AS16="","",IF((IFERROR(_xlfn.IFS($BA16="Devis 1",(IFERROR(VALUE(TRIM(SUBSTITUTE(AS16,CHAR(160),""))),0)),$BA16="Devis 2",(IFERROR(VALUE(TRIM(SUBSTITUTE(AV16,CHAR(160),""))),0)),$BA16="Devis 3",(IFERROR(VALUE(TRIM(SUBSTITUTE(AY16,CHAR(160),""))),0))),0))=0,"",(IFERROR(_xlfn.IFS($BA16="Devis 1",(IFERROR(VALUE(TRIM(SUBSTITUTE(AS16,CHAR(160),""))),0)),$BA16="Devis 2",(IFERROR(VALUE(TRIM(SUBSTITUTE(AV16,CHAR(160),""))),0)),$BA16="Devis 3",(IFERROR(VALUE(TRIM(SUBSTITUTE(AY16,CHAR(160),""))),0))),0))))</f>
        <v/>
      </c>
      <c r="BH16" s="826" t="str" cm="1">
        <f t="array" ref="BH16">IF(AT16="","",IF(IFERROR(_xlfn.IFS($BA16="Devis 1",IFERROR(VALUE(TRIM(SUBSTITUTE(AT16,CHAR(160),""))),0),$BA16="Devis 2",IFERROR(VALUE(TRIM(SUBSTITUTE(AW16,CHAR(160),""))),0),$BA16="Devis 3",IFERROR(VALUE(TRIM(SUBSTITUTE(AZ16,CHAR(160),""))),0)),0)=0,"",IFERROR(_xlfn.IFS($BA16="Devis 1",IFERROR(VALUE(TRIM(SUBSTITUTE(AT16,CHAR(160),""))),0),$BA16="Devis 2",IFERROR(VALUE(TRIM(SUBSTITUTE(AW16,CHAR(160),""))),0),$BA16="Devis 3",IFERROR(VALUE(TRIM(SUBSTITUTE(AZ16,CHAR(160),""))),0)),0)))</f>
        <v/>
      </c>
      <c r="BI16" s="832" t="str">
        <f t="shared" si="28"/>
        <v/>
      </c>
      <c r="BJ16" s="455"/>
      <c r="BK16" s="831"/>
      <c r="BL16" s="455"/>
      <c r="BM16" s="831"/>
      <c r="BN16" s="830">
        <f t="shared" si="31"/>
        <v>0</v>
      </c>
      <c r="BO16" s="676" t="str">
        <f t="shared" si="17"/>
        <v/>
      </c>
      <c r="BP16" s="1330"/>
      <c r="BQ16" s="216" t="str" cm="1">
        <f t="array" ref="BQ16">IF(OR(BH16="",BE16="",BF16="",BC16="",BG16="",BD16=""),"",_xlfn.IFS(
ROUND(IFERROR(VALUE(TRIM(SUBSTITUTE(BH16,CHAR(160),""))),0),2)&gt;
ROUND(IFERROR(VALUE(TRIM(SUBSTITUTE(BE16,CHAR(160),""))),0),2),
"KO : Le montant retenu TTC est supérieur au montant raisonnable TTC. Merci de revoir la ligne de dépense ou plafonner son montant.",
ROUND(IFERROR(VALUE(TRIM(SUBSTITUTE(BF16,CHAR(160),""))),0),2)&gt;
ROUND(IFERROR(VALUE(TRIM(SUBSTITUTE(BC16,CHAR(160),""))),0),2),
"Attention : Le montant retenu HT est supérieur au montant HT raisonnable. Merci de revoir la ligne de dépense, plafonner son montant, ou justifier la reventillation HT / TVA.",
ROUND(IFERROR(VALUE(TRIM(SUBSTITUTE(BG16,CHAR(160),""))),0),2)&gt;
ROUND(IFERROR(VALUE(TRIM(SUBSTITUTE(BD16,CHAR(160),""))),0),2),
"Attention : Le montant TVA retenu est supérieur au montant TVA raisonnable. Merci de revoir la ligne de dépense, plafonner son montant, ou justifier la reventillation HT / TVA.",
ROUND(IFERROR(VALUE(TRIM(SUBSTITUTE(BH16,CHAR(160),""))),0),2)&gt;
ROUND(IFERROR(VALUE(TRIM(SUBSTITUTE(MIN(O16,R16,U16),CHAR(160),""))),0),2),
"Attention : Le devis retenu n'est pas le moins cher. Une justification de la part du porteur est nécessaire.",
ROUND(IFERROR(VALUE(TRIM(SUBSTITUTE(BH16,CHAR(160),""))),0),2)=0,
"Attention : montant présenté entièrement écarté",
ROUND(IFERROR(VALUE(TRIM(SUBSTITUTE(BE16,CHAR(160),""))),0),2)=
ROUND(IFERROR(VALUE(TRIM(SUBSTITUTE(BH16,CHAR(160),""))),0),2),
"OK",
ROUND(IFERROR(VALUE(TRIM(SUBSTITUTE(BE16,CHAR(160),""))),0),2)&gt;
ROUND(IFERROR(VALUE(TRIM(SUBSTITUTE(BH16,CHAR(160),""))),0),2),
" OK : Montant instruit inférieur au montant raisonnable.",
TRUE,""
))</f>
        <v/>
      </c>
      <c r="BR16" s="216" t="str" cm="1">
        <f t="array" ref="BR16">IF(OR(BH16="",Y16="",BF16="",W16="",BG16="",X16=""),"",_xlfn.IFS(
ROUND(IFERROR(VALUE(TRIM(SUBSTITUTE(BH16,CHAR(160),""))),0),2)&gt;
ROUND(IFERROR(VALUE(TRIM(SUBSTITUTE(Y16,CHAR(160),""))),0),2),
"KO : Le montant retenu TTC est supérieur au montant présenté TTC. Merci de revoir la ligne de dépense ou plafonner son montant.",
ROUND(IFERROR(VALUE(TRIM(SUBSTITUTE(BF16,CHAR(160),""))),0),2)&gt;
ROUND(IFERROR(VALUE(TRIM(SUBSTITUTE(W16,CHAR(160),""))),0),2),
"Attention : Le montant retenu HT est supérieur au montant HT présenté. Merci de revoir la ligne de dépense, plafonner son montant, ou justifier la reventillation HT / TVA.",
ROUND(IFERROR(VALUE(TRIM(SUBSTITUTE(BG16,CHAR(160),""))),0),2)&gt;
ROUND(IFERROR(VALUE(TRIM(SUBSTITUTE(X16,CHAR(160),""))),0),2),
"Attention : Le montant TVA retenu est supérieur au montant TVA présenté. Merci de revoir la ligne de dépense, plafonner son montant, ou justifier la reventillation HT / TVA.",
ROUND(IFERROR(VALUE(TRIM(SUBSTITUTE(Y16,CHAR(160),""))),0),2)=0,
"",
ROUND(IFERROR(VALUE(TRIM(SUBSTITUTE(BH16,CHAR(160),""))),0),2)=
ROUND(IFERROR(VALUE(TRIM(SUBSTITUTE(Y16,CHAR(160),""))),0),2),
"OK",
ROUND(IFERROR(VALUE(TRIM(SUBSTITUTE(BH16,CHAR(160),""))),0),2)=0,
"Attention : Montant présenté entièrement rejeté.",
ROUND(IFERROR(VALUE(TRIM(SUBSTITUTE(BH16,CHAR(160),""))),0),2)&lt;
ROUND(IFERROR(VALUE(TRIM(SUBSTITUTE(Y16,CHAR(160),""))),0),2),
"Attention : Montant présenté partiellement rejeté.",
TRUE,""
))</f>
        <v/>
      </c>
      <c r="BS16" s="1331" t="str" cm="1">
        <f t="array" ref="BS16">IF(OR(BN16="",AE16=""),"",_xlfn.IFS(
ROUND(IFERROR(VALUE(TRIM(SUBSTITUTE(BN16,CHAR(160),""))),0),2)&gt;
ROUND(IFERROR(VALUE(TRIM(SUBSTITUTE(AE16,CHAR(160),""))),0),2),
"KO : Le montant retenu est supérieur au montant présenté. Merci de revoir la ligne de contributions ou plafonner son montant.",
ROUND(IFERROR(VALUE(TRIM(SUBSTITUTE(AE16,CHAR(160),""))),0),2)=0,
"",
ROUND(IFERROR(VALUE(TRIM(SUBSTITUTE(BN16,CHAR(160),""))),0),2)=
ROUND(IFERROR(VALUE(TRIM(SUBSTITUTE(AE16,CHAR(160),""))),0),2),
"OK",
ROUND(IFERROR(VALUE(TRIM(SUBSTITUTE(BN16,CHAR(160),""))),0),2)=0,
"Attention : Montant présenté entièrement rejeté.",
ROUND(IFERROR(VALUE(TRIM(SUBSTITUTE(BN16,CHAR(160),""))),0),2)&lt;
ROUND(IFERROR(VALUE(TRIM(SUBSTITUTE(AE16,CHAR(160),""))),0),2),
"Attention : Montant présenté partiellement rejeté.",
TRUE,""
))</f>
        <v/>
      </c>
      <c r="BT16" s="674" t="str">
        <f t="shared" si="18"/>
        <v/>
      </c>
      <c r="BU16" s="673" t="str">
        <f t="shared" si="19"/>
        <v/>
      </c>
      <c r="BV16" s="1351" t="str">
        <f t="shared" si="20"/>
        <v/>
      </c>
    </row>
    <row r="17" spans="2:74" ht="14.1" customHeight="1">
      <c r="B17" s="498">
        <v>8</v>
      </c>
      <c r="C17" s="119"/>
      <c r="D17" s="11"/>
      <c r="E17" s="6"/>
      <c r="F17" s="28"/>
      <c r="G17" s="6"/>
      <c r="H17" s="6"/>
      <c r="I17" s="30"/>
      <c r="J17" s="30"/>
      <c r="K17" s="30"/>
      <c r="L17" s="31"/>
      <c r="M17" s="440"/>
      <c r="N17" s="33"/>
      <c r="O17" s="321" t="str">
        <f t="shared" ref="O17:O48" si="32">IF(OR(M17="", N17=""), "", IFERROR(VALUE(TRIM(SUBSTITUTE(M17,CHAR(160),""))),0) + IFERROR(VALUE(TRIM(SUBSTITUTE(N17,CHAR(160),""))),0))</f>
        <v/>
      </c>
      <c r="P17" s="32"/>
      <c r="Q17" s="33"/>
      <c r="R17" s="299" t="str">
        <f t="shared" ref="R17:R49" si="33">IF(OR(P17="", Q17=""), "", IFERROR(VALUE(TRIM(SUBSTITUTE(P17,CHAR(160),""))),0) + IFERROR(VALUE(TRIM(SUBSTITUTE(Q17,CHAR(160),""))),0))</f>
        <v/>
      </c>
      <c r="S17" s="34"/>
      <c r="T17" s="33"/>
      <c r="U17" s="299" t="str">
        <f t="shared" si="1"/>
        <v/>
      </c>
      <c r="V17" s="439"/>
      <c r="W17" s="441" t="str" cm="1">
        <f t="array" ref="W17">IF((_xlfn.IFS(TRIM(SUBSTITUTE(V17,CHAR(160),""))="Devis 1",IFERROR(VALUE(TRIM(SUBSTITUTE(M17,CHAR(160),""))),0),TRIM(SUBSTITUTE(V17,CHAR(160),""))="Devis 2",IFERROR(VALUE(TRIM(SUBSTITUTE(P17,CHAR(160),""))),0),TRIM(SUBSTITUTE(V17,CHAR(160),""))="Devis 3",IFERROR(VALUE(TRIM(SUBSTITUTE(S17,CHAR(160),""))),0),TRUE,0))=0,"",_xlfn.IFS(TRIM(SUBSTITUTE(V17,CHAR(160),""))="Devis 1",IFERROR(VALUE(TRIM(SUBSTITUTE(M17,CHAR(160),""))),0),TRIM(SUBSTITUTE(V17,CHAR(160),""))="Devis 2",IFERROR(VALUE(TRIM(SUBSTITUTE(P17,CHAR(160),""))),0),TRIM(SUBSTITUTE(V17,CHAR(160),""))="Devis 3",IFERROR(VALUE(TRIM(SUBSTITUTE(S17,CHAR(160),""))),0),TRUE,0))</f>
        <v/>
      </c>
      <c r="X17" s="441" t="str" cm="1">
        <f t="array" ref="X17">IF((_xlfn.IFS(TRIM(SUBSTITUTE(V17,CHAR(160),""))="Devis 1",IFERROR(VALUE(TRIM(SUBSTITUTE(N17,CHAR(160),""))),0),TRIM(SUBSTITUTE(V17,CHAR(160),""))="Devis 2",IFERROR(VALUE(TRIM(SUBSTITUTE(Q17,CHAR(160),""))),0),TRIM(SUBSTITUTE(V17,CHAR(160),""))="Devis 3",IFERROR(VALUE(TRIM(SUBSTITUTE(T17,CHAR(160),""))),0),TRUE,0))=0,"",_xlfn.IFS(TRIM(SUBSTITUTE(V17,CHAR(160),""))="Devis 1",IFERROR(VALUE(TRIM(SUBSTITUTE(N17,CHAR(160),""))),0),TRIM(SUBSTITUTE(V17,CHAR(160),""))="Devis 2",IFERROR(VALUE(TRIM(SUBSTITUTE(Q17,CHAR(160),""))),0),TRIM(SUBSTITUTE(V17,CHAR(160),""))="Devis 3",IFERROR(VALUE(TRIM(SUBSTITUTE(T17,CHAR(160),""))),0),TRUE,0))</f>
        <v/>
      </c>
      <c r="Y17" s="815" t="str" cm="1">
        <f t="array" ref="Y17">IF((_xlfn.IFS(TRIM(SUBSTITUTE(V17,CHAR(160),""))="Devis 1",IFERROR(VALUE(TRIM(SUBSTITUTE(O17,CHAR(160),""))),0),TRIM(SUBSTITUTE(V17,CHAR(160),""))="Devis 2",IFERROR(VALUE(TRIM(SUBSTITUTE(R17,CHAR(160),""))),0),TRIM(SUBSTITUTE(V17,CHAR(160),""))="Devis 3",IFERROR(VALUE(TRIM(SUBSTITUTE(U17,CHAR(160),""))),0),TRUE,0))=0,"",_xlfn.IFS(TRIM(SUBSTITUTE(V17,CHAR(160),""))="Devis 1",IFERROR(VALUE(TRIM(SUBSTITUTE(O17,CHAR(160),""))),0),TRIM(SUBSTITUTE(V17,CHAR(160),""))="Devis 2",IFERROR(VALUE(TRIM(SUBSTITUTE(R17,CHAR(160),""))),0),TRIM(SUBSTITUTE(V17,CHAR(160),""))="Devis 3",IFERROR(VALUE(TRIM(SUBSTITUTE(U17,CHAR(160),""))),0),TRUE,0))</f>
        <v/>
      </c>
      <c r="Z17" s="850"/>
      <c r="AA17" s="817" t="str" cm="1">
        <f t="array" ref="AA17">IF(Z17="","",_xlfn.IFS(Z17=$BZ$5,70,Z17=$BZ$6,90,Z17=$BZ$7,70,Z17=$BZ$8,90,Z17=$BZ$9,110))</f>
        <v/>
      </c>
      <c r="AB17" s="627"/>
      <c r="AC17" s="817" t="str" cm="1">
        <f t="array" ref="AC17">IF(Z17="","",_xlfn.IFS(Z17=$BZ$5,15.75,Z17=$BZ$6,21,Z17=$BZ$7,15.25,Z17=$BZ$8,15.25,Z17=$BZ$9,15.25))</f>
        <v/>
      </c>
      <c r="AD17" s="818"/>
      <c r="AE17" s="830">
        <f t="shared" ref="AE17:AE49" si="34">IF(Z17="",0,AA17*AB17+AC17*AD17)</f>
        <v>0</v>
      </c>
      <c r="AF17" s="819" t="str">
        <f t="shared" ref="AF17:AF49" si="35">IF(D17="","",Y17+AE17)</f>
        <v/>
      </c>
      <c r="AG17" s="26"/>
      <c r="AH17" s="466" t="str">
        <f t="shared" si="2"/>
        <v/>
      </c>
      <c r="AI17" s="1414" t="str">
        <f t="shared" si="21"/>
        <v/>
      </c>
      <c r="AJ17" s="452" t="str">
        <f t="shared" si="4"/>
        <v/>
      </c>
      <c r="AK17" s="28"/>
      <c r="AL17" s="664" t="str">
        <f t="shared" si="5"/>
        <v/>
      </c>
      <c r="AM17" s="452" t="str">
        <f t="shared" si="6"/>
        <v/>
      </c>
      <c r="AN17" s="452" t="str">
        <f t="shared" si="22"/>
        <v/>
      </c>
      <c r="AO17" s="452" t="str">
        <f t="shared" si="23"/>
        <v/>
      </c>
      <c r="AP17" s="452" t="str">
        <f t="shared" si="24"/>
        <v/>
      </c>
      <c r="AQ17" s="452" t="str">
        <f t="shared" si="7"/>
        <v/>
      </c>
      <c r="AR17" s="478" t="str">
        <f t="shared" si="8"/>
        <v/>
      </c>
      <c r="AS17" s="453" t="str">
        <f t="shared" si="9"/>
        <v/>
      </c>
      <c r="AT17" s="479" t="str">
        <f t="shared" si="29"/>
        <v/>
      </c>
      <c r="AU17" s="453" t="str">
        <f t="shared" si="10"/>
        <v/>
      </c>
      <c r="AV17" s="453" t="str">
        <f t="shared" si="30"/>
        <v/>
      </c>
      <c r="AW17" s="480" t="str">
        <f t="shared" si="25"/>
        <v/>
      </c>
      <c r="AX17" s="453" t="str">
        <f t="shared" si="11"/>
        <v/>
      </c>
      <c r="AY17" s="453" t="str">
        <f t="shared" si="12"/>
        <v/>
      </c>
      <c r="AZ17" s="480" t="str">
        <f t="shared" si="26"/>
        <v/>
      </c>
      <c r="BA17" s="424" t="str">
        <f t="shared" si="13"/>
        <v/>
      </c>
      <c r="BB17" s="454"/>
      <c r="BC17" s="424" t="str">
        <f t="shared" si="14"/>
        <v/>
      </c>
      <c r="BD17" s="424" t="str">
        <f t="shared" si="15"/>
        <v/>
      </c>
      <c r="BE17" s="424" t="str">
        <f t="shared" si="27"/>
        <v/>
      </c>
      <c r="BF17" s="455" t="str" cm="1">
        <f t="array" ref="BF17">IF(AR17="","",IF((IFERROR(_xlfn.IFS($BA17="Devis 1",(IFERROR(VALUE(TRIM(SUBSTITUTE(AR17,CHAR(160),""))),0)),$BA17="Devis 2",(IFERROR(VALUE(TRIM(SUBSTITUTE(AU17,CHAR(160),""))),0)),$BA17="Devis 3",(IFERROR(VALUE(TRIM(SUBSTITUTE(AX17,CHAR(160),""))),0))),0))=0,"",(IFERROR(_xlfn.IFS($BA17="Devis 1",(IFERROR(VALUE(TRIM(SUBSTITUTE(AR17,CHAR(160),""))),0)),$BA17="Devis 2",(IFERROR(VALUE(TRIM(SUBSTITUTE(AU17,CHAR(160),""))),0)),$BA17="Devis 3",(IFERROR(VALUE(TRIM(SUBSTITUTE(AX17,CHAR(160),""))),0))),0))))</f>
        <v/>
      </c>
      <c r="BG17" s="455" t="str" cm="1">
        <f t="array" ref="BG17">IF(AS17="","",IF((IFERROR(_xlfn.IFS($BA17="Devis 1",(IFERROR(VALUE(TRIM(SUBSTITUTE(AS17,CHAR(160),""))),0)),$BA17="Devis 2",(IFERROR(VALUE(TRIM(SUBSTITUTE(AV17,CHAR(160),""))),0)),$BA17="Devis 3",(IFERROR(VALUE(TRIM(SUBSTITUTE(AY17,CHAR(160),""))),0))),0))=0,"",(IFERROR(_xlfn.IFS($BA17="Devis 1",(IFERROR(VALUE(TRIM(SUBSTITUTE(AS17,CHAR(160),""))),0)),$BA17="Devis 2",(IFERROR(VALUE(TRIM(SUBSTITUTE(AV17,CHAR(160),""))),0)),$BA17="Devis 3",(IFERROR(VALUE(TRIM(SUBSTITUTE(AY17,CHAR(160),""))),0))),0))))</f>
        <v/>
      </c>
      <c r="BH17" s="826" t="str" cm="1">
        <f t="array" ref="BH17">IF(AT17="","",IF(IFERROR(_xlfn.IFS($BA17="Devis 1",IFERROR(VALUE(TRIM(SUBSTITUTE(AT17,CHAR(160),""))),0),$BA17="Devis 2",IFERROR(VALUE(TRIM(SUBSTITUTE(AW17,CHAR(160),""))),0),$BA17="Devis 3",IFERROR(VALUE(TRIM(SUBSTITUTE(AZ17,CHAR(160),""))),0)),0)=0,"",IFERROR(_xlfn.IFS($BA17="Devis 1",IFERROR(VALUE(TRIM(SUBSTITUTE(AT17,CHAR(160),""))),0),$BA17="Devis 2",IFERROR(VALUE(TRIM(SUBSTITUTE(AW17,CHAR(160),""))),0),$BA17="Devis 3",IFERROR(VALUE(TRIM(SUBSTITUTE(AZ17,CHAR(160),""))),0)),0)))</f>
        <v/>
      </c>
      <c r="BI17" s="832" t="str">
        <f t="shared" si="28"/>
        <v/>
      </c>
      <c r="BJ17" s="455"/>
      <c r="BK17" s="831"/>
      <c r="BL17" s="455"/>
      <c r="BM17" s="831"/>
      <c r="BN17" s="830">
        <f t="shared" si="31"/>
        <v>0</v>
      </c>
      <c r="BO17" s="676" t="str">
        <f t="shared" si="17"/>
        <v/>
      </c>
      <c r="BP17" s="1330"/>
      <c r="BQ17" s="216" t="str" cm="1">
        <f t="array" ref="BQ17">IF(OR(BH17="",BE17="",BF17="",BC17="",BG17="",BD17=""),"",_xlfn.IFS(
ROUND(IFERROR(VALUE(TRIM(SUBSTITUTE(BH17,CHAR(160),""))),0),2)&gt;
ROUND(IFERROR(VALUE(TRIM(SUBSTITUTE(BE17,CHAR(160),""))),0),2),
"KO : Le montant retenu TTC est supérieur au montant raisonnable TTC. Merci de revoir la ligne de dépense ou plafonner son montant.",
ROUND(IFERROR(VALUE(TRIM(SUBSTITUTE(BF17,CHAR(160),""))),0),2)&gt;
ROUND(IFERROR(VALUE(TRIM(SUBSTITUTE(BC17,CHAR(160),""))),0),2),
"Attention : Le montant retenu HT est supérieur au montant HT raisonnable. Merci de revoir la ligne de dépense, plafonner son montant, ou justifier la reventillation HT / TVA.",
ROUND(IFERROR(VALUE(TRIM(SUBSTITUTE(BG17,CHAR(160),""))),0),2)&gt;
ROUND(IFERROR(VALUE(TRIM(SUBSTITUTE(BD17,CHAR(160),""))),0),2),
"Attention : Le montant TVA retenu est supérieur au montant TVA raisonnable. Merci de revoir la ligne de dépense, plafonner son montant, ou justifier la reventillation HT / TVA.",
ROUND(IFERROR(VALUE(TRIM(SUBSTITUTE(BH17,CHAR(160),""))),0),2)&gt;
ROUND(IFERROR(VALUE(TRIM(SUBSTITUTE(MIN(O17,R17,U17),CHAR(160),""))),0),2),
"Attention : Le devis retenu n'est pas le moins cher. Une justification de la part du porteur est nécessaire.",
ROUND(IFERROR(VALUE(TRIM(SUBSTITUTE(BH17,CHAR(160),""))),0),2)=0,
"Attention : montant présenté entièrement écarté",
ROUND(IFERROR(VALUE(TRIM(SUBSTITUTE(BE17,CHAR(160),""))),0),2)=
ROUND(IFERROR(VALUE(TRIM(SUBSTITUTE(BH17,CHAR(160),""))),0),2),
"OK",
ROUND(IFERROR(VALUE(TRIM(SUBSTITUTE(BE17,CHAR(160),""))),0),2)&gt;
ROUND(IFERROR(VALUE(TRIM(SUBSTITUTE(BH17,CHAR(160),""))),0),2),
" OK : Montant instruit inférieur au montant raisonnable.",
TRUE,""
))</f>
        <v/>
      </c>
      <c r="BR17" s="216" t="str" cm="1">
        <f t="array" ref="BR17">IF(OR(BH17="",Y17="",BF17="",W17="",BG17="",X17=""),"",_xlfn.IFS(
ROUND(IFERROR(VALUE(TRIM(SUBSTITUTE(BH17,CHAR(160),""))),0),2)&gt;
ROUND(IFERROR(VALUE(TRIM(SUBSTITUTE(Y17,CHAR(160),""))),0),2),
"KO : Le montant retenu TTC est supérieur au montant présenté TTC. Merci de revoir la ligne de dépense ou plafonner son montant.",
ROUND(IFERROR(VALUE(TRIM(SUBSTITUTE(BF17,CHAR(160),""))),0),2)&gt;
ROUND(IFERROR(VALUE(TRIM(SUBSTITUTE(W17,CHAR(160),""))),0),2),
"Attention : Le montant retenu HT est supérieur au montant HT présenté. Merci de revoir la ligne de dépense, plafonner son montant, ou justifier la reventillation HT / TVA.",
ROUND(IFERROR(VALUE(TRIM(SUBSTITUTE(BG17,CHAR(160),""))),0),2)&gt;
ROUND(IFERROR(VALUE(TRIM(SUBSTITUTE(X17,CHAR(160),""))),0),2),
"Attention : Le montant TVA retenu est supérieur au montant TVA présenté. Merci de revoir la ligne de dépense, plafonner son montant, ou justifier la reventillation HT / TVA.",
ROUND(IFERROR(VALUE(TRIM(SUBSTITUTE(Y17,CHAR(160),""))),0),2)=0,
"",
ROUND(IFERROR(VALUE(TRIM(SUBSTITUTE(BH17,CHAR(160),""))),0),2)=
ROUND(IFERROR(VALUE(TRIM(SUBSTITUTE(Y17,CHAR(160),""))),0),2),
"OK",
ROUND(IFERROR(VALUE(TRIM(SUBSTITUTE(BH17,CHAR(160),""))),0),2)=0,
"Attention : Montant présenté entièrement rejeté.",
ROUND(IFERROR(VALUE(TRIM(SUBSTITUTE(BH17,CHAR(160),""))),0),2)&lt;
ROUND(IFERROR(VALUE(TRIM(SUBSTITUTE(Y17,CHAR(160),""))),0),2),
"Attention : Montant présenté partiellement rejeté.",
TRUE,""
))</f>
        <v/>
      </c>
      <c r="BS17" s="1331" t="str" cm="1">
        <f t="array" ref="BS17">IF(OR(BN17="",AE17=""),"",_xlfn.IFS(
ROUND(IFERROR(VALUE(TRIM(SUBSTITUTE(BN17,CHAR(160),""))),0),2)&gt;
ROUND(IFERROR(VALUE(TRIM(SUBSTITUTE(AE17,CHAR(160),""))),0),2),
"KO : Le montant retenu est supérieur au montant présenté. Merci de revoir la ligne de contributions ou plafonner son montant.",
ROUND(IFERROR(VALUE(TRIM(SUBSTITUTE(AE17,CHAR(160),""))),0),2)=0,
"",
ROUND(IFERROR(VALUE(TRIM(SUBSTITUTE(BN17,CHAR(160),""))),0),2)=
ROUND(IFERROR(VALUE(TRIM(SUBSTITUTE(AE17,CHAR(160),""))),0),2),
"OK",
ROUND(IFERROR(VALUE(TRIM(SUBSTITUTE(BN17,CHAR(160),""))),0),2)=0,
"Attention : Montant présenté entièrement rejeté.",
ROUND(IFERROR(VALUE(TRIM(SUBSTITUTE(BN17,CHAR(160),""))),0),2)&lt;
ROUND(IFERROR(VALUE(TRIM(SUBSTITUTE(AE17,CHAR(160),""))),0),2),
"Attention : Montant présenté partiellement rejeté.",
TRUE,""
))</f>
        <v/>
      </c>
      <c r="BT17" s="674" t="str">
        <f t="shared" si="18"/>
        <v/>
      </c>
      <c r="BU17" s="673" t="str">
        <f t="shared" si="19"/>
        <v/>
      </c>
      <c r="BV17" s="1351" t="str">
        <f t="shared" si="20"/>
        <v/>
      </c>
    </row>
    <row r="18" spans="2:74" ht="14.1" customHeight="1">
      <c r="B18" s="498">
        <v>9</v>
      </c>
      <c r="C18" s="119"/>
      <c r="D18" s="11"/>
      <c r="E18" s="6"/>
      <c r="F18" s="28"/>
      <c r="G18" s="6"/>
      <c r="H18" s="6"/>
      <c r="I18" s="30"/>
      <c r="J18" s="30"/>
      <c r="K18" s="30"/>
      <c r="L18" s="31"/>
      <c r="M18" s="440"/>
      <c r="N18" s="33"/>
      <c r="O18" s="321" t="str">
        <f t="shared" si="32"/>
        <v/>
      </c>
      <c r="P18" s="32"/>
      <c r="Q18" s="33"/>
      <c r="R18" s="299" t="str">
        <f t="shared" si="33"/>
        <v/>
      </c>
      <c r="S18" s="34"/>
      <c r="T18" s="33"/>
      <c r="U18" s="299" t="str">
        <f t="shared" si="1"/>
        <v/>
      </c>
      <c r="V18" s="439"/>
      <c r="W18" s="441" t="str" cm="1">
        <f t="array" ref="W18">IF((_xlfn.IFS(TRIM(SUBSTITUTE(V18,CHAR(160),""))="Devis 1",IFERROR(VALUE(TRIM(SUBSTITUTE(M18,CHAR(160),""))),0),TRIM(SUBSTITUTE(V18,CHAR(160),""))="Devis 2",IFERROR(VALUE(TRIM(SUBSTITUTE(P18,CHAR(160),""))),0),TRIM(SUBSTITUTE(V18,CHAR(160),""))="Devis 3",IFERROR(VALUE(TRIM(SUBSTITUTE(S18,CHAR(160),""))),0),TRUE,0))=0,"",_xlfn.IFS(TRIM(SUBSTITUTE(V18,CHAR(160),""))="Devis 1",IFERROR(VALUE(TRIM(SUBSTITUTE(M18,CHAR(160),""))),0),TRIM(SUBSTITUTE(V18,CHAR(160),""))="Devis 2",IFERROR(VALUE(TRIM(SUBSTITUTE(P18,CHAR(160),""))),0),TRIM(SUBSTITUTE(V18,CHAR(160),""))="Devis 3",IFERROR(VALUE(TRIM(SUBSTITUTE(S18,CHAR(160),""))),0),TRUE,0))</f>
        <v/>
      </c>
      <c r="X18" s="441" t="str" cm="1">
        <f t="array" ref="X18">IF((_xlfn.IFS(TRIM(SUBSTITUTE(V18,CHAR(160),""))="Devis 1",IFERROR(VALUE(TRIM(SUBSTITUTE(N18,CHAR(160),""))),0),TRIM(SUBSTITUTE(V18,CHAR(160),""))="Devis 2",IFERROR(VALUE(TRIM(SUBSTITUTE(Q18,CHAR(160),""))),0),TRIM(SUBSTITUTE(V18,CHAR(160),""))="Devis 3",IFERROR(VALUE(TRIM(SUBSTITUTE(T18,CHAR(160),""))),0),TRUE,0))=0,"",_xlfn.IFS(TRIM(SUBSTITUTE(V18,CHAR(160),""))="Devis 1",IFERROR(VALUE(TRIM(SUBSTITUTE(N18,CHAR(160),""))),0),TRIM(SUBSTITUTE(V18,CHAR(160),""))="Devis 2",IFERROR(VALUE(TRIM(SUBSTITUTE(Q18,CHAR(160),""))),0),TRIM(SUBSTITUTE(V18,CHAR(160),""))="Devis 3",IFERROR(VALUE(TRIM(SUBSTITUTE(T18,CHAR(160),""))),0),TRUE,0))</f>
        <v/>
      </c>
      <c r="Y18" s="815" t="str" cm="1">
        <f t="array" ref="Y18">IF((_xlfn.IFS(TRIM(SUBSTITUTE(V18,CHAR(160),""))="Devis 1",IFERROR(VALUE(TRIM(SUBSTITUTE(O18,CHAR(160),""))),0),TRIM(SUBSTITUTE(V18,CHAR(160),""))="Devis 2",IFERROR(VALUE(TRIM(SUBSTITUTE(R18,CHAR(160),""))),0),TRIM(SUBSTITUTE(V18,CHAR(160),""))="Devis 3",IFERROR(VALUE(TRIM(SUBSTITUTE(U18,CHAR(160),""))),0),TRUE,0))=0,"",_xlfn.IFS(TRIM(SUBSTITUTE(V18,CHAR(160),""))="Devis 1",IFERROR(VALUE(TRIM(SUBSTITUTE(O18,CHAR(160),""))),0),TRIM(SUBSTITUTE(V18,CHAR(160),""))="Devis 2",IFERROR(VALUE(TRIM(SUBSTITUTE(R18,CHAR(160),""))),0),TRIM(SUBSTITUTE(V18,CHAR(160),""))="Devis 3",IFERROR(VALUE(TRIM(SUBSTITUTE(U18,CHAR(160),""))),0),TRUE,0))</f>
        <v/>
      </c>
      <c r="Z18" s="850"/>
      <c r="AA18" s="817" t="str" cm="1">
        <f t="array" ref="AA18">IF(Z18="","",_xlfn.IFS(Z18=$BZ$5,70,Z18=$BZ$6,90,Z18=$BZ$7,70,Z18=$BZ$8,90,Z18=$BZ$9,110))</f>
        <v/>
      </c>
      <c r="AB18" s="627"/>
      <c r="AC18" s="817" t="str" cm="1">
        <f t="array" ref="AC18">IF(Z18="","",_xlfn.IFS(Z18=$BZ$5,15.75,Z18=$BZ$6,21,Z18=$BZ$7,15.25,Z18=$BZ$8,15.25,Z18=$BZ$9,15.25))</f>
        <v/>
      </c>
      <c r="AD18" s="818"/>
      <c r="AE18" s="830">
        <f t="shared" si="34"/>
        <v>0</v>
      </c>
      <c r="AF18" s="819" t="str">
        <f t="shared" si="35"/>
        <v/>
      </c>
      <c r="AG18" s="26"/>
      <c r="AH18" s="466" t="str">
        <f t="shared" si="2"/>
        <v/>
      </c>
      <c r="AI18" s="1414" t="str">
        <f t="shared" si="21"/>
        <v/>
      </c>
      <c r="AJ18" s="452" t="str">
        <f t="shared" si="4"/>
        <v/>
      </c>
      <c r="AK18" s="28"/>
      <c r="AL18" s="664" t="str">
        <f t="shared" si="5"/>
        <v/>
      </c>
      <c r="AM18" s="452" t="str">
        <f t="shared" si="6"/>
        <v/>
      </c>
      <c r="AN18" s="452" t="str">
        <f t="shared" si="22"/>
        <v/>
      </c>
      <c r="AO18" s="452" t="str">
        <f t="shared" si="23"/>
        <v/>
      </c>
      <c r="AP18" s="452" t="str">
        <f t="shared" si="24"/>
        <v/>
      </c>
      <c r="AQ18" s="452" t="str">
        <f t="shared" si="7"/>
        <v/>
      </c>
      <c r="AR18" s="478" t="str">
        <f t="shared" si="8"/>
        <v/>
      </c>
      <c r="AS18" s="453" t="str">
        <f t="shared" si="9"/>
        <v/>
      </c>
      <c r="AT18" s="479" t="str">
        <f t="shared" si="29"/>
        <v/>
      </c>
      <c r="AU18" s="453" t="str">
        <f t="shared" si="10"/>
        <v/>
      </c>
      <c r="AV18" s="453" t="str">
        <f t="shared" si="30"/>
        <v/>
      </c>
      <c r="AW18" s="480" t="str">
        <f t="shared" si="25"/>
        <v/>
      </c>
      <c r="AX18" s="453" t="str">
        <f t="shared" si="11"/>
        <v/>
      </c>
      <c r="AY18" s="453" t="str">
        <f t="shared" si="12"/>
        <v/>
      </c>
      <c r="AZ18" s="480" t="str">
        <f t="shared" si="26"/>
        <v/>
      </c>
      <c r="BA18" s="424" t="str">
        <f t="shared" si="13"/>
        <v/>
      </c>
      <c r="BB18" s="454"/>
      <c r="BC18" s="424" t="str">
        <f t="shared" si="14"/>
        <v/>
      </c>
      <c r="BD18" s="424" t="str">
        <f t="shared" si="15"/>
        <v/>
      </c>
      <c r="BE18" s="424" t="str">
        <f t="shared" si="27"/>
        <v/>
      </c>
      <c r="BF18" s="455" t="str" cm="1">
        <f t="array" ref="BF18">IF(AR18="","",IF((IFERROR(_xlfn.IFS($BA18="Devis 1",(IFERROR(VALUE(TRIM(SUBSTITUTE(AR18,CHAR(160),""))),0)),$BA18="Devis 2",(IFERROR(VALUE(TRIM(SUBSTITUTE(AU18,CHAR(160),""))),0)),$BA18="Devis 3",(IFERROR(VALUE(TRIM(SUBSTITUTE(AX18,CHAR(160),""))),0))),0))=0,"",(IFERROR(_xlfn.IFS($BA18="Devis 1",(IFERROR(VALUE(TRIM(SUBSTITUTE(AR18,CHAR(160),""))),0)),$BA18="Devis 2",(IFERROR(VALUE(TRIM(SUBSTITUTE(AU18,CHAR(160),""))),0)),$BA18="Devis 3",(IFERROR(VALUE(TRIM(SUBSTITUTE(AX18,CHAR(160),""))),0))),0))))</f>
        <v/>
      </c>
      <c r="BG18" s="455" t="str" cm="1">
        <f t="array" ref="BG18">IF(AS18="","",IF((IFERROR(_xlfn.IFS($BA18="Devis 1",(IFERROR(VALUE(TRIM(SUBSTITUTE(AS18,CHAR(160),""))),0)),$BA18="Devis 2",(IFERROR(VALUE(TRIM(SUBSTITUTE(AV18,CHAR(160),""))),0)),$BA18="Devis 3",(IFERROR(VALUE(TRIM(SUBSTITUTE(AY18,CHAR(160),""))),0))),0))=0,"",(IFERROR(_xlfn.IFS($BA18="Devis 1",(IFERROR(VALUE(TRIM(SUBSTITUTE(AS18,CHAR(160),""))),0)),$BA18="Devis 2",(IFERROR(VALUE(TRIM(SUBSTITUTE(AV18,CHAR(160),""))),0)),$BA18="Devis 3",(IFERROR(VALUE(TRIM(SUBSTITUTE(AY18,CHAR(160),""))),0))),0))))</f>
        <v/>
      </c>
      <c r="BH18" s="826" t="str" cm="1">
        <f t="array" ref="BH18">IF(AT18="","",IF(IFERROR(_xlfn.IFS($BA18="Devis 1",IFERROR(VALUE(TRIM(SUBSTITUTE(AT18,CHAR(160),""))),0),$BA18="Devis 2",IFERROR(VALUE(TRIM(SUBSTITUTE(AW18,CHAR(160),""))),0),$BA18="Devis 3",IFERROR(VALUE(TRIM(SUBSTITUTE(AZ18,CHAR(160),""))),0)),0)=0,"",IFERROR(_xlfn.IFS($BA18="Devis 1",IFERROR(VALUE(TRIM(SUBSTITUTE(AT18,CHAR(160),""))),0),$BA18="Devis 2",IFERROR(VALUE(TRIM(SUBSTITUTE(AW18,CHAR(160),""))),0),$BA18="Devis 3",IFERROR(VALUE(TRIM(SUBSTITUTE(AZ18,CHAR(160),""))),0)),0)))</f>
        <v/>
      </c>
      <c r="BI18" s="832" t="str">
        <f t="shared" si="28"/>
        <v/>
      </c>
      <c r="BJ18" s="455"/>
      <c r="BK18" s="831"/>
      <c r="BL18" s="455"/>
      <c r="BM18" s="831"/>
      <c r="BN18" s="830">
        <f t="shared" si="31"/>
        <v>0</v>
      </c>
      <c r="BO18" s="676" t="str">
        <f t="shared" si="17"/>
        <v/>
      </c>
      <c r="BP18" s="1330"/>
      <c r="BQ18" s="216" t="str" cm="1">
        <f t="array" ref="BQ18">IF(OR(BH18="",BE18="",BF18="",BC18="",BG18="",BD18=""),"",_xlfn.IFS(
ROUND(IFERROR(VALUE(TRIM(SUBSTITUTE(BH18,CHAR(160),""))),0),2)&gt;
ROUND(IFERROR(VALUE(TRIM(SUBSTITUTE(BE18,CHAR(160),""))),0),2),
"KO : Le montant retenu TTC est supérieur au montant raisonnable TTC. Merci de revoir la ligne de dépense ou plafonner son montant.",
ROUND(IFERROR(VALUE(TRIM(SUBSTITUTE(BF18,CHAR(160),""))),0),2)&gt;
ROUND(IFERROR(VALUE(TRIM(SUBSTITUTE(BC18,CHAR(160),""))),0),2),
"Attention : Le montant retenu HT est supérieur au montant HT raisonnable. Merci de revoir la ligne de dépense, plafonner son montant, ou justifier la reventillation HT / TVA.",
ROUND(IFERROR(VALUE(TRIM(SUBSTITUTE(BG18,CHAR(160),""))),0),2)&gt;
ROUND(IFERROR(VALUE(TRIM(SUBSTITUTE(BD18,CHAR(160),""))),0),2),
"Attention : Le montant TVA retenu est supérieur au montant TVA raisonnable. Merci de revoir la ligne de dépense, plafonner son montant, ou justifier la reventillation HT / TVA.",
ROUND(IFERROR(VALUE(TRIM(SUBSTITUTE(BH18,CHAR(160),""))),0),2)&gt;
ROUND(IFERROR(VALUE(TRIM(SUBSTITUTE(MIN(O18,R18,U18),CHAR(160),""))),0),2),
"Attention : Le devis retenu n'est pas le moins cher. Une justification de la part du porteur est nécessaire.",
ROUND(IFERROR(VALUE(TRIM(SUBSTITUTE(BH18,CHAR(160),""))),0),2)=0,
"Attention : montant présenté entièrement écarté",
ROUND(IFERROR(VALUE(TRIM(SUBSTITUTE(BE18,CHAR(160),""))),0),2)=
ROUND(IFERROR(VALUE(TRIM(SUBSTITUTE(BH18,CHAR(160),""))),0),2),
"OK",
ROUND(IFERROR(VALUE(TRIM(SUBSTITUTE(BE18,CHAR(160),""))),0),2)&gt;
ROUND(IFERROR(VALUE(TRIM(SUBSTITUTE(BH18,CHAR(160),""))),0),2),
" OK : Montant instruit inférieur au montant raisonnable.",
TRUE,""
))</f>
        <v/>
      </c>
      <c r="BR18" s="216" t="str" cm="1">
        <f t="array" ref="BR18">IF(OR(BH18="",Y18="",BF18="",W18="",BG18="",X18=""),"",_xlfn.IFS(
ROUND(IFERROR(VALUE(TRIM(SUBSTITUTE(BH18,CHAR(160),""))),0),2)&gt;
ROUND(IFERROR(VALUE(TRIM(SUBSTITUTE(Y18,CHAR(160),""))),0),2),
"KO : Le montant retenu TTC est supérieur au montant présenté TTC. Merci de revoir la ligne de dépense ou plafonner son montant.",
ROUND(IFERROR(VALUE(TRIM(SUBSTITUTE(BF18,CHAR(160),""))),0),2)&gt;
ROUND(IFERROR(VALUE(TRIM(SUBSTITUTE(W18,CHAR(160),""))),0),2),
"Attention : Le montant retenu HT est supérieur au montant HT présenté. Merci de revoir la ligne de dépense, plafonner son montant, ou justifier la reventillation HT / TVA.",
ROUND(IFERROR(VALUE(TRIM(SUBSTITUTE(BG18,CHAR(160),""))),0),2)&gt;
ROUND(IFERROR(VALUE(TRIM(SUBSTITUTE(X18,CHAR(160),""))),0),2),
"Attention : Le montant TVA retenu est supérieur au montant TVA présenté. Merci de revoir la ligne de dépense, plafonner son montant, ou justifier la reventillation HT / TVA.",
ROUND(IFERROR(VALUE(TRIM(SUBSTITUTE(Y18,CHAR(160),""))),0),2)=0,
"",
ROUND(IFERROR(VALUE(TRIM(SUBSTITUTE(BH18,CHAR(160),""))),0),2)=
ROUND(IFERROR(VALUE(TRIM(SUBSTITUTE(Y18,CHAR(160),""))),0),2),
"OK",
ROUND(IFERROR(VALUE(TRIM(SUBSTITUTE(BH18,CHAR(160),""))),0),2)=0,
"Attention : Montant présenté entièrement rejeté.",
ROUND(IFERROR(VALUE(TRIM(SUBSTITUTE(BH18,CHAR(160),""))),0),2)&lt;
ROUND(IFERROR(VALUE(TRIM(SUBSTITUTE(Y18,CHAR(160),""))),0),2),
"Attention : Montant présenté partiellement rejeté.",
TRUE,""
))</f>
        <v/>
      </c>
      <c r="BS18" s="1331" t="str" cm="1">
        <f t="array" ref="BS18">IF(OR(BN18="",AE18=""),"",_xlfn.IFS(
ROUND(IFERROR(VALUE(TRIM(SUBSTITUTE(BN18,CHAR(160),""))),0),2)&gt;
ROUND(IFERROR(VALUE(TRIM(SUBSTITUTE(AE18,CHAR(160),""))),0),2),
"KO : Le montant retenu est supérieur au montant présenté. Merci de revoir la ligne de contributions ou plafonner son montant.",
ROUND(IFERROR(VALUE(TRIM(SUBSTITUTE(AE18,CHAR(160),""))),0),2)=0,
"",
ROUND(IFERROR(VALUE(TRIM(SUBSTITUTE(BN18,CHAR(160),""))),0),2)=
ROUND(IFERROR(VALUE(TRIM(SUBSTITUTE(AE18,CHAR(160),""))),0),2),
"OK",
ROUND(IFERROR(VALUE(TRIM(SUBSTITUTE(BN18,CHAR(160),""))),0),2)=0,
"Attention : Montant présenté entièrement rejeté.",
ROUND(IFERROR(VALUE(TRIM(SUBSTITUTE(BN18,CHAR(160),""))),0),2)&lt;
ROUND(IFERROR(VALUE(TRIM(SUBSTITUTE(AE18,CHAR(160),""))),0),2),
"Attention : Montant présenté partiellement rejeté.",
TRUE,""
))</f>
        <v/>
      </c>
      <c r="BT18" s="674" t="str">
        <f t="shared" si="18"/>
        <v/>
      </c>
      <c r="BU18" s="673" t="str">
        <f t="shared" si="19"/>
        <v/>
      </c>
      <c r="BV18" s="1351" t="str">
        <f t="shared" si="20"/>
        <v/>
      </c>
    </row>
    <row r="19" spans="2:74" ht="14.1" customHeight="1">
      <c r="B19" s="498">
        <v>10</v>
      </c>
      <c r="C19" s="119"/>
      <c r="D19" s="11"/>
      <c r="E19" s="6"/>
      <c r="F19" s="28"/>
      <c r="G19" s="6"/>
      <c r="H19" s="6"/>
      <c r="I19" s="30"/>
      <c r="J19" s="30"/>
      <c r="K19" s="30"/>
      <c r="L19" s="31"/>
      <c r="M19" s="440"/>
      <c r="N19" s="33"/>
      <c r="O19" s="321" t="str">
        <f t="shared" si="32"/>
        <v/>
      </c>
      <c r="P19" s="32"/>
      <c r="Q19" s="33"/>
      <c r="R19" s="299" t="str">
        <f t="shared" si="33"/>
        <v/>
      </c>
      <c r="S19" s="34"/>
      <c r="T19" s="33"/>
      <c r="U19" s="299" t="str">
        <f t="shared" si="1"/>
        <v/>
      </c>
      <c r="V19" s="439"/>
      <c r="W19" s="441" t="str" cm="1">
        <f t="array" ref="W19">IF((_xlfn.IFS(TRIM(SUBSTITUTE(V19,CHAR(160),""))="Devis 1",IFERROR(VALUE(TRIM(SUBSTITUTE(M19,CHAR(160),""))),0),TRIM(SUBSTITUTE(V19,CHAR(160),""))="Devis 2",IFERROR(VALUE(TRIM(SUBSTITUTE(P19,CHAR(160),""))),0),TRIM(SUBSTITUTE(V19,CHAR(160),""))="Devis 3",IFERROR(VALUE(TRIM(SUBSTITUTE(S19,CHAR(160),""))),0),TRUE,0))=0,"",_xlfn.IFS(TRIM(SUBSTITUTE(V19,CHAR(160),""))="Devis 1",IFERROR(VALUE(TRIM(SUBSTITUTE(M19,CHAR(160),""))),0),TRIM(SUBSTITUTE(V19,CHAR(160),""))="Devis 2",IFERROR(VALUE(TRIM(SUBSTITUTE(P19,CHAR(160),""))),0),TRIM(SUBSTITUTE(V19,CHAR(160),""))="Devis 3",IFERROR(VALUE(TRIM(SUBSTITUTE(S19,CHAR(160),""))),0),TRUE,0))</f>
        <v/>
      </c>
      <c r="X19" s="441" t="str" cm="1">
        <f t="array" ref="X19">IF((_xlfn.IFS(TRIM(SUBSTITUTE(V19,CHAR(160),""))="Devis 1",IFERROR(VALUE(TRIM(SUBSTITUTE(N19,CHAR(160),""))),0),TRIM(SUBSTITUTE(V19,CHAR(160),""))="Devis 2",IFERROR(VALUE(TRIM(SUBSTITUTE(Q19,CHAR(160),""))),0),TRIM(SUBSTITUTE(V19,CHAR(160),""))="Devis 3",IFERROR(VALUE(TRIM(SUBSTITUTE(T19,CHAR(160),""))),0),TRUE,0))=0,"",_xlfn.IFS(TRIM(SUBSTITUTE(V19,CHAR(160),""))="Devis 1",IFERROR(VALUE(TRIM(SUBSTITUTE(N19,CHAR(160),""))),0),TRIM(SUBSTITUTE(V19,CHAR(160),""))="Devis 2",IFERROR(VALUE(TRIM(SUBSTITUTE(Q19,CHAR(160),""))),0),TRIM(SUBSTITUTE(V19,CHAR(160),""))="Devis 3",IFERROR(VALUE(TRIM(SUBSTITUTE(T19,CHAR(160),""))),0),TRUE,0))</f>
        <v/>
      </c>
      <c r="Y19" s="815" t="str" cm="1">
        <f t="array" ref="Y19">IF((_xlfn.IFS(TRIM(SUBSTITUTE(V19,CHAR(160),""))="Devis 1",IFERROR(VALUE(TRIM(SUBSTITUTE(O19,CHAR(160),""))),0),TRIM(SUBSTITUTE(V19,CHAR(160),""))="Devis 2",IFERROR(VALUE(TRIM(SUBSTITUTE(R19,CHAR(160),""))),0),TRIM(SUBSTITUTE(V19,CHAR(160),""))="Devis 3",IFERROR(VALUE(TRIM(SUBSTITUTE(U19,CHAR(160),""))),0),TRUE,0))=0,"",_xlfn.IFS(TRIM(SUBSTITUTE(V19,CHAR(160),""))="Devis 1",IFERROR(VALUE(TRIM(SUBSTITUTE(O19,CHAR(160),""))),0),TRIM(SUBSTITUTE(V19,CHAR(160),""))="Devis 2",IFERROR(VALUE(TRIM(SUBSTITUTE(R19,CHAR(160),""))),0),TRIM(SUBSTITUTE(V19,CHAR(160),""))="Devis 3",IFERROR(VALUE(TRIM(SUBSTITUTE(U19,CHAR(160),""))),0),TRUE,0))</f>
        <v/>
      </c>
      <c r="Z19" s="850"/>
      <c r="AA19" s="817" t="str" cm="1">
        <f t="array" ref="AA19">IF(Z19="","",_xlfn.IFS(Z19=$BZ$5,70,Z19=$BZ$6,90,Z19=$BZ$7,70,Z19=$BZ$8,90,Z19=$BZ$9,110))</f>
        <v/>
      </c>
      <c r="AB19" s="627"/>
      <c r="AC19" s="817" t="str" cm="1">
        <f t="array" ref="AC19">IF(Z19="","",_xlfn.IFS(Z19=$BZ$5,15.75,Z19=$BZ$6,21,Z19=$BZ$7,15.25,Z19=$BZ$8,15.25,Z19=$BZ$9,15.25))</f>
        <v/>
      </c>
      <c r="AD19" s="818"/>
      <c r="AE19" s="830">
        <f t="shared" si="34"/>
        <v>0</v>
      </c>
      <c r="AF19" s="819" t="str">
        <f t="shared" si="35"/>
        <v/>
      </c>
      <c r="AG19" s="26"/>
      <c r="AH19" s="466" t="str">
        <f t="shared" si="2"/>
        <v/>
      </c>
      <c r="AI19" s="1414" t="str">
        <f t="shared" si="21"/>
        <v/>
      </c>
      <c r="AJ19" s="452" t="str">
        <f t="shared" si="4"/>
        <v/>
      </c>
      <c r="AK19" s="28"/>
      <c r="AL19" s="664" t="str">
        <f t="shared" si="5"/>
        <v/>
      </c>
      <c r="AM19" s="452" t="str">
        <f t="shared" si="6"/>
        <v/>
      </c>
      <c r="AN19" s="452" t="str">
        <f t="shared" si="22"/>
        <v/>
      </c>
      <c r="AO19" s="452" t="str">
        <f t="shared" si="23"/>
        <v/>
      </c>
      <c r="AP19" s="452" t="str">
        <f t="shared" si="24"/>
        <v/>
      </c>
      <c r="AQ19" s="452" t="str">
        <f t="shared" si="7"/>
        <v/>
      </c>
      <c r="AR19" s="478" t="str">
        <f t="shared" si="8"/>
        <v/>
      </c>
      <c r="AS19" s="453" t="str">
        <f t="shared" si="9"/>
        <v/>
      </c>
      <c r="AT19" s="479" t="str">
        <f t="shared" si="29"/>
        <v/>
      </c>
      <c r="AU19" s="453" t="str">
        <f t="shared" si="10"/>
        <v/>
      </c>
      <c r="AV19" s="453" t="str">
        <f t="shared" si="30"/>
        <v/>
      </c>
      <c r="AW19" s="480" t="str">
        <f t="shared" si="25"/>
        <v/>
      </c>
      <c r="AX19" s="453" t="str">
        <f t="shared" si="11"/>
        <v/>
      </c>
      <c r="AY19" s="453" t="str">
        <f t="shared" si="12"/>
        <v/>
      </c>
      <c r="AZ19" s="480" t="str">
        <f t="shared" si="26"/>
        <v/>
      </c>
      <c r="BA19" s="424" t="str">
        <f t="shared" si="13"/>
        <v/>
      </c>
      <c r="BB19" s="454"/>
      <c r="BC19" s="424" t="str">
        <f t="shared" si="14"/>
        <v/>
      </c>
      <c r="BD19" s="424" t="str">
        <f t="shared" si="15"/>
        <v/>
      </c>
      <c r="BE19" s="424" t="str">
        <f t="shared" si="27"/>
        <v/>
      </c>
      <c r="BF19" s="455" t="str" cm="1">
        <f t="array" ref="BF19">IF(AR19="","",IF((IFERROR(_xlfn.IFS($BA19="Devis 1",(IFERROR(VALUE(TRIM(SUBSTITUTE(AR19,CHAR(160),""))),0)),$BA19="Devis 2",(IFERROR(VALUE(TRIM(SUBSTITUTE(AU19,CHAR(160),""))),0)),$BA19="Devis 3",(IFERROR(VALUE(TRIM(SUBSTITUTE(AX19,CHAR(160),""))),0))),0))=0,"",(IFERROR(_xlfn.IFS($BA19="Devis 1",(IFERROR(VALUE(TRIM(SUBSTITUTE(AR19,CHAR(160),""))),0)),$BA19="Devis 2",(IFERROR(VALUE(TRIM(SUBSTITUTE(AU19,CHAR(160),""))),0)),$BA19="Devis 3",(IFERROR(VALUE(TRIM(SUBSTITUTE(AX19,CHAR(160),""))),0))),0))))</f>
        <v/>
      </c>
      <c r="BG19" s="455" t="str" cm="1">
        <f t="array" ref="BG19">IF(AS19="","",IF((IFERROR(_xlfn.IFS($BA19="Devis 1",(IFERROR(VALUE(TRIM(SUBSTITUTE(AS19,CHAR(160),""))),0)),$BA19="Devis 2",(IFERROR(VALUE(TRIM(SUBSTITUTE(AV19,CHAR(160),""))),0)),$BA19="Devis 3",(IFERROR(VALUE(TRIM(SUBSTITUTE(AY19,CHAR(160),""))),0))),0))=0,"",(IFERROR(_xlfn.IFS($BA19="Devis 1",(IFERROR(VALUE(TRIM(SUBSTITUTE(AS19,CHAR(160),""))),0)),$BA19="Devis 2",(IFERROR(VALUE(TRIM(SUBSTITUTE(AV19,CHAR(160),""))),0)),$BA19="Devis 3",(IFERROR(VALUE(TRIM(SUBSTITUTE(AY19,CHAR(160),""))),0))),0))))</f>
        <v/>
      </c>
      <c r="BH19" s="826" t="str" cm="1">
        <f t="array" ref="BH19">IF(AT19="","",IF(IFERROR(_xlfn.IFS($BA19="Devis 1",IFERROR(VALUE(TRIM(SUBSTITUTE(AT19,CHAR(160),""))),0),$BA19="Devis 2",IFERROR(VALUE(TRIM(SUBSTITUTE(AW19,CHAR(160),""))),0),$BA19="Devis 3",IFERROR(VALUE(TRIM(SUBSTITUTE(AZ19,CHAR(160),""))),0)),0)=0,"",IFERROR(_xlfn.IFS($BA19="Devis 1",IFERROR(VALUE(TRIM(SUBSTITUTE(AT19,CHAR(160),""))),0),$BA19="Devis 2",IFERROR(VALUE(TRIM(SUBSTITUTE(AW19,CHAR(160),""))),0),$BA19="Devis 3",IFERROR(VALUE(TRIM(SUBSTITUTE(AZ19,CHAR(160),""))),0)),0)))</f>
        <v/>
      </c>
      <c r="BI19" s="832" t="str">
        <f t="shared" si="28"/>
        <v/>
      </c>
      <c r="BJ19" s="455"/>
      <c r="BK19" s="831"/>
      <c r="BL19" s="455"/>
      <c r="BM19" s="831"/>
      <c r="BN19" s="830">
        <f t="shared" si="31"/>
        <v>0</v>
      </c>
      <c r="BO19" s="676" t="str">
        <f t="shared" si="17"/>
        <v/>
      </c>
      <c r="BP19" s="1330"/>
      <c r="BQ19" s="216" t="str" cm="1">
        <f t="array" ref="BQ19">IF(OR(BH19="",BE19="",BF19="",BC19="",BG19="",BD19=""),"",_xlfn.IFS(
ROUND(IFERROR(VALUE(TRIM(SUBSTITUTE(BH19,CHAR(160),""))),0),2)&gt;
ROUND(IFERROR(VALUE(TRIM(SUBSTITUTE(BE19,CHAR(160),""))),0),2),
"KO : Le montant retenu TTC est supérieur au montant raisonnable TTC. Merci de revoir la ligne de dépense ou plafonner son montant.",
ROUND(IFERROR(VALUE(TRIM(SUBSTITUTE(BF19,CHAR(160),""))),0),2)&gt;
ROUND(IFERROR(VALUE(TRIM(SUBSTITUTE(BC19,CHAR(160),""))),0),2),
"Attention : Le montant retenu HT est supérieur au montant HT raisonnable. Merci de revoir la ligne de dépense, plafonner son montant, ou justifier la reventillation HT / TVA.",
ROUND(IFERROR(VALUE(TRIM(SUBSTITUTE(BG19,CHAR(160),""))),0),2)&gt;
ROUND(IFERROR(VALUE(TRIM(SUBSTITUTE(BD19,CHAR(160),""))),0),2),
"Attention : Le montant TVA retenu est supérieur au montant TVA raisonnable. Merci de revoir la ligne de dépense, plafonner son montant, ou justifier la reventillation HT / TVA.",
ROUND(IFERROR(VALUE(TRIM(SUBSTITUTE(BH19,CHAR(160),""))),0),2)&gt;
ROUND(IFERROR(VALUE(TRIM(SUBSTITUTE(MIN(O19,R19,U19),CHAR(160),""))),0),2),
"Attention : Le devis retenu n'est pas le moins cher. Une justification de la part du porteur est nécessaire.",
ROUND(IFERROR(VALUE(TRIM(SUBSTITUTE(BH19,CHAR(160),""))),0),2)=0,
"Attention : montant présenté entièrement écarté",
ROUND(IFERROR(VALUE(TRIM(SUBSTITUTE(BE19,CHAR(160),""))),0),2)=
ROUND(IFERROR(VALUE(TRIM(SUBSTITUTE(BH19,CHAR(160),""))),0),2),
"OK",
ROUND(IFERROR(VALUE(TRIM(SUBSTITUTE(BE19,CHAR(160),""))),0),2)&gt;
ROUND(IFERROR(VALUE(TRIM(SUBSTITUTE(BH19,CHAR(160),""))),0),2),
" OK : Montant instruit inférieur au montant raisonnable.",
TRUE,""
))</f>
        <v/>
      </c>
      <c r="BR19" s="216" t="str" cm="1">
        <f t="array" ref="BR19">IF(OR(BH19="",Y19="",BF19="",W19="",BG19="",X19=""),"",_xlfn.IFS(
ROUND(IFERROR(VALUE(TRIM(SUBSTITUTE(BH19,CHAR(160),""))),0),2)&gt;
ROUND(IFERROR(VALUE(TRIM(SUBSTITUTE(Y19,CHAR(160),""))),0),2),
"KO : Le montant retenu TTC est supérieur au montant présenté TTC. Merci de revoir la ligne de dépense ou plafonner son montant.",
ROUND(IFERROR(VALUE(TRIM(SUBSTITUTE(BF19,CHAR(160),""))),0),2)&gt;
ROUND(IFERROR(VALUE(TRIM(SUBSTITUTE(W19,CHAR(160),""))),0),2),
"Attention : Le montant retenu HT est supérieur au montant HT présenté. Merci de revoir la ligne de dépense, plafonner son montant, ou justifier la reventillation HT / TVA.",
ROUND(IFERROR(VALUE(TRIM(SUBSTITUTE(BG19,CHAR(160),""))),0),2)&gt;
ROUND(IFERROR(VALUE(TRIM(SUBSTITUTE(X19,CHAR(160),""))),0),2),
"Attention : Le montant TVA retenu est supérieur au montant TVA présenté. Merci de revoir la ligne de dépense, plafonner son montant, ou justifier la reventillation HT / TVA.",
ROUND(IFERROR(VALUE(TRIM(SUBSTITUTE(Y19,CHAR(160),""))),0),2)=0,
"",
ROUND(IFERROR(VALUE(TRIM(SUBSTITUTE(BH19,CHAR(160),""))),0),2)=
ROUND(IFERROR(VALUE(TRIM(SUBSTITUTE(Y19,CHAR(160),""))),0),2),
"OK",
ROUND(IFERROR(VALUE(TRIM(SUBSTITUTE(BH19,CHAR(160),""))),0),2)=0,
"Attention : Montant présenté entièrement rejeté.",
ROUND(IFERROR(VALUE(TRIM(SUBSTITUTE(BH19,CHAR(160),""))),0),2)&lt;
ROUND(IFERROR(VALUE(TRIM(SUBSTITUTE(Y19,CHAR(160),""))),0),2),
"Attention : Montant présenté partiellement rejeté.",
TRUE,""
))</f>
        <v/>
      </c>
      <c r="BS19" s="1331" t="str" cm="1">
        <f t="array" ref="BS19">IF(OR(BN19="",AE19=""),"",_xlfn.IFS(
ROUND(IFERROR(VALUE(TRIM(SUBSTITUTE(BN19,CHAR(160),""))),0),2)&gt;
ROUND(IFERROR(VALUE(TRIM(SUBSTITUTE(AE19,CHAR(160),""))),0),2),
"KO : Le montant retenu est supérieur au montant présenté. Merci de revoir la ligne de contributions ou plafonner son montant.",
ROUND(IFERROR(VALUE(TRIM(SUBSTITUTE(AE19,CHAR(160),""))),0),2)=0,
"",
ROUND(IFERROR(VALUE(TRIM(SUBSTITUTE(BN19,CHAR(160),""))),0),2)=
ROUND(IFERROR(VALUE(TRIM(SUBSTITUTE(AE19,CHAR(160),""))),0),2),
"OK",
ROUND(IFERROR(VALUE(TRIM(SUBSTITUTE(BN19,CHAR(160),""))),0),2)=0,
"Attention : Montant présenté entièrement rejeté.",
ROUND(IFERROR(VALUE(TRIM(SUBSTITUTE(BN19,CHAR(160),""))),0),2)&lt;
ROUND(IFERROR(VALUE(TRIM(SUBSTITUTE(AE19,CHAR(160),""))),0),2),
"Attention : Montant présenté partiellement rejeté.",
TRUE,""
))</f>
        <v/>
      </c>
      <c r="BT19" s="674" t="str">
        <f t="shared" si="18"/>
        <v/>
      </c>
      <c r="BU19" s="673" t="str">
        <f t="shared" si="19"/>
        <v/>
      </c>
      <c r="BV19" s="1351" t="str">
        <f t="shared" si="20"/>
        <v/>
      </c>
    </row>
    <row r="20" spans="2:74" ht="14.1" customHeight="1">
      <c r="B20" s="498">
        <v>11</v>
      </c>
      <c r="C20" s="119"/>
      <c r="D20" s="11"/>
      <c r="E20" s="6"/>
      <c r="F20" s="28"/>
      <c r="G20" s="6"/>
      <c r="H20" s="6"/>
      <c r="I20" s="30"/>
      <c r="J20" s="30"/>
      <c r="K20" s="30"/>
      <c r="L20" s="31"/>
      <c r="M20" s="440"/>
      <c r="N20" s="33"/>
      <c r="O20" s="321" t="str">
        <f t="shared" si="32"/>
        <v/>
      </c>
      <c r="P20" s="32"/>
      <c r="Q20" s="33"/>
      <c r="R20" s="299" t="str">
        <f t="shared" si="33"/>
        <v/>
      </c>
      <c r="S20" s="34"/>
      <c r="T20" s="33"/>
      <c r="U20" s="299" t="str">
        <f t="shared" si="1"/>
        <v/>
      </c>
      <c r="V20" s="439"/>
      <c r="W20" s="441" t="str" cm="1">
        <f t="array" ref="W20">IF((_xlfn.IFS(TRIM(SUBSTITUTE(V20,CHAR(160),""))="Devis 1",IFERROR(VALUE(TRIM(SUBSTITUTE(M20,CHAR(160),""))),0),TRIM(SUBSTITUTE(V20,CHAR(160),""))="Devis 2",IFERROR(VALUE(TRIM(SUBSTITUTE(P20,CHAR(160),""))),0),TRIM(SUBSTITUTE(V20,CHAR(160),""))="Devis 3",IFERROR(VALUE(TRIM(SUBSTITUTE(S20,CHAR(160),""))),0),TRUE,0))=0,"",_xlfn.IFS(TRIM(SUBSTITUTE(V20,CHAR(160),""))="Devis 1",IFERROR(VALUE(TRIM(SUBSTITUTE(M20,CHAR(160),""))),0),TRIM(SUBSTITUTE(V20,CHAR(160),""))="Devis 2",IFERROR(VALUE(TRIM(SUBSTITUTE(P20,CHAR(160),""))),0),TRIM(SUBSTITUTE(V20,CHAR(160),""))="Devis 3",IFERROR(VALUE(TRIM(SUBSTITUTE(S20,CHAR(160),""))),0),TRUE,0))</f>
        <v/>
      </c>
      <c r="X20" s="441" t="str" cm="1">
        <f t="array" ref="X20">IF((_xlfn.IFS(TRIM(SUBSTITUTE(V20,CHAR(160),""))="Devis 1",IFERROR(VALUE(TRIM(SUBSTITUTE(N20,CHAR(160),""))),0),TRIM(SUBSTITUTE(V20,CHAR(160),""))="Devis 2",IFERROR(VALUE(TRIM(SUBSTITUTE(Q20,CHAR(160),""))),0),TRIM(SUBSTITUTE(V20,CHAR(160),""))="Devis 3",IFERROR(VALUE(TRIM(SUBSTITUTE(T20,CHAR(160),""))),0),TRUE,0))=0,"",_xlfn.IFS(TRIM(SUBSTITUTE(V20,CHAR(160),""))="Devis 1",IFERROR(VALUE(TRIM(SUBSTITUTE(N20,CHAR(160),""))),0),TRIM(SUBSTITUTE(V20,CHAR(160),""))="Devis 2",IFERROR(VALUE(TRIM(SUBSTITUTE(Q20,CHAR(160),""))),0),TRIM(SUBSTITUTE(V20,CHAR(160),""))="Devis 3",IFERROR(VALUE(TRIM(SUBSTITUTE(T20,CHAR(160),""))),0),TRUE,0))</f>
        <v/>
      </c>
      <c r="Y20" s="815" t="str" cm="1">
        <f t="array" ref="Y20">IF((_xlfn.IFS(TRIM(SUBSTITUTE(V20,CHAR(160),""))="Devis 1",IFERROR(VALUE(TRIM(SUBSTITUTE(O20,CHAR(160),""))),0),TRIM(SUBSTITUTE(V20,CHAR(160),""))="Devis 2",IFERROR(VALUE(TRIM(SUBSTITUTE(R20,CHAR(160),""))),0),TRIM(SUBSTITUTE(V20,CHAR(160),""))="Devis 3",IFERROR(VALUE(TRIM(SUBSTITUTE(U20,CHAR(160),""))),0),TRUE,0))=0,"",_xlfn.IFS(TRIM(SUBSTITUTE(V20,CHAR(160),""))="Devis 1",IFERROR(VALUE(TRIM(SUBSTITUTE(O20,CHAR(160),""))),0),TRIM(SUBSTITUTE(V20,CHAR(160),""))="Devis 2",IFERROR(VALUE(TRIM(SUBSTITUTE(R20,CHAR(160),""))),0),TRIM(SUBSTITUTE(V20,CHAR(160),""))="Devis 3",IFERROR(VALUE(TRIM(SUBSTITUTE(U20,CHAR(160),""))),0),TRUE,0))</f>
        <v/>
      </c>
      <c r="Z20" s="850"/>
      <c r="AA20" s="817" t="str" cm="1">
        <f t="array" ref="AA20">IF(Z20="","",_xlfn.IFS(Z20=$BZ$5,70,Z20=$BZ$6,90,Z20=$BZ$7,70,Z20=$BZ$8,90,Z20=$BZ$9,110))</f>
        <v/>
      </c>
      <c r="AB20" s="627"/>
      <c r="AC20" s="817" t="str" cm="1">
        <f t="array" ref="AC20">IF(Z20="","",_xlfn.IFS(Z20=$BZ$5,15.75,Z20=$BZ$6,21,Z20=$BZ$7,15.25,Z20=$BZ$8,15.25,Z20=$BZ$9,15.25))</f>
        <v/>
      </c>
      <c r="AD20" s="818"/>
      <c r="AE20" s="830">
        <f t="shared" si="34"/>
        <v>0</v>
      </c>
      <c r="AF20" s="819" t="str">
        <f t="shared" si="35"/>
        <v/>
      </c>
      <c r="AG20" s="26"/>
      <c r="AH20" s="466" t="str">
        <f t="shared" si="2"/>
        <v/>
      </c>
      <c r="AI20" s="1414" t="str">
        <f t="shared" si="21"/>
        <v/>
      </c>
      <c r="AJ20" s="452" t="str">
        <f t="shared" si="4"/>
        <v/>
      </c>
      <c r="AK20" s="28"/>
      <c r="AL20" s="664" t="str">
        <f t="shared" si="5"/>
        <v/>
      </c>
      <c r="AM20" s="452" t="str">
        <f t="shared" si="6"/>
        <v/>
      </c>
      <c r="AN20" s="452" t="str">
        <f t="shared" si="22"/>
        <v/>
      </c>
      <c r="AO20" s="452" t="str">
        <f t="shared" si="23"/>
        <v/>
      </c>
      <c r="AP20" s="452" t="str">
        <f t="shared" si="24"/>
        <v/>
      </c>
      <c r="AQ20" s="452" t="str">
        <f t="shared" si="7"/>
        <v/>
      </c>
      <c r="AR20" s="478" t="str">
        <f t="shared" si="8"/>
        <v/>
      </c>
      <c r="AS20" s="453" t="str">
        <f t="shared" si="9"/>
        <v/>
      </c>
      <c r="AT20" s="479" t="str">
        <f t="shared" si="29"/>
        <v/>
      </c>
      <c r="AU20" s="453" t="str">
        <f t="shared" si="10"/>
        <v/>
      </c>
      <c r="AV20" s="453" t="str">
        <f t="shared" si="30"/>
        <v/>
      </c>
      <c r="AW20" s="480" t="str">
        <f t="shared" si="25"/>
        <v/>
      </c>
      <c r="AX20" s="453" t="str">
        <f t="shared" si="11"/>
        <v/>
      </c>
      <c r="AY20" s="453" t="str">
        <f t="shared" si="12"/>
        <v/>
      </c>
      <c r="AZ20" s="480" t="str">
        <f t="shared" si="26"/>
        <v/>
      </c>
      <c r="BA20" s="424" t="str">
        <f t="shared" si="13"/>
        <v/>
      </c>
      <c r="BB20" s="454"/>
      <c r="BC20" s="424" t="str">
        <f t="shared" si="14"/>
        <v/>
      </c>
      <c r="BD20" s="424" t="str">
        <f t="shared" si="15"/>
        <v/>
      </c>
      <c r="BE20" s="424" t="str">
        <f t="shared" si="27"/>
        <v/>
      </c>
      <c r="BF20" s="455" t="str" cm="1">
        <f t="array" ref="BF20">IF(AR20="","",IF((IFERROR(_xlfn.IFS($BA20="Devis 1",(IFERROR(VALUE(TRIM(SUBSTITUTE(AR20,CHAR(160),""))),0)),$BA20="Devis 2",(IFERROR(VALUE(TRIM(SUBSTITUTE(AU20,CHAR(160),""))),0)),$BA20="Devis 3",(IFERROR(VALUE(TRIM(SUBSTITUTE(AX20,CHAR(160),""))),0))),0))=0,"",(IFERROR(_xlfn.IFS($BA20="Devis 1",(IFERROR(VALUE(TRIM(SUBSTITUTE(AR20,CHAR(160),""))),0)),$BA20="Devis 2",(IFERROR(VALUE(TRIM(SUBSTITUTE(AU20,CHAR(160),""))),0)),$BA20="Devis 3",(IFERROR(VALUE(TRIM(SUBSTITUTE(AX20,CHAR(160),""))),0))),0))))</f>
        <v/>
      </c>
      <c r="BG20" s="455" t="str" cm="1">
        <f t="array" ref="BG20">IF(AS20="","",IF((IFERROR(_xlfn.IFS($BA20="Devis 1",(IFERROR(VALUE(TRIM(SUBSTITUTE(AS20,CHAR(160),""))),0)),$BA20="Devis 2",(IFERROR(VALUE(TRIM(SUBSTITUTE(AV20,CHAR(160),""))),0)),$BA20="Devis 3",(IFERROR(VALUE(TRIM(SUBSTITUTE(AY20,CHAR(160),""))),0))),0))=0,"",(IFERROR(_xlfn.IFS($BA20="Devis 1",(IFERROR(VALUE(TRIM(SUBSTITUTE(AS20,CHAR(160),""))),0)),$BA20="Devis 2",(IFERROR(VALUE(TRIM(SUBSTITUTE(AV20,CHAR(160),""))),0)),$BA20="Devis 3",(IFERROR(VALUE(TRIM(SUBSTITUTE(AY20,CHAR(160),""))),0))),0))))</f>
        <v/>
      </c>
      <c r="BH20" s="826" t="str" cm="1">
        <f t="array" ref="BH20">IF(AT20="","",IF(IFERROR(_xlfn.IFS($BA20="Devis 1",IFERROR(VALUE(TRIM(SUBSTITUTE(AT20,CHAR(160),""))),0),$BA20="Devis 2",IFERROR(VALUE(TRIM(SUBSTITUTE(AW20,CHAR(160),""))),0),$BA20="Devis 3",IFERROR(VALUE(TRIM(SUBSTITUTE(AZ20,CHAR(160),""))),0)),0)=0,"",IFERROR(_xlfn.IFS($BA20="Devis 1",IFERROR(VALUE(TRIM(SUBSTITUTE(AT20,CHAR(160),""))),0),$BA20="Devis 2",IFERROR(VALUE(TRIM(SUBSTITUTE(AW20,CHAR(160),""))),0),$BA20="Devis 3",IFERROR(VALUE(TRIM(SUBSTITUTE(AZ20,CHAR(160),""))),0)),0)))</f>
        <v/>
      </c>
      <c r="BI20" s="832" t="str">
        <f t="shared" si="28"/>
        <v/>
      </c>
      <c r="BJ20" s="455"/>
      <c r="BK20" s="831"/>
      <c r="BL20" s="455"/>
      <c r="BM20" s="831"/>
      <c r="BN20" s="830">
        <f t="shared" si="31"/>
        <v>0</v>
      </c>
      <c r="BO20" s="676" t="str">
        <f t="shared" si="17"/>
        <v/>
      </c>
      <c r="BP20" s="1330"/>
      <c r="BQ20" s="216" t="str" cm="1">
        <f t="array" ref="BQ20">IF(OR(BH20="",BE20="",BF20="",BC20="",BG20="",BD20=""),"",_xlfn.IFS(
ROUND(IFERROR(VALUE(TRIM(SUBSTITUTE(BH20,CHAR(160),""))),0),2)&gt;
ROUND(IFERROR(VALUE(TRIM(SUBSTITUTE(BE20,CHAR(160),""))),0),2),
"KO : Le montant retenu TTC est supérieur au montant raisonnable TTC. Merci de revoir la ligne de dépense ou plafonner son montant.",
ROUND(IFERROR(VALUE(TRIM(SUBSTITUTE(BF20,CHAR(160),""))),0),2)&gt;
ROUND(IFERROR(VALUE(TRIM(SUBSTITUTE(BC20,CHAR(160),""))),0),2),
"Attention : Le montant retenu HT est supérieur au montant HT raisonnable. Merci de revoir la ligne de dépense, plafonner son montant, ou justifier la reventillation HT / TVA.",
ROUND(IFERROR(VALUE(TRIM(SUBSTITUTE(BG20,CHAR(160),""))),0),2)&gt;
ROUND(IFERROR(VALUE(TRIM(SUBSTITUTE(BD20,CHAR(160),""))),0),2),
"Attention : Le montant TVA retenu est supérieur au montant TVA raisonnable. Merci de revoir la ligne de dépense, plafonner son montant, ou justifier la reventillation HT / TVA.",
ROUND(IFERROR(VALUE(TRIM(SUBSTITUTE(BH20,CHAR(160),""))),0),2)&gt;
ROUND(IFERROR(VALUE(TRIM(SUBSTITUTE(MIN(O20,R20,U20),CHAR(160),""))),0),2),
"Attention : Le devis retenu n'est pas le moins cher. Une justification de la part du porteur est nécessaire.",
ROUND(IFERROR(VALUE(TRIM(SUBSTITUTE(BH20,CHAR(160),""))),0),2)=0,
"Attention : montant présenté entièrement écarté",
ROUND(IFERROR(VALUE(TRIM(SUBSTITUTE(BE20,CHAR(160),""))),0),2)=
ROUND(IFERROR(VALUE(TRIM(SUBSTITUTE(BH20,CHAR(160),""))),0),2),
"OK",
ROUND(IFERROR(VALUE(TRIM(SUBSTITUTE(BE20,CHAR(160),""))),0),2)&gt;
ROUND(IFERROR(VALUE(TRIM(SUBSTITUTE(BH20,CHAR(160),""))),0),2),
" OK : Montant instruit inférieur au montant raisonnable.",
TRUE,""
))</f>
        <v/>
      </c>
      <c r="BR20" s="216" t="str" cm="1">
        <f t="array" ref="BR20">IF(OR(BH20="",Y20="",BF20="",W20="",BG20="",X20=""),"",_xlfn.IFS(
ROUND(IFERROR(VALUE(TRIM(SUBSTITUTE(BH20,CHAR(160),""))),0),2)&gt;
ROUND(IFERROR(VALUE(TRIM(SUBSTITUTE(Y20,CHAR(160),""))),0),2),
"KO : Le montant retenu TTC est supérieur au montant présenté TTC. Merci de revoir la ligne de dépense ou plafonner son montant.",
ROUND(IFERROR(VALUE(TRIM(SUBSTITUTE(BF20,CHAR(160),""))),0),2)&gt;
ROUND(IFERROR(VALUE(TRIM(SUBSTITUTE(W20,CHAR(160),""))),0),2),
"Attention : Le montant retenu HT est supérieur au montant HT présenté. Merci de revoir la ligne de dépense, plafonner son montant, ou justifier la reventillation HT / TVA.",
ROUND(IFERROR(VALUE(TRIM(SUBSTITUTE(BG20,CHAR(160),""))),0),2)&gt;
ROUND(IFERROR(VALUE(TRIM(SUBSTITUTE(X20,CHAR(160),""))),0),2),
"Attention : Le montant TVA retenu est supérieur au montant TVA présenté. Merci de revoir la ligne de dépense, plafonner son montant, ou justifier la reventillation HT / TVA.",
ROUND(IFERROR(VALUE(TRIM(SUBSTITUTE(Y20,CHAR(160),""))),0),2)=0,
"",
ROUND(IFERROR(VALUE(TRIM(SUBSTITUTE(BH20,CHAR(160),""))),0),2)=
ROUND(IFERROR(VALUE(TRIM(SUBSTITUTE(Y20,CHAR(160),""))),0),2),
"OK",
ROUND(IFERROR(VALUE(TRIM(SUBSTITUTE(BH20,CHAR(160),""))),0),2)=0,
"Attention : Montant présenté entièrement rejeté.",
ROUND(IFERROR(VALUE(TRIM(SUBSTITUTE(BH20,CHAR(160),""))),0),2)&lt;
ROUND(IFERROR(VALUE(TRIM(SUBSTITUTE(Y20,CHAR(160),""))),0),2),
"Attention : Montant présenté partiellement rejeté.",
TRUE,""
))</f>
        <v/>
      </c>
      <c r="BS20" s="1331" t="str" cm="1">
        <f t="array" ref="BS20">IF(OR(BN20="",AE20=""),"",_xlfn.IFS(
ROUND(IFERROR(VALUE(TRIM(SUBSTITUTE(BN20,CHAR(160),""))),0),2)&gt;
ROUND(IFERROR(VALUE(TRIM(SUBSTITUTE(AE20,CHAR(160),""))),0),2),
"KO : Le montant retenu est supérieur au montant présenté. Merci de revoir la ligne de contributions ou plafonner son montant.",
ROUND(IFERROR(VALUE(TRIM(SUBSTITUTE(AE20,CHAR(160),""))),0),2)=0,
"",
ROUND(IFERROR(VALUE(TRIM(SUBSTITUTE(BN20,CHAR(160),""))),0),2)=
ROUND(IFERROR(VALUE(TRIM(SUBSTITUTE(AE20,CHAR(160),""))),0),2),
"OK",
ROUND(IFERROR(VALUE(TRIM(SUBSTITUTE(BN20,CHAR(160),""))),0),2)=0,
"Attention : Montant présenté entièrement rejeté.",
ROUND(IFERROR(VALUE(TRIM(SUBSTITUTE(BN20,CHAR(160),""))),0),2)&lt;
ROUND(IFERROR(VALUE(TRIM(SUBSTITUTE(AE20,CHAR(160),""))),0),2),
"Attention : Montant présenté partiellement rejeté.",
TRUE,""
))</f>
        <v/>
      </c>
      <c r="BT20" s="674" t="str">
        <f t="shared" si="18"/>
        <v/>
      </c>
      <c r="BU20" s="673" t="str">
        <f t="shared" si="19"/>
        <v/>
      </c>
      <c r="BV20" s="1351" t="str">
        <f t="shared" si="20"/>
        <v/>
      </c>
    </row>
    <row r="21" spans="2:74" ht="14.1" customHeight="1">
      <c r="B21" s="498">
        <v>12</v>
      </c>
      <c r="C21" s="119"/>
      <c r="D21" s="11"/>
      <c r="E21" s="6"/>
      <c r="F21" s="28"/>
      <c r="G21" s="6"/>
      <c r="H21" s="6"/>
      <c r="I21" s="30"/>
      <c r="J21" s="30"/>
      <c r="K21" s="30"/>
      <c r="L21" s="31"/>
      <c r="M21" s="440"/>
      <c r="N21" s="33"/>
      <c r="O21" s="321" t="str">
        <f t="shared" si="32"/>
        <v/>
      </c>
      <c r="P21" s="32"/>
      <c r="Q21" s="33"/>
      <c r="R21" s="299" t="str">
        <f t="shared" si="33"/>
        <v/>
      </c>
      <c r="S21" s="34"/>
      <c r="T21" s="33"/>
      <c r="U21" s="299" t="str">
        <f t="shared" si="1"/>
        <v/>
      </c>
      <c r="V21" s="439"/>
      <c r="W21" s="441" t="str" cm="1">
        <f t="array" ref="W21">IF((_xlfn.IFS(TRIM(SUBSTITUTE(V21,CHAR(160),""))="Devis 1",IFERROR(VALUE(TRIM(SUBSTITUTE(M21,CHAR(160),""))),0),TRIM(SUBSTITUTE(V21,CHAR(160),""))="Devis 2",IFERROR(VALUE(TRIM(SUBSTITUTE(P21,CHAR(160),""))),0),TRIM(SUBSTITUTE(V21,CHAR(160),""))="Devis 3",IFERROR(VALUE(TRIM(SUBSTITUTE(S21,CHAR(160),""))),0),TRUE,0))=0,"",_xlfn.IFS(TRIM(SUBSTITUTE(V21,CHAR(160),""))="Devis 1",IFERROR(VALUE(TRIM(SUBSTITUTE(M21,CHAR(160),""))),0),TRIM(SUBSTITUTE(V21,CHAR(160),""))="Devis 2",IFERROR(VALUE(TRIM(SUBSTITUTE(P21,CHAR(160),""))),0),TRIM(SUBSTITUTE(V21,CHAR(160),""))="Devis 3",IFERROR(VALUE(TRIM(SUBSTITUTE(S21,CHAR(160),""))),0),TRUE,0))</f>
        <v/>
      </c>
      <c r="X21" s="441" t="str" cm="1">
        <f t="array" ref="X21">IF((_xlfn.IFS(TRIM(SUBSTITUTE(V21,CHAR(160),""))="Devis 1",IFERROR(VALUE(TRIM(SUBSTITUTE(N21,CHAR(160),""))),0),TRIM(SUBSTITUTE(V21,CHAR(160),""))="Devis 2",IFERROR(VALUE(TRIM(SUBSTITUTE(Q21,CHAR(160),""))),0),TRIM(SUBSTITUTE(V21,CHAR(160),""))="Devis 3",IFERROR(VALUE(TRIM(SUBSTITUTE(T21,CHAR(160),""))),0),TRUE,0))=0,"",_xlfn.IFS(TRIM(SUBSTITUTE(V21,CHAR(160),""))="Devis 1",IFERROR(VALUE(TRIM(SUBSTITUTE(N21,CHAR(160),""))),0),TRIM(SUBSTITUTE(V21,CHAR(160),""))="Devis 2",IFERROR(VALUE(TRIM(SUBSTITUTE(Q21,CHAR(160),""))),0),TRIM(SUBSTITUTE(V21,CHAR(160),""))="Devis 3",IFERROR(VALUE(TRIM(SUBSTITUTE(T21,CHAR(160),""))),0),TRUE,0))</f>
        <v/>
      </c>
      <c r="Y21" s="815" t="str" cm="1">
        <f t="array" ref="Y21">IF((_xlfn.IFS(TRIM(SUBSTITUTE(V21,CHAR(160),""))="Devis 1",IFERROR(VALUE(TRIM(SUBSTITUTE(O21,CHAR(160),""))),0),TRIM(SUBSTITUTE(V21,CHAR(160),""))="Devis 2",IFERROR(VALUE(TRIM(SUBSTITUTE(R21,CHAR(160),""))),0),TRIM(SUBSTITUTE(V21,CHAR(160),""))="Devis 3",IFERROR(VALUE(TRIM(SUBSTITUTE(U21,CHAR(160),""))),0),TRUE,0))=0,"",_xlfn.IFS(TRIM(SUBSTITUTE(V21,CHAR(160),""))="Devis 1",IFERROR(VALUE(TRIM(SUBSTITUTE(O21,CHAR(160),""))),0),TRIM(SUBSTITUTE(V21,CHAR(160),""))="Devis 2",IFERROR(VALUE(TRIM(SUBSTITUTE(R21,CHAR(160),""))),0),TRIM(SUBSTITUTE(V21,CHAR(160),""))="Devis 3",IFERROR(VALUE(TRIM(SUBSTITUTE(U21,CHAR(160),""))),0),TRUE,0))</f>
        <v/>
      </c>
      <c r="Z21" s="850"/>
      <c r="AA21" s="817" t="str" cm="1">
        <f t="array" ref="AA21">IF(Z21="","",_xlfn.IFS(Z21=$BZ$5,70,Z21=$BZ$6,90,Z21=$BZ$7,70,Z21=$BZ$8,90,Z21=$BZ$9,110))</f>
        <v/>
      </c>
      <c r="AB21" s="627"/>
      <c r="AC21" s="817" t="str" cm="1">
        <f t="array" ref="AC21">IF(Z21="","",_xlfn.IFS(Z21=$BZ$5,15.75,Z21=$BZ$6,21,Z21=$BZ$7,15.25,Z21=$BZ$8,15.25,Z21=$BZ$9,15.25))</f>
        <v/>
      </c>
      <c r="AD21" s="818"/>
      <c r="AE21" s="830">
        <f t="shared" si="34"/>
        <v>0</v>
      </c>
      <c r="AF21" s="819" t="str">
        <f t="shared" si="35"/>
        <v/>
      </c>
      <c r="AG21" s="26"/>
      <c r="AH21" s="466" t="str">
        <f t="shared" si="2"/>
        <v/>
      </c>
      <c r="AI21" s="1414" t="str">
        <f t="shared" si="21"/>
        <v/>
      </c>
      <c r="AJ21" s="452" t="str">
        <f t="shared" si="4"/>
        <v/>
      </c>
      <c r="AK21" s="28"/>
      <c r="AL21" s="664" t="str">
        <f t="shared" si="5"/>
        <v/>
      </c>
      <c r="AM21" s="452" t="str">
        <f t="shared" si="6"/>
        <v/>
      </c>
      <c r="AN21" s="452" t="str">
        <f t="shared" si="22"/>
        <v/>
      </c>
      <c r="AO21" s="452" t="str">
        <f t="shared" si="23"/>
        <v/>
      </c>
      <c r="AP21" s="452" t="str">
        <f t="shared" si="24"/>
        <v/>
      </c>
      <c r="AQ21" s="452" t="str">
        <f t="shared" si="7"/>
        <v/>
      </c>
      <c r="AR21" s="478" t="str">
        <f t="shared" si="8"/>
        <v/>
      </c>
      <c r="AS21" s="453" t="str">
        <f t="shared" si="9"/>
        <v/>
      </c>
      <c r="AT21" s="479" t="str">
        <f t="shared" si="29"/>
        <v/>
      </c>
      <c r="AU21" s="453" t="str">
        <f t="shared" si="10"/>
        <v/>
      </c>
      <c r="AV21" s="453" t="str">
        <f t="shared" si="30"/>
        <v/>
      </c>
      <c r="AW21" s="480" t="str">
        <f t="shared" si="25"/>
        <v/>
      </c>
      <c r="AX21" s="453" t="str">
        <f t="shared" si="11"/>
        <v/>
      </c>
      <c r="AY21" s="453" t="str">
        <f t="shared" si="12"/>
        <v/>
      </c>
      <c r="AZ21" s="480" t="str">
        <f t="shared" si="26"/>
        <v/>
      </c>
      <c r="BA21" s="424" t="str">
        <f t="shared" si="13"/>
        <v/>
      </c>
      <c r="BB21" s="454"/>
      <c r="BC21" s="424" t="str">
        <f t="shared" si="14"/>
        <v/>
      </c>
      <c r="BD21" s="424" t="str">
        <f t="shared" si="15"/>
        <v/>
      </c>
      <c r="BE21" s="424" t="str">
        <f t="shared" si="27"/>
        <v/>
      </c>
      <c r="BF21" s="455" t="str" cm="1">
        <f t="array" ref="BF21">IF(AR21="","",IF((IFERROR(_xlfn.IFS($BA21="Devis 1",(IFERROR(VALUE(TRIM(SUBSTITUTE(AR21,CHAR(160),""))),0)),$BA21="Devis 2",(IFERROR(VALUE(TRIM(SUBSTITUTE(AU21,CHAR(160),""))),0)),$BA21="Devis 3",(IFERROR(VALUE(TRIM(SUBSTITUTE(AX21,CHAR(160),""))),0))),0))=0,"",(IFERROR(_xlfn.IFS($BA21="Devis 1",(IFERROR(VALUE(TRIM(SUBSTITUTE(AR21,CHAR(160),""))),0)),$BA21="Devis 2",(IFERROR(VALUE(TRIM(SUBSTITUTE(AU21,CHAR(160),""))),0)),$BA21="Devis 3",(IFERROR(VALUE(TRIM(SUBSTITUTE(AX21,CHAR(160),""))),0))),0))))</f>
        <v/>
      </c>
      <c r="BG21" s="455" t="str" cm="1">
        <f t="array" ref="BG21">IF(AS21="","",IF((IFERROR(_xlfn.IFS($BA21="Devis 1",(IFERROR(VALUE(TRIM(SUBSTITUTE(AS21,CHAR(160),""))),0)),$BA21="Devis 2",(IFERROR(VALUE(TRIM(SUBSTITUTE(AV21,CHAR(160),""))),0)),$BA21="Devis 3",(IFERROR(VALUE(TRIM(SUBSTITUTE(AY21,CHAR(160),""))),0))),0))=0,"",(IFERROR(_xlfn.IFS($BA21="Devis 1",(IFERROR(VALUE(TRIM(SUBSTITUTE(AS21,CHAR(160),""))),0)),$BA21="Devis 2",(IFERROR(VALUE(TRIM(SUBSTITUTE(AV21,CHAR(160),""))),0)),$BA21="Devis 3",(IFERROR(VALUE(TRIM(SUBSTITUTE(AY21,CHAR(160),""))),0))),0))))</f>
        <v/>
      </c>
      <c r="BH21" s="826" t="str" cm="1">
        <f t="array" ref="BH21">IF(AT21="","",IF(IFERROR(_xlfn.IFS($BA21="Devis 1",IFERROR(VALUE(TRIM(SUBSTITUTE(AT21,CHAR(160),""))),0),$BA21="Devis 2",IFERROR(VALUE(TRIM(SUBSTITUTE(AW21,CHAR(160),""))),0),$BA21="Devis 3",IFERROR(VALUE(TRIM(SUBSTITUTE(AZ21,CHAR(160),""))),0)),0)=0,"",IFERROR(_xlfn.IFS($BA21="Devis 1",IFERROR(VALUE(TRIM(SUBSTITUTE(AT21,CHAR(160),""))),0),$BA21="Devis 2",IFERROR(VALUE(TRIM(SUBSTITUTE(AW21,CHAR(160),""))),0),$BA21="Devis 3",IFERROR(VALUE(TRIM(SUBSTITUTE(AZ21,CHAR(160),""))),0)),0)))</f>
        <v/>
      </c>
      <c r="BI21" s="832" t="str">
        <f t="shared" si="28"/>
        <v/>
      </c>
      <c r="BJ21" s="455"/>
      <c r="BK21" s="831"/>
      <c r="BL21" s="455"/>
      <c r="BM21" s="831"/>
      <c r="BN21" s="830">
        <f t="shared" si="31"/>
        <v>0</v>
      </c>
      <c r="BO21" s="676" t="str">
        <f t="shared" si="17"/>
        <v/>
      </c>
      <c r="BP21" s="1330"/>
      <c r="BQ21" s="216" t="str" cm="1">
        <f t="array" ref="BQ21">IF(OR(BH21="",BE21="",BF21="",BC21="",BG21="",BD21=""),"",_xlfn.IFS(
ROUND(IFERROR(VALUE(TRIM(SUBSTITUTE(BH21,CHAR(160),""))),0),2)&gt;
ROUND(IFERROR(VALUE(TRIM(SUBSTITUTE(BE21,CHAR(160),""))),0),2),
"KO : Le montant retenu TTC est supérieur au montant raisonnable TTC. Merci de revoir la ligne de dépense ou plafonner son montant.",
ROUND(IFERROR(VALUE(TRIM(SUBSTITUTE(BF21,CHAR(160),""))),0),2)&gt;
ROUND(IFERROR(VALUE(TRIM(SUBSTITUTE(BC21,CHAR(160),""))),0),2),
"Attention : Le montant retenu HT est supérieur au montant HT raisonnable. Merci de revoir la ligne de dépense, plafonner son montant, ou justifier la reventillation HT / TVA.",
ROUND(IFERROR(VALUE(TRIM(SUBSTITUTE(BG21,CHAR(160),""))),0),2)&gt;
ROUND(IFERROR(VALUE(TRIM(SUBSTITUTE(BD21,CHAR(160),""))),0),2),
"Attention : Le montant TVA retenu est supérieur au montant TVA raisonnable. Merci de revoir la ligne de dépense, plafonner son montant, ou justifier la reventillation HT / TVA.",
ROUND(IFERROR(VALUE(TRIM(SUBSTITUTE(BH21,CHAR(160),""))),0),2)&gt;
ROUND(IFERROR(VALUE(TRIM(SUBSTITUTE(MIN(O21,R21,U21),CHAR(160),""))),0),2),
"Attention : Le devis retenu n'est pas le moins cher. Une justification de la part du porteur est nécessaire.",
ROUND(IFERROR(VALUE(TRIM(SUBSTITUTE(BH21,CHAR(160),""))),0),2)=0,
"Attention : montant présenté entièrement écarté",
ROUND(IFERROR(VALUE(TRIM(SUBSTITUTE(BE21,CHAR(160),""))),0),2)=
ROUND(IFERROR(VALUE(TRIM(SUBSTITUTE(BH21,CHAR(160),""))),0),2),
"OK",
ROUND(IFERROR(VALUE(TRIM(SUBSTITUTE(BE21,CHAR(160),""))),0),2)&gt;
ROUND(IFERROR(VALUE(TRIM(SUBSTITUTE(BH21,CHAR(160),""))),0),2),
" OK : Montant instruit inférieur au montant raisonnable.",
TRUE,""
))</f>
        <v/>
      </c>
      <c r="BR21" s="216" t="str" cm="1">
        <f t="array" ref="BR21">IF(OR(BH21="",Y21="",BF21="",W21="",BG21="",X21=""),"",_xlfn.IFS(
ROUND(IFERROR(VALUE(TRIM(SUBSTITUTE(BH21,CHAR(160),""))),0),2)&gt;
ROUND(IFERROR(VALUE(TRIM(SUBSTITUTE(Y21,CHAR(160),""))),0),2),
"KO : Le montant retenu TTC est supérieur au montant présenté TTC. Merci de revoir la ligne de dépense ou plafonner son montant.",
ROUND(IFERROR(VALUE(TRIM(SUBSTITUTE(BF21,CHAR(160),""))),0),2)&gt;
ROUND(IFERROR(VALUE(TRIM(SUBSTITUTE(W21,CHAR(160),""))),0),2),
"Attention : Le montant retenu HT est supérieur au montant HT présenté. Merci de revoir la ligne de dépense, plafonner son montant, ou justifier la reventillation HT / TVA.",
ROUND(IFERROR(VALUE(TRIM(SUBSTITUTE(BG21,CHAR(160),""))),0),2)&gt;
ROUND(IFERROR(VALUE(TRIM(SUBSTITUTE(X21,CHAR(160),""))),0),2),
"Attention : Le montant TVA retenu est supérieur au montant TVA présenté. Merci de revoir la ligne de dépense, plafonner son montant, ou justifier la reventillation HT / TVA.",
ROUND(IFERROR(VALUE(TRIM(SUBSTITUTE(Y21,CHAR(160),""))),0),2)=0,
"",
ROUND(IFERROR(VALUE(TRIM(SUBSTITUTE(BH21,CHAR(160),""))),0),2)=
ROUND(IFERROR(VALUE(TRIM(SUBSTITUTE(Y21,CHAR(160),""))),0),2),
"OK",
ROUND(IFERROR(VALUE(TRIM(SUBSTITUTE(BH21,CHAR(160),""))),0),2)=0,
"Attention : Montant présenté entièrement rejeté.",
ROUND(IFERROR(VALUE(TRIM(SUBSTITUTE(BH21,CHAR(160),""))),0),2)&lt;
ROUND(IFERROR(VALUE(TRIM(SUBSTITUTE(Y21,CHAR(160),""))),0),2),
"Attention : Montant présenté partiellement rejeté.",
TRUE,""
))</f>
        <v/>
      </c>
      <c r="BS21" s="1331" t="str" cm="1">
        <f t="array" ref="BS21">IF(OR(BN21="",AE21=""),"",_xlfn.IFS(
ROUND(IFERROR(VALUE(TRIM(SUBSTITUTE(BN21,CHAR(160),""))),0),2)&gt;
ROUND(IFERROR(VALUE(TRIM(SUBSTITUTE(AE21,CHAR(160),""))),0),2),
"KO : Le montant retenu est supérieur au montant présenté. Merci de revoir la ligne de contributions ou plafonner son montant.",
ROUND(IFERROR(VALUE(TRIM(SUBSTITUTE(AE21,CHAR(160),""))),0),2)=0,
"",
ROUND(IFERROR(VALUE(TRIM(SUBSTITUTE(BN21,CHAR(160),""))),0),2)=
ROUND(IFERROR(VALUE(TRIM(SUBSTITUTE(AE21,CHAR(160),""))),0),2),
"OK",
ROUND(IFERROR(VALUE(TRIM(SUBSTITUTE(BN21,CHAR(160),""))),0),2)=0,
"Attention : Montant présenté entièrement rejeté.",
ROUND(IFERROR(VALUE(TRIM(SUBSTITUTE(BN21,CHAR(160),""))),0),2)&lt;
ROUND(IFERROR(VALUE(TRIM(SUBSTITUTE(AE21,CHAR(160),""))),0),2),
"Attention : Montant présenté partiellement rejeté.",
TRUE,""
))</f>
        <v/>
      </c>
      <c r="BT21" s="674" t="str">
        <f t="shared" si="18"/>
        <v/>
      </c>
      <c r="BU21" s="673" t="str">
        <f t="shared" si="19"/>
        <v/>
      </c>
      <c r="BV21" s="1351" t="str">
        <f t="shared" si="20"/>
        <v/>
      </c>
    </row>
    <row r="22" spans="2:74" ht="14.1" customHeight="1">
      <c r="B22" s="498">
        <v>13</v>
      </c>
      <c r="C22" s="119"/>
      <c r="D22" s="11"/>
      <c r="E22" s="6"/>
      <c r="F22" s="28"/>
      <c r="G22" s="6"/>
      <c r="H22" s="6"/>
      <c r="I22" s="30"/>
      <c r="J22" s="30"/>
      <c r="K22" s="30"/>
      <c r="L22" s="31"/>
      <c r="M22" s="440"/>
      <c r="N22" s="33"/>
      <c r="O22" s="321" t="str">
        <f t="shared" si="32"/>
        <v/>
      </c>
      <c r="P22" s="32"/>
      <c r="Q22" s="33"/>
      <c r="R22" s="299" t="str">
        <f t="shared" si="33"/>
        <v/>
      </c>
      <c r="S22" s="34"/>
      <c r="T22" s="33"/>
      <c r="U22" s="299" t="str">
        <f t="shared" si="1"/>
        <v/>
      </c>
      <c r="V22" s="439"/>
      <c r="W22" s="441" t="str" cm="1">
        <f t="array" ref="W22">IF((_xlfn.IFS(TRIM(SUBSTITUTE(V22,CHAR(160),""))="Devis 1",IFERROR(VALUE(TRIM(SUBSTITUTE(M22,CHAR(160),""))),0),TRIM(SUBSTITUTE(V22,CHAR(160),""))="Devis 2",IFERROR(VALUE(TRIM(SUBSTITUTE(P22,CHAR(160),""))),0),TRIM(SUBSTITUTE(V22,CHAR(160),""))="Devis 3",IFERROR(VALUE(TRIM(SUBSTITUTE(S22,CHAR(160),""))),0),TRUE,0))=0,"",_xlfn.IFS(TRIM(SUBSTITUTE(V22,CHAR(160),""))="Devis 1",IFERROR(VALUE(TRIM(SUBSTITUTE(M22,CHAR(160),""))),0),TRIM(SUBSTITUTE(V22,CHAR(160),""))="Devis 2",IFERROR(VALUE(TRIM(SUBSTITUTE(P22,CHAR(160),""))),0),TRIM(SUBSTITUTE(V22,CHAR(160),""))="Devis 3",IFERROR(VALUE(TRIM(SUBSTITUTE(S22,CHAR(160),""))),0),TRUE,0))</f>
        <v/>
      </c>
      <c r="X22" s="441" t="str" cm="1">
        <f t="array" ref="X22">IF((_xlfn.IFS(TRIM(SUBSTITUTE(V22,CHAR(160),""))="Devis 1",IFERROR(VALUE(TRIM(SUBSTITUTE(N22,CHAR(160),""))),0),TRIM(SUBSTITUTE(V22,CHAR(160),""))="Devis 2",IFERROR(VALUE(TRIM(SUBSTITUTE(Q22,CHAR(160),""))),0),TRIM(SUBSTITUTE(V22,CHAR(160),""))="Devis 3",IFERROR(VALUE(TRIM(SUBSTITUTE(T22,CHAR(160),""))),0),TRUE,0))=0,"",_xlfn.IFS(TRIM(SUBSTITUTE(V22,CHAR(160),""))="Devis 1",IFERROR(VALUE(TRIM(SUBSTITUTE(N22,CHAR(160),""))),0),TRIM(SUBSTITUTE(V22,CHAR(160),""))="Devis 2",IFERROR(VALUE(TRIM(SUBSTITUTE(Q22,CHAR(160),""))),0),TRIM(SUBSTITUTE(V22,CHAR(160),""))="Devis 3",IFERROR(VALUE(TRIM(SUBSTITUTE(T22,CHAR(160),""))),0),TRUE,0))</f>
        <v/>
      </c>
      <c r="Y22" s="815" t="str" cm="1">
        <f t="array" ref="Y22">IF((_xlfn.IFS(TRIM(SUBSTITUTE(V22,CHAR(160),""))="Devis 1",IFERROR(VALUE(TRIM(SUBSTITUTE(O22,CHAR(160),""))),0),TRIM(SUBSTITUTE(V22,CHAR(160),""))="Devis 2",IFERROR(VALUE(TRIM(SUBSTITUTE(R22,CHAR(160),""))),0),TRIM(SUBSTITUTE(V22,CHAR(160),""))="Devis 3",IFERROR(VALUE(TRIM(SUBSTITUTE(U22,CHAR(160),""))),0),TRUE,0))=0,"",_xlfn.IFS(TRIM(SUBSTITUTE(V22,CHAR(160),""))="Devis 1",IFERROR(VALUE(TRIM(SUBSTITUTE(O22,CHAR(160),""))),0),TRIM(SUBSTITUTE(V22,CHAR(160),""))="Devis 2",IFERROR(VALUE(TRIM(SUBSTITUTE(R22,CHAR(160),""))),0),TRIM(SUBSTITUTE(V22,CHAR(160),""))="Devis 3",IFERROR(VALUE(TRIM(SUBSTITUTE(U22,CHAR(160),""))),0),TRUE,0))</f>
        <v/>
      </c>
      <c r="Z22" s="850"/>
      <c r="AA22" s="817" t="str" cm="1">
        <f t="array" ref="AA22">IF(Z22="","",_xlfn.IFS(Z22=$BZ$5,70,Z22=$BZ$6,90,Z22=$BZ$7,70,Z22=$BZ$8,90,Z22=$BZ$9,110))</f>
        <v/>
      </c>
      <c r="AB22" s="627"/>
      <c r="AC22" s="817" t="str" cm="1">
        <f t="array" ref="AC22">IF(Z22="","",_xlfn.IFS(Z22=$BZ$5,15.75,Z22=$BZ$6,21,Z22=$BZ$7,15.25,Z22=$BZ$8,15.25,Z22=$BZ$9,15.25))</f>
        <v/>
      </c>
      <c r="AD22" s="818"/>
      <c r="AE22" s="830">
        <f t="shared" si="34"/>
        <v>0</v>
      </c>
      <c r="AF22" s="819" t="str">
        <f t="shared" si="35"/>
        <v/>
      </c>
      <c r="AG22" s="26"/>
      <c r="AH22" s="466" t="str">
        <f t="shared" si="2"/>
        <v/>
      </c>
      <c r="AI22" s="1414" t="str">
        <f t="shared" si="21"/>
        <v/>
      </c>
      <c r="AJ22" s="452" t="str">
        <f t="shared" si="4"/>
        <v/>
      </c>
      <c r="AK22" s="28"/>
      <c r="AL22" s="664" t="str">
        <f t="shared" si="5"/>
        <v/>
      </c>
      <c r="AM22" s="452" t="str">
        <f t="shared" si="6"/>
        <v/>
      </c>
      <c r="AN22" s="452" t="str">
        <f t="shared" si="22"/>
        <v/>
      </c>
      <c r="AO22" s="452" t="str">
        <f t="shared" si="23"/>
        <v/>
      </c>
      <c r="AP22" s="452" t="str">
        <f t="shared" si="24"/>
        <v/>
      </c>
      <c r="AQ22" s="452" t="str">
        <f t="shared" si="7"/>
        <v/>
      </c>
      <c r="AR22" s="478" t="str">
        <f t="shared" si="8"/>
        <v/>
      </c>
      <c r="AS22" s="453" t="str">
        <f t="shared" si="9"/>
        <v/>
      </c>
      <c r="AT22" s="479" t="str">
        <f t="shared" si="29"/>
        <v/>
      </c>
      <c r="AU22" s="453" t="str">
        <f t="shared" si="10"/>
        <v/>
      </c>
      <c r="AV22" s="453" t="str">
        <f t="shared" si="30"/>
        <v/>
      </c>
      <c r="AW22" s="480" t="str">
        <f t="shared" si="25"/>
        <v/>
      </c>
      <c r="AX22" s="453" t="str">
        <f t="shared" si="11"/>
        <v/>
      </c>
      <c r="AY22" s="453" t="str">
        <f t="shared" si="12"/>
        <v/>
      </c>
      <c r="AZ22" s="480" t="str">
        <f t="shared" si="26"/>
        <v/>
      </c>
      <c r="BA22" s="424" t="str">
        <f t="shared" si="13"/>
        <v/>
      </c>
      <c r="BB22" s="454"/>
      <c r="BC22" s="424" t="str">
        <f t="shared" si="14"/>
        <v/>
      </c>
      <c r="BD22" s="424" t="str">
        <f t="shared" si="15"/>
        <v/>
      </c>
      <c r="BE22" s="424" t="str">
        <f t="shared" si="27"/>
        <v/>
      </c>
      <c r="BF22" s="455" t="str" cm="1">
        <f t="array" ref="BF22">IF(AR22="","",IF((IFERROR(_xlfn.IFS($BA22="Devis 1",(IFERROR(VALUE(TRIM(SUBSTITUTE(AR22,CHAR(160),""))),0)),$BA22="Devis 2",(IFERROR(VALUE(TRIM(SUBSTITUTE(AU22,CHAR(160),""))),0)),$BA22="Devis 3",(IFERROR(VALUE(TRIM(SUBSTITUTE(AX22,CHAR(160),""))),0))),0))=0,"",(IFERROR(_xlfn.IFS($BA22="Devis 1",(IFERROR(VALUE(TRIM(SUBSTITUTE(AR22,CHAR(160),""))),0)),$BA22="Devis 2",(IFERROR(VALUE(TRIM(SUBSTITUTE(AU22,CHAR(160),""))),0)),$BA22="Devis 3",(IFERROR(VALUE(TRIM(SUBSTITUTE(AX22,CHAR(160),""))),0))),0))))</f>
        <v/>
      </c>
      <c r="BG22" s="455" t="str" cm="1">
        <f t="array" ref="BG22">IF(AS22="","",IF((IFERROR(_xlfn.IFS($BA22="Devis 1",(IFERROR(VALUE(TRIM(SUBSTITUTE(AS22,CHAR(160),""))),0)),$BA22="Devis 2",(IFERROR(VALUE(TRIM(SUBSTITUTE(AV22,CHAR(160),""))),0)),$BA22="Devis 3",(IFERROR(VALUE(TRIM(SUBSTITUTE(AY22,CHAR(160),""))),0))),0))=0,"",(IFERROR(_xlfn.IFS($BA22="Devis 1",(IFERROR(VALUE(TRIM(SUBSTITUTE(AS22,CHAR(160),""))),0)),$BA22="Devis 2",(IFERROR(VALUE(TRIM(SUBSTITUTE(AV22,CHAR(160),""))),0)),$BA22="Devis 3",(IFERROR(VALUE(TRIM(SUBSTITUTE(AY22,CHAR(160),""))),0))),0))))</f>
        <v/>
      </c>
      <c r="BH22" s="826" t="str" cm="1">
        <f t="array" ref="BH22">IF(AT22="","",IF(IFERROR(_xlfn.IFS($BA22="Devis 1",IFERROR(VALUE(TRIM(SUBSTITUTE(AT22,CHAR(160),""))),0),$BA22="Devis 2",IFERROR(VALUE(TRIM(SUBSTITUTE(AW22,CHAR(160),""))),0),$BA22="Devis 3",IFERROR(VALUE(TRIM(SUBSTITUTE(AZ22,CHAR(160),""))),0)),0)=0,"",IFERROR(_xlfn.IFS($BA22="Devis 1",IFERROR(VALUE(TRIM(SUBSTITUTE(AT22,CHAR(160),""))),0),$BA22="Devis 2",IFERROR(VALUE(TRIM(SUBSTITUTE(AW22,CHAR(160),""))),0),$BA22="Devis 3",IFERROR(VALUE(TRIM(SUBSTITUTE(AZ22,CHAR(160),""))),0)),0)))</f>
        <v/>
      </c>
      <c r="BI22" s="832" t="str">
        <f t="shared" si="28"/>
        <v/>
      </c>
      <c r="BJ22" s="455"/>
      <c r="BK22" s="831"/>
      <c r="BL22" s="455"/>
      <c r="BM22" s="831"/>
      <c r="BN22" s="830">
        <f t="shared" si="31"/>
        <v>0</v>
      </c>
      <c r="BO22" s="676" t="str">
        <f t="shared" si="17"/>
        <v/>
      </c>
      <c r="BP22" s="1330"/>
      <c r="BQ22" s="216" t="str" cm="1">
        <f t="array" ref="BQ22">IF(OR(BH22="",BE22="",BF22="",BC22="",BG22="",BD22=""),"",_xlfn.IFS(
ROUND(IFERROR(VALUE(TRIM(SUBSTITUTE(BH22,CHAR(160),""))),0),2)&gt;
ROUND(IFERROR(VALUE(TRIM(SUBSTITUTE(BE22,CHAR(160),""))),0),2),
"KO : Le montant retenu TTC est supérieur au montant raisonnable TTC. Merci de revoir la ligne de dépense ou plafonner son montant.",
ROUND(IFERROR(VALUE(TRIM(SUBSTITUTE(BF22,CHAR(160),""))),0),2)&gt;
ROUND(IFERROR(VALUE(TRIM(SUBSTITUTE(BC22,CHAR(160),""))),0),2),
"Attention : Le montant retenu HT est supérieur au montant HT raisonnable. Merci de revoir la ligne de dépense, plafonner son montant, ou justifier la reventillation HT / TVA.",
ROUND(IFERROR(VALUE(TRIM(SUBSTITUTE(BG22,CHAR(160),""))),0),2)&gt;
ROUND(IFERROR(VALUE(TRIM(SUBSTITUTE(BD22,CHAR(160),""))),0),2),
"Attention : Le montant TVA retenu est supérieur au montant TVA raisonnable. Merci de revoir la ligne de dépense, plafonner son montant, ou justifier la reventillation HT / TVA.",
ROUND(IFERROR(VALUE(TRIM(SUBSTITUTE(BH22,CHAR(160),""))),0),2)&gt;
ROUND(IFERROR(VALUE(TRIM(SUBSTITUTE(MIN(O22,R22,U22),CHAR(160),""))),0),2),
"Attention : Le devis retenu n'est pas le moins cher. Une justification de la part du porteur est nécessaire.",
ROUND(IFERROR(VALUE(TRIM(SUBSTITUTE(BH22,CHAR(160),""))),0),2)=0,
"Attention : montant présenté entièrement écarté",
ROUND(IFERROR(VALUE(TRIM(SUBSTITUTE(BE22,CHAR(160),""))),0),2)=
ROUND(IFERROR(VALUE(TRIM(SUBSTITUTE(BH22,CHAR(160),""))),0),2),
"OK",
ROUND(IFERROR(VALUE(TRIM(SUBSTITUTE(BE22,CHAR(160),""))),0),2)&gt;
ROUND(IFERROR(VALUE(TRIM(SUBSTITUTE(BH22,CHAR(160),""))),0),2),
" OK : Montant instruit inférieur au montant raisonnable.",
TRUE,""
))</f>
        <v/>
      </c>
      <c r="BR22" s="216" t="str" cm="1">
        <f t="array" ref="BR22">IF(OR(BH22="",Y22="",BF22="",W22="",BG22="",X22=""),"",_xlfn.IFS(
ROUND(IFERROR(VALUE(TRIM(SUBSTITUTE(BH22,CHAR(160),""))),0),2)&gt;
ROUND(IFERROR(VALUE(TRIM(SUBSTITUTE(Y22,CHAR(160),""))),0),2),
"KO : Le montant retenu TTC est supérieur au montant présenté TTC. Merci de revoir la ligne de dépense ou plafonner son montant.",
ROUND(IFERROR(VALUE(TRIM(SUBSTITUTE(BF22,CHAR(160),""))),0),2)&gt;
ROUND(IFERROR(VALUE(TRIM(SUBSTITUTE(W22,CHAR(160),""))),0),2),
"Attention : Le montant retenu HT est supérieur au montant HT présenté. Merci de revoir la ligne de dépense, plafonner son montant, ou justifier la reventillation HT / TVA.",
ROUND(IFERROR(VALUE(TRIM(SUBSTITUTE(BG22,CHAR(160),""))),0),2)&gt;
ROUND(IFERROR(VALUE(TRIM(SUBSTITUTE(X22,CHAR(160),""))),0),2),
"Attention : Le montant TVA retenu est supérieur au montant TVA présenté. Merci de revoir la ligne de dépense, plafonner son montant, ou justifier la reventillation HT / TVA.",
ROUND(IFERROR(VALUE(TRIM(SUBSTITUTE(Y22,CHAR(160),""))),0),2)=0,
"",
ROUND(IFERROR(VALUE(TRIM(SUBSTITUTE(BH22,CHAR(160),""))),0),2)=
ROUND(IFERROR(VALUE(TRIM(SUBSTITUTE(Y22,CHAR(160),""))),0),2),
"OK",
ROUND(IFERROR(VALUE(TRIM(SUBSTITUTE(BH22,CHAR(160),""))),0),2)=0,
"Attention : Montant présenté entièrement rejeté.",
ROUND(IFERROR(VALUE(TRIM(SUBSTITUTE(BH22,CHAR(160),""))),0),2)&lt;
ROUND(IFERROR(VALUE(TRIM(SUBSTITUTE(Y22,CHAR(160),""))),0),2),
"Attention : Montant présenté partiellement rejeté.",
TRUE,""
))</f>
        <v/>
      </c>
      <c r="BS22" s="1331" t="str" cm="1">
        <f t="array" ref="BS22">IF(OR(BN22="",AE22=""),"",_xlfn.IFS(
ROUND(IFERROR(VALUE(TRIM(SUBSTITUTE(BN22,CHAR(160),""))),0),2)&gt;
ROUND(IFERROR(VALUE(TRIM(SUBSTITUTE(AE22,CHAR(160),""))),0),2),
"KO : Le montant retenu est supérieur au montant présenté. Merci de revoir la ligne de contributions ou plafonner son montant.",
ROUND(IFERROR(VALUE(TRIM(SUBSTITUTE(AE22,CHAR(160),""))),0),2)=0,
"",
ROUND(IFERROR(VALUE(TRIM(SUBSTITUTE(BN22,CHAR(160),""))),0),2)=
ROUND(IFERROR(VALUE(TRIM(SUBSTITUTE(AE22,CHAR(160),""))),0),2),
"OK",
ROUND(IFERROR(VALUE(TRIM(SUBSTITUTE(BN22,CHAR(160),""))),0),2)=0,
"Attention : Montant présenté entièrement rejeté.",
ROUND(IFERROR(VALUE(TRIM(SUBSTITUTE(BN22,CHAR(160),""))),0),2)&lt;
ROUND(IFERROR(VALUE(TRIM(SUBSTITUTE(AE22,CHAR(160),""))),0),2),
"Attention : Montant présenté partiellement rejeté.",
TRUE,""
))</f>
        <v/>
      </c>
      <c r="BT22" s="674" t="str">
        <f t="shared" si="18"/>
        <v/>
      </c>
      <c r="BU22" s="673" t="str">
        <f t="shared" si="19"/>
        <v/>
      </c>
      <c r="BV22" s="1351" t="str">
        <f t="shared" si="20"/>
        <v/>
      </c>
    </row>
    <row r="23" spans="2:74" ht="14.1" customHeight="1">
      <c r="B23" s="498">
        <v>14</v>
      </c>
      <c r="C23" s="119"/>
      <c r="D23" s="11"/>
      <c r="E23" s="6"/>
      <c r="F23" s="28"/>
      <c r="G23" s="6"/>
      <c r="H23" s="6"/>
      <c r="I23" s="30"/>
      <c r="J23" s="30"/>
      <c r="K23" s="30"/>
      <c r="L23" s="31"/>
      <c r="M23" s="440"/>
      <c r="N23" s="33"/>
      <c r="O23" s="321" t="str">
        <f t="shared" si="32"/>
        <v/>
      </c>
      <c r="P23" s="32"/>
      <c r="Q23" s="33"/>
      <c r="R23" s="299" t="str">
        <f t="shared" si="33"/>
        <v/>
      </c>
      <c r="S23" s="34"/>
      <c r="T23" s="33"/>
      <c r="U23" s="299" t="str">
        <f t="shared" si="1"/>
        <v/>
      </c>
      <c r="V23" s="439"/>
      <c r="W23" s="441" t="str" cm="1">
        <f t="array" ref="W23">IF((_xlfn.IFS(TRIM(SUBSTITUTE(V23,CHAR(160),""))="Devis 1",IFERROR(VALUE(TRIM(SUBSTITUTE(M23,CHAR(160),""))),0),TRIM(SUBSTITUTE(V23,CHAR(160),""))="Devis 2",IFERROR(VALUE(TRIM(SUBSTITUTE(P23,CHAR(160),""))),0),TRIM(SUBSTITUTE(V23,CHAR(160),""))="Devis 3",IFERROR(VALUE(TRIM(SUBSTITUTE(S23,CHAR(160),""))),0),TRUE,0))=0,"",_xlfn.IFS(TRIM(SUBSTITUTE(V23,CHAR(160),""))="Devis 1",IFERROR(VALUE(TRIM(SUBSTITUTE(M23,CHAR(160),""))),0),TRIM(SUBSTITUTE(V23,CHAR(160),""))="Devis 2",IFERROR(VALUE(TRIM(SUBSTITUTE(P23,CHAR(160),""))),0),TRIM(SUBSTITUTE(V23,CHAR(160),""))="Devis 3",IFERROR(VALUE(TRIM(SUBSTITUTE(S23,CHAR(160),""))),0),TRUE,0))</f>
        <v/>
      </c>
      <c r="X23" s="441" t="str" cm="1">
        <f t="array" ref="X23">IF((_xlfn.IFS(TRIM(SUBSTITUTE(V23,CHAR(160),""))="Devis 1",IFERROR(VALUE(TRIM(SUBSTITUTE(N23,CHAR(160),""))),0),TRIM(SUBSTITUTE(V23,CHAR(160),""))="Devis 2",IFERROR(VALUE(TRIM(SUBSTITUTE(Q23,CHAR(160),""))),0),TRIM(SUBSTITUTE(V23,CHAR(160),""))="Devis 3",IFERROR(VALUE(TRIM(SUBSTITUTE(T23,CHAR(160),""))),0),TRUE,0))=0,"",_xlfn.IFS(TRIM(SUBSTITUTE(V23,CHAR(160),""))="Devis 1",IFERROR(VALUE(TRIM(SUBSTITUTE(N23,CHAR(160),""))),0),TRIM(SUBSTITUTE(V23,CHAR(160),""))="Devis 2",IFERROR(VALUE(TRIM(SUBSTITUTE(Q23,CHAR(160),""))),0),TRIM(SUBSTITUTE(V23,CHAR(160),""))="Devis 3",IFERROR(VALUE(TRIM(SUBSTITUTE(T23,CHAR(160),""))),0),TRUE,0))</f>
        <v/>
      </c>
      <c r="Y23" s="815" t="str" cm="1">
        <f t="array" ref="Y23">IF((_xlfn.IFS(TRIM(SUBSTITUTE(V23,CHAR(160),""))="Devis 1",IFERROR(VALUE(TRIM(SUBSTITUTE(O23,CHAR(160),""))),0),TRIM(SUBSTITUTE(V23,CHAR(160),""))="Devis 2",IFERROR(VALUE(TRIM(SUBSTITUTE(R23,CHAR(160),""))),0),TRIM(SUBSTITUTE(V23,CHAR(160),""))="Devis 3",IFERROR(VALUE(TRIM(SUBSTITUTE(U23,CHAR(160),""))),0),TRUE,0))=0,"",_xlfn.IFS(TRIM(SUBSTITUTE(V23,CHAR(160),""))="Devis 1",IFERROR(VALUE(TRIM(SUBSTITUTE(O23,CHAR(160),""))),0),TRIM(SUBSTITUTE(V23,CHAR(160),""))="Devis 2",IFERROR(VALUE(TRIM(SUBSTITUTE(R23,CHAR(160),""))),0),TRIM(SUBSTITUTE(V23,CHAR(160),""))="Devis 3",IFERROR(VALUE(TRIM(SUBSTITUTE(U23,CHAR(160),""))),0),TRUE,0))</f>
        <v/>
      </c>
      <c r="Z23" s="850"/>
      <c r="AA23" s="817" t="str" cm="1">
        <f t="array" ref="AA23">IF(Z23="","",_xlfn.IFS(Z23=$BZ$5,70,Z23=$BZ$6,90,Z23=$BZ$7,70,Z23=$BZ$8,90,Z23=$BZ$9,110))</f>
        <v/>
      </c>
      <c r="AB23" s="627"/>
      <c r="AC23" s="817" t="str" cm="1">
        <f t="array" ref="AC23">IF(Z23="","",_xlfn.IFS(Z23=$BZ$5,15.75,Z23=$BZ$6,21,Z23=$BZ$7,15.25,Z23=$BZ$8,15.25,Z23=$BZ$9,15.25))</f>
        <v/>
      </c>
      <c r="AD23" s="818"/>
      <c r="AE23" s="830">
        <f t="shared" si="34"/>
        <v>0</v>
      </c>
      <c r="AF23" s="819" t="str">
        <f t="shared" si="35"/>
        <v/>
      </c>
      <c r="AG23" s="26"/>
      <c r="AH23" s="466" t="str">
        <f t="shared" si="2"/>
        <v/>
      </c>
      <c r="AI23" s="1414" t="str">
        <f t="shared" si="21"/>
        <v/>
      </c>
      <c r="AJ23" s="452" t="str">
        <f t="shared" si="4"/>
        <v/>
      </c>
      <c r="AK23" s="28"/>
      <c r="AL23" s="664" t="str">
        <f t="shared" si="5"/>
        <v/>
      </c>
      <c r="AM23" s="452" t="str">
        <f t="shared" si="6"/>
        <v/>
      </c>
      <c r="AN23" s="452" t="str">
        <f t="shared" si="22"/>
        <v/>
      </c>
      <c r="AO23" s="452" t="str">
        <f t="shared" si="23"/>
        <v/>
      </c>
      <c r="AP23" s="452" t="str">
        <f t="shared" si="24"/>
        <v/>
      </c>
      <c r="AQ23" s="452" t="str">
        <f t="shared" si="7"/>
        <v/>
      </c>
      <c r="AR23" s="478" t="str">
        <f t="shared" si="8"/>
        <v/>
      </c>
      <c r="AS23" s="453" t="str">
        <f t="shared" si="9"/>
        <v/>
      </c>
      <c r="AT23" s="479" t="str">
        <f t="shared" si="29"/>
        <v/>
      </c>
      <c r="AU23" s="453" t="str">
        <f t="shared" si="10"/>
        <v/>
      </c>
      <c r="AV23" s="453" t="str">
        <f t="shared" si="30"/>
        <v/>
      </c>
      <c r="AW23" s="480" t="str">
        <f t="shared" si="25"/>
        <v/>
      </c>
      <c r="AX23" s="453" t="str">
        <f t="shared" si="11"/>
        <v/>
      </c>
      <c r="AY23" s="453" t="str">
        <f t="shared" si="12"/>
        <v/>
      </c>
      <c r="AZ23" s="480" t="str">
        <f t="shared" si="26"/>
        <v/>
      </c>
      <c r="BA23" s="424" t="str">
        <f t="shared" si="13"/>
        <v/>
      </c>
      <c r="BB23" s="454"/>
      <c r="BC23" s="424" t="str">
        <f t="shared" si="14"/>
        <v/>
      </c>
      <c r="BD23" s="424" t="str">
        <f t="shared" si="15"/>
        <v/>
      </c>
      <c r="BE23" s="424" t="str">
        <f t="shared" si="27"/>
        <v/>
      </c>
      <c r="BF23" s="455" t="str" cm="1">
        <f t="array" ref="BF23">IF(AR23="","",IF((IFERROR(_xlfn.IFS($BA23="Devis 1",(IFERROR(VALUE(TRIM(SUBSTITUTE(AR23,CHAR(160),""))),0)),$BA23="Devis 2",(IFERROR(VALUE(TRIM(SUBSTITUTE(AU23,CHAR(160),""))),0)),$BA23="Devis 3",(IFERROR(VALUE(TRIM(SUBSTITUTE(AX23,CHAR(160),""))),0))),0))=0,"",(IFERROR(_xlfn.IFS($BA23="Devis 1",(IFERROR(VALUE(TRIM(SUBSTITUTE(AR23,CHAR(160),""))),0)),$BA23="Devis 2",(IFERROR(VALUE(TRIM(SUBSTITUTE(AU23,CHAR(160),""))),0)),$BA23="Devis 3",(IFERROR(VALUE(TRIM(SUBSTITUTE(AX23,CHAR(160),""))),0))),0))))</f>
        <v/>
      </c>
      <c r="BG23" s="455" t="str" cm="1">
        <f t="array" ref="BG23">IF(AS23="","",IF((IFERROR(_xlfn.IFS($BA23="Devis 1",(IFERROR(VALUE(TRIM(SUBSTITUTE(AS23,CHAR(160),""))),0)),$BA23="Devis 2",(IFERROR(VALUE(TRIM(SUBSTITUTE(AV23,CHAR(160),""))),0)),$BA23="Devis 3",(IFERROR(VALUE(TRIM(SUBSTITUTE(AY23,CHAR(160),""))),0))),0))=0,"",(IFERROR(_xlfn.IFS($BA23="Devis 1",(IFERROR(VALUE(TRIM(SUBSTITUTE(AS23,CHAR(160),""))),0)),$BA23="Devis 2",(IFERROR(VALUE(TRIM(SUBSTITUTE(AV23,CHAR(160),""))),0)),$BA23="Devis 3",(IFERROR(VALUE(TRIM(SUBSTITUTE(AY23,CHAR(160),""))),0))),0))))</f>
        <v/>
      </c>
      <c r="BH23" s="826" t="str" cm="1">
        <f t="array" ref="BH23">IF(AT23="","",IF(IFERROR(_xlfn.IFS($BA23="Devis 1",IFERROR(VALUE(TRIM(SUBSTITUTE(AT23,CHAR(160),""))),0),$BA23="Devis 2",IFERROR(VALUE(TRIM(SUBSTITUTE(AW23,CHAR(160),""))),0),$BA23="Devis 3",IFERROR(VALUE(TRIM(SUBSTITUTE(AZ23,CHAR(160),""))),0)),0)=0,"",IFERROR(_xlfn.IFS($BA23="Devis 1",IFERROR(VALUE(TRIM(SUBSTITUTE(AT23,CHAR(160),""))),0),$BA23="Devis 2",IFERROR(VALUE(TRIM(SUBSTITUTE(AW23,CHAR(160),""))),0),$BA23="Devis 3",IFERROR(VALUE(TRIM(SUBSTITUTE(AZ23,CHAR(160),""))),0)),0)))</f>
        <v/>
      </c>
      <c r="BI23" s="832" t="str">
        <f t="shared" si="28"/>
        <v/>
      </c>
      <c r="BJ23" s="455"/>
      <c r="BK23" s="831"/>
      <c r="BL23" s="455"/>
      <c r="BM23" s="831"/>
      <c r="BN23" s="830">
        <f t="shared" si="31"/>
        <v>0</v>
      </c>
      <c r="BO23" s="676" t="str">
        <f t="shared" si="17"/>
        <v/>
      </c>
      <c r="BP23" s="1330"/>
      <c r="BQ23" s="216" t="str" cm="1">
        <f t="array" ref="BQ23">IF(OR(BH23="",BE23="",BF23="",BC23="",BG23="",BD23=""),"",_xlfn.IFS(
ROUND(IFERROR(VALUE(TRIM(SUBSTITUTE(BH23,CHAR(160),""))),0),2)&gt;
ROUND(IFERROR(VALUE(TRIM(SUBSTITUTE(BE23,CHAR(160),""))),0),2),
"KO : Le montant retenu TTC est supérieur au montant raisonnable TTC. Merci de revoir la ligne de dépense ou plafonner son montant.",
ROUND(IFERROR(VALUE(TRIM(SUBSTITUTE(BF23,CHAR(160),""))),0),2)&gt;
ROUND(IFERROR(VALUE(TRIM(SUBSTITUTE(BC23,CHAR(160),""))),0),2),
"Attention : Le montant retenu HT est supérieur au montant HT raisonnable. Merci de revoir la ligne de dépense, plafonner son montant, ou justifier la reventillation HT / TVA.",
ROUND(IFERROR(VALUE(TRIM(SUBSTITUTE(BG23,CHAR(160),""))),0),2)&gt;
ROUND(IFERROR(VALUE(TRIM(SUBSTITUTE(BD23,CHAR(160),""))),0),2),
"Attention : Le montant TVA retenu est supérieur au montant TVA raisonnable. Merci de revoir la ligne de dépense, plafonner son montant, ou justifier la reventillation HT / TVA.",
ROUND(IFERROR(VALUE(TRIM(SUBSTITUTE(BH23,CHAR(160),""))),0),2)&gt;
ROUND(IFERROR(VALUE(TRIM(SUBSTITUTE(MIN(O23,R23,U23),CHAR(160),""))),0),2),
"Attention : Le devis retenu n'est pas le moins cher. Une justification de la part du porteur est nécessaire.",
ROUND(IFERROR(VALUE(TRIM(SUBSTITUTE(BH23,CHAR(160),""))),0),2)=0,
"Attention : montant présenté entièrement écarté",
ROUND(IFERROR(VALUE(TRIM(SUBSTITUTE(BE23,CHAR(160),""))),0),2)=
ROUND(IFERROR(VALUE(TRIM(SUBSTITUTE(BH23,CHAR(160),""))),0),2),
"OK",
ROUND(IFERROR(VALUE(TRIM(SUBSTITUTE(BE23,CHAR(160),""))),0),2)&gt;
ROUND(IFERROR(VALUE(TRIM(SUBSTITUTE(BH23,CHAR(160),""))),0),2),
" OK : Montant instruit inférieur au montant raisonnable.",
TRUE,""
))</f>
        <v/>
      </c>
      <c r="BR23" s="216" t="str" cm="1">
        <f t="array" ref="BR23">IF(OR(BH23="",Y23="",BF23="",W23="",BG23="",X23=""),"",_xlfn.IFS(
ROUND(IFERROR(VALUE(TRIM(SUBSTITUTE(BH23,CHAR(160),""))),0),2)&gt;
ROUND(IFERROR(VALUE(TRIM(SUBSTITUTE(Y23,CHAR(160),""))),0),2),
"KO : Le montant retenu TTC est supérieur au montant présenté TTC. Merci de revoir la ligne de dépense ou plafonner son montant.",
ROUND(IFERROR(VALUE(TRIM(SUBSTITUTE(BF23,CHAR(160),""))),0),2)&gt;
ROUND(IFERROR(VALUE(TRIM(SUBSTITUTE(W23,CHAR(160),""))),0),2),
"Attention : Le montant retenu HT est supérieur au montant HT présenté. Merci de revoir la ligne de dépense, plafonner son montant, ou justifier la reventillation HT / TVA.",
ROUND(IFERROR(VALUE(TRIM(SUBSTITUTE(BG23,CHAR(160),""))),0),2)&gt;
ROUND(IFERROR(VALUE(TRIM(SUBSTITUTE(X23,CHAR(160),""))),0),2),
"Attention : Le montant TVA retenu est supérieur au montant TVA présenté. Merci de revoir la ligne de dépense, plafonner son montant, ou justifier la reventillation HT / TVA.",
ROUND(IFERROR(VALUE(TRIM(SUBSTITUTE(Y23,CHAR(160),""))),0),2)=0,
"",
ROUND(IFERROR(VALUE(TRIM(SUBSTITUTE(BH23,CHAR(160),""))),0),2)=
ROUND(IFERROR(VALUE(TRIM(SUBSTITUTE(Y23,CHAR(160),""))),0),2),
"OK",
ROUND(IFERROR(VALUE(TRIM(SUBSTITUTE(BH23,CHAR(160),""))),0),2)=0,
"Attention : Montant présenté entièrement rejeté.",
ROUND(IFERROR(VALUE(TRIM(SUBSTITUTE(BH23,CHAR(160),""))),0),2)&lt;
ROUND(IFERROR(VALUE(TRIM(SUBSTITUTE(Y23,CHAR(160),""))),0),2),
"Attention : Montant présenté partiellement rejeté.",
TRUE,""
))</f>
        <v/>
      </c>
      <c r="BS23" s="1331" t="str" cm="1">
        <f t="array" ref="BS23">IF(OR(BN23="",AE23=""),"",_xlfn.IFS(
ROUND(IFERROR(VALUE(TRIM(SUBSTITUTE(BN23,CHAR(160),""))),0),2)&gt;
ROUND(IFERROR(VALUE(TRIM(SUBSTITUTE(AE23,CHAR(160),""))),0),2),
"KO : Le montant retenu est supérieur au montant présenté. Merci de revoir la ligne de contributions ou plafonner son montant.",
ROUND(IFERROR(VALUE(TRIM(SUBSTITUTE(AE23,CHAR(160),""))),0),2)=0,
"",
ROUND(IFERROR(VALUE(TRIM(SUBSTITUTE(BN23,CHAR(160),""))),0),2)=
ROUND(IFERROR(VALUE(TRIM(SUBSTITUTE(AE23,CHAR(160),""))),0),2),
"OK",
ROUND(IFERROR(VALUE(TRIM(SUBSTITUTE(BN23,CHAR(160),""))),0),2)=0,
"Attention : Montant présenté entièrement rejeté.",
ROUND(IFERROR(VALUE(TRIM(SUBSTITUTE(BN23,CHAR(160),""))),0),2)&lt;
ROUND(IFERROR(VALUE(TRIM(SUBSTITUTE(AE23,CHAR(160),""))),0),2),
"Attention : Montant présenté partiellement rejeté.",
TRUE,""
))</f>
        <v/>
      </c>
      <c r="BT23" s="674" t="str">
        <f t="shared" si="18"/>
        <v/>
      </c>
      <c r="BU23" s="673" t="str">
        <f t="shared" si="19"/>
        <v/>
      </c>
      <c r="BV23" s="1351" t="str">
        <f t="shared" si="20"/>
        <v/>
      </c>
    </row>
    <row r="24" spans="2:74" ht="14.1" customHeight="1">
      <c r="B24" s="498">
        <v>15</v>
      </c>
      <c r="C24" s="119"/>
      <c r="D24" s="11"/>
      <c r="E24" s="6"/>
      <c r="F24" s="28"/>
      <c r="G24" s="6"/>
      <c r="H24" s="6"/>
      <c r="I24" s="30"/>
      <c r="J24" s="30"/>
      <c r="K24" s="30"/>
      <c r="L24" s="31"/>
      <c r="M24" s="440"/>
      <c r="N24" s="33"/>
      <c r="O24" s="321" t="str">
        <f t="shared" si="32"/>
        <v/>
      </c>
      <c r="P24" s="32"/>
      <c r="Q24" s="33"/>
      <c r="R24" s="299" t="str">
        <f t="shared" si="33"/>
        <v/>
      </c>
      <c r="S24" s="34"/>
      <c r="T24" s="33"/>
      <c r="U24" s="299" t="str">
        <f t="shared" si="1"/>
        <v/>
      </c>
      <c r="V24" s="439"/>
      <c r="W24" s="441" t="str" cm="1">
        <f t="array" ref="W24">IF((_xlfn.IFS(TRIM(SUBSTITUTE(V24,CHAR(160),""))="Devis 1",IFERROR(VALUE(TRIM(SUBSTITUTE(M24,CHAR(160),""))),0),TRIM(SUBSTITUTE(V24,CHAR(160),""))="Devis 2",IFERROR(VALUE(TRIM(SUBSTITUTE(P24,CHAR(160),""))),0),TRIM(SUBSTITUTE(V24,CHAR(160),""))="Devis 3",IFERROR(VALUE(TRIM(SUBSTITUTE(S24,CHAR(160),""))),0),TRUE,0))=0,"",_xlfn.IFS(TRIM(SUBSTITUTE(V24,CHAR(160),""))="Devis 1",IFERROR(VALUE(TRIM(SUBSTITUTE(M24,CHAR(160),""))),0),TRIM(SUBSTITUTE(V24,CHAR(160),""))="Devis 2",IFERROR(VALUE(TRIM(SUBSTITUTE(P24,CHAR(160),""))),0),TRIM(SUBSTITUTE(V24,CHAR(160),""))="Devis 3",IFERROR(VALUE(TRIM(SUBSTITUTE(S24,CHAR(160),""))),0),TRUE,0))</f>
        <v/>
      </c>
      <c r="X24" s="441" t="str" cm="1">
        <f t="array" ref="X24">IF((_xlfn.IFS(TRIM(SUBSTITUTE(V24,CHAR(160),""))="Devis 1",IFERROR(VALUE(TRIM(SUBSTITUTE(N24,CHAR(160),""))),0),TRIM(SUBSTITUTE(V24,CHAR(160),""))="Devis 2",IFERROR(VALUE(TRIM(SUBSTITUTE(Q24,CHAR(160),""))),0),TRIM(SUBSTITUTE(V24,CHAR(160),""))="Devis 3",IFERROR(VALUE(TRIM(SUBSTITUTE(T24,CHAR(160),""))),0),TRUE,0))=0,"",_xlfn.IFS(TRIM(SUBSTITUTE(V24,CHAR(160),""))="Devis 1",IFERROR(VALUE(TRIM(SUBSTITUTE(N24,CHAR(160),""))),0),TRIM(SUBSTITUTE(V24,CHAR(160),""))="Devis 2",IFERROR(VALUE(TRIM(SUBSTITUTE(Q24,CHAR(160),""))),0),TRIM(SUBSTITUTE(V24,CHAR(160),""))="Devis 3",IFERROR(VALUE(TRIM(SUBSTITUTE(T24,CHAR(160),""))),0),TRUE,0))</f>
        <v/>
      </c>
      <c r="Y24" s="815" t="str" cm="1">
        <f t="array" ref="Y24">IF((_xlfn.IFS(TRIM(SUBSTITUTE(V24,CHAR(160),""))="Devis 1",IFERROR(VALUE(TRIM(SUBSTITUTE(O24,CHAR(160),""))),0),TRIM(SUBSTITUTE(V24,CHAR(160),""))="Devis 2",IFERROR(VALUE(TRIM(SUBSTITUTE(R24,CHAR(160),""))),0),TRIM(SUBSTITUTE(V24,CHAR(160),""))="Devis 3",IFERROR(VALUE(TRIM(SUBSTITUTE(U24,CHAR(160),""))),0),TRUE,0))=0,"",_xlfn.IFS(TRIM(SUBSTITUTE(V24,CHAR(160),""))="Devis 1",IFERROR(VALUE(TRIM(SUBSTITUTE(O24,CHAR(160),""))),0),TRIM(SUBSTITUTE(V24,CHAR(160),""))="Devis 2",IFERROR(VALUE(TRIM(SUBSTITUTE(R24,CHAR(160),""))),0),TRIM(SUBSTITUTE(V24,CHAR(160),""))="Devis 3",IFERROR(VALUE(TRIM(SUBSTITUTE(U24,CHAR(160),""))),0),TRUE,0))</f>
        <v/>
      </c>
      <c r="Z24" s="850"/>
      <c r="AA24" s="817" t="str" cm="1">
        <f t="array" ref="AA24">IF(Z24="","",_xlfn.IFS(Z24=$BZ$5,70,Z24=$BZ$6,90,Z24=$BZ$7,70,Z24=$BZ$8,90,Z24=$BZ$9,110))</f>
        <v/>
      </c>
      <c r="AB24" s="627"/>
      <c r="AC24" s="817" t="str" cm="1">
        <f t="array" ref="AC24">IF(Z24="","",_xlfn.IFS(Z24=$BZ$5,15.75,Z24=$BZ$6,21,Z24=$BZ$7,15.25,Z24=$BZ$8,15.25,Z24=$BZ$9,15.25))</f>
        <v/>
      </c>
      <c r="AD24" s="818"/>
      <c r="AE24" s="830">
        <f t="shared" si="34"/>
        <v>0</v>
      </c>
      <c r="AF24" s="819" t="str">
        <f t="shared" si="35"/>
        <v/>
      </c>
      <c r="AG24" s="26"/>
      <c r="AH24" s="466" t="str">
        <f t="shared" si="2"/>
        <v/>
      </c>
      <c r="AI24" s="1414" t="str">
        <f t="shared" si="21"/>
        <v/>
      </c>
      <c r="AJ24" s="452" t="str">
        <f t="shared" si="4"/>
        <v/>
      </c>
      <c r="AK24" s="28"/>
      <c r="AL24" s="664" t="str">
        <f t="shared" si="5"/>
        <v/>
      </c>
      <c r="AM24" s="452" t="str">
        <f t="shared" si="6"/>
        <v/>
      </c>
      <c r="AN24" s="452" t="str">
        <f t="shared" si="22"/>
        <v/>
      </c>
      <c r="AO24" s="452" t="str">
        <f t="shared" si="23"/>
        <v/>
      </c>
      <c r="AP24" s="452" t="str">
        <f t="shared" si="24"/>
        <v/>
      </c>
      <c r="AQ24" s="452" t="str">
        <f t="shared" si="7"/>
        <v/>
      </c>
      <c r="AR24" s="478" t="str">
        <f t="shared" si="8"/>
        <v/>
      </c>
      <c r="AS24" s="453" t="str">
        <f t="shared" si="9"/>
        <v/>
      </c>
      <c r="AT24" s="479" t="str">
        <f t="shared" si="29"/>
        <v/>
      </c>
      <c r="AU24" s="453" t="str">
        <f t="shared" si="10"/>
        <v/>
      </c>
      <c r="AV24" s="453" t="str">
        <f t="shared" si="30"/>
        <v/>
      </c>
      <c r="AW24" s="480" t="str">
        <f t="shared" si="25"/>
        <v/>
      </c>
      <c r="AX24" s="453" t="str">
        <f t="shared" si="11"/>
        <v/>
      </c>
      <c r="AY24" s="453" t="str">
        <f t="shared" si="12"/>
        <v/>
      </c>
      <c r="AZ24" s="480" t="str">
        <f t="shared" si="26"/>
        <v/>
      </c>
      <c r="BA24" s="424" t="str">
        <f t="shared" si="13"/>
        <v/>
      </c>
      <c r="BB24" s="454"/>
      <c r="BC24" s="424" t="str">
        <f t="shared" si="14"/>
        <v/>
      </c>
      <c r="BD24" s="424" t="str">
        <f t="shared" si="15"/>
        <v/>
      </c>
      <c r="BE24" s="424" t="str">
        <f t="shared" si="27"/>
        <v/>
      </c>
      <c r="BF24" s="455" t="str" cm="1">
        <f t="array" ref="BF24">IF(AR24="","",IF((IFERROR(_xlfn.IFS($BA24="Devis 1",(IFERROR(VALUE(TRIM(SUBSTITUTE(AR24,CHAR(160),""))),0)),$BA24="Devis 2",(IFERROR(VALUE(TRIM(SUBSTITUTE(AU24,CHAR(160),""))),0)),$BA24="Devis 3",(IFERROR(VALUE(TRIM(SUBSTITUTE(AX24,CHAR(160),""))),0))),0))=0,"",(IFERROR(_xlfn.IFS($BA24="Devis 1",(IFERROR(VALUE(TRIM(SUBSTITUTE(AR24,CHAR(160),""))),0)),$BA24="Devis 2",(IFERROR(VALUE(TRIM(SUBSTITUTE(AU24,CHAR(160),""))),0)),$BA24="Devis 3",(IFERROR(VALUE(TRIM(SUBSTITUTE(AX24,CHAR(160),""))),0))),0))))</f>
        <v/>
      </c>
      <c r="BG24" s="455" t="str" cm="1">
        <f t="array" ref="BG24">IF(AS24="","",IF((IFERROR(_xlfn.IFS($BA24="Devis 1",(IFERROR(VALUE(TRIM(SUBSTITUTE(AS24,CHAR(160),""))),0)),$BA24="Devis 2",(IFERROR(VALUE(TRIM(SUBSTITUTE(AV24,CHAR(160),""))),0)),$BA24="Devis 3",(IFERROR(VALUE(TRIM(SUBSTITUTE(AY24,CHAR(160),""))),0))),0))=0,"",(IFERROR(_xlfn.IFS($BA24="Devis 1",(IFERROR(VALUE(TRIM(SUBSTITUTE(AS24,CHAR(160),""))),0)),$BA24="Devis 2",(IFERROR(VALUE(TRIM(SUBSTITUTE(AV24,CHAR(160),""))),0)),$BA24="Devis 3",(IFERROR(VALUE(TRIM(SUBSTITUTE(AY24,CHAR(160),""))),0))),0))))</f>
        <v/>
      </c>
      <c r="BH24" s="826" t="str" cm="1">
        <f t="array" ref="BH24">IF(AT24="","",IF(IFERROR(_xlfn.IFS($BA24="Devis 1",IFERROR(VALUE(TRIM(SUBSTITUTE(AT24,CHAR(160),""))),0),$BA24="Devis 2",IFERROR(VALUE(TRIM(SUBSTITUTE(AW24,CHAR(160),""))),0),$BA24="Devis 3",IFERROR(VALUE(TRIM(SUBSTITUTE(AZ24,CHAR(160),""))),0)),0)=0,"",IFERROR(_xlfn.IFS($BA24="Devis 1",IFERROR(VALUE(TRIM(SUBSTITUTE(AT24,CHAR(160),""))),0),$BA24="Devis 2",IFERROR(VALUE(TRIM(SUBSTITUTE(AW24,CHAR(160),""))),0),$BA24="Devis 3",IFERROR(VALUE(TRIM(SUBSTITUTE(AZ24,CHAR(160),""))),0)),0)))</f>
        <v/>
      </c>
      <c r="BI24" s="832" t="str">
        <f t="shared" si="28"/>
        <v/>
      </c>
      <c r="BJ24" s="455"/>
      <c r="BK24" s="831"/>
      <c r="BL24" s="455"/>
      <c r="BM24" s="831"/>
      <c r="BN24" s="830">
        <f t="shared" si="31"/>
        <v>0</v>
      </c>
      <c r="BO24" s="676" t="str">
        <f t="shared" si="17"/>
        <v/>
      </c>
      <c r="BP24" s="1330"/>
      <c r="BQ24" s="216" t="str" cm="1">
        <f t="array" ref="BQ24">IF(OR(BH24="",BE24="",BF24="",BC24="",BG24="",BD24=""),"",_xlfn.IFS(
ROUND(IFERROR(VALUE(TRIM(SUBSTITUTE(BH24,CHAR(160),""))),0),2)&gt;
ROUND(IFERROR(VALUE(TRIM(SUBSTITUTE(BE24,CHAR(160),""))),0),2),
"KO : Le montant retenu TTC est supérieur au montant raisonnable TTC. Merci de revoir la ligne de dépense ou plafonner son montant.",
ROUND(IFERROR(VALUE(TRIM(SUBSTITUTE(BF24,CHAR(160),""))),0),2)&gt;
ROUND(IFERROR(VALUE(TRIM(SUBSTITUTE(BC24,CHAR(160),""))),0),2),
"Attention : Le montant retenu HT est supérieur au montant HT raisonnable. Merci de revoir la ligne de dépense, plafonner son montant, ou justifier la reventillation HT / TVA.",
ROUND(IFERROR(VALUE(TRIM(SUBSTITUTE(BG24,CHAR(160),""))),0),2)&gt;
ROUND(IFERROR(VALUE(TRIM(SUBSTITUTE(BD24,CHAR(160),""))),0),2),
"Attention : Le montant TVA retenu est supérieur au montant TVA raisonnable. Merci de revoir la ligne de dépense, plafonner son montant, ou justifier la reventillation HT / TVA.",
ROUND(IFERROR(VALUE(TRIM(SUBSTITUTE(BH24,CHAR(160),""))),0),2)&gt;
ROUND(IFERROR(VALUE(TRIM(SUBSTITUTE(MIN(O24,R24,U24),CHAR(160),""))),0),2),
"Attention : Le devis retenu n'est pas le moins cher. Une justification de la part du porteur est nécessaire.",
ROUND(IFERROR(VALUE(TRIM(SUBSTITUTE(BH24,CHAR(160),""))),0),2)=0,
"Attention : montant présenté entièrement écarté",
ROUND(IFERROR(VALUE(TRIM(SUBSTITUTE(BE24,CHAR(160),""))),0),2)=
ROUND(IFERROR(VALUE(TRIM(SUBSTITUTE(BH24,CHAR(160),""))),0),2),
"OK",
ROUND(IFERROR(VALUE(TRIM(SUBSTITUTE(BE24,CHAR(160),""))),0),2)&gt;
ROUND(IFERROR(VALUE(TRIM(SUBSTITUTE(BH24,CHAR(160),""))),0),2),
" OK : Montant instruit inférieur au montant raisonnable.",
TRUE,""
))</f>
        <v/>
      </c>
      <c r="BR24" s="216" t="str" cm="1">
        <f t="array" ref="BR24">IF(OR(BH24="",Y24="",BF24="",W24="",BG24="",X24=""),"",_xlfn.IFS(
ROUND(IFERROR(VALUE(TRIM(SUBSTITUTE(BH24,CHAR(160),""))),0),2)&gt;
ROUND(IFERROR(VALUE(TRIM(SUBSTITUTE(Y24,CHAR(160),""))),0),2),
"KO : Le montant retenu TTC est supérieur au montant présenté TTC. Merci de revoir la ligne de dépense ou plafonner son montant.",
ROUND(IFERROR(VALUE(TRIM(SUBSTITUTE(BF24,CHAR(160),""))),0),2)&gt;
ROUND(IFERROR(VALUE(TRIM(SUBSTITUTE(W24,CHAR(160),""))),0),2),
"Attention : Le montant retenu HT est supérieur au montant HT présenté. Merci de revoir la ligne de dépense, plafonner son montant, ou justifier la reventillation HT / TVA.",
ROUND(IFERROR(VALUE(TRIM(SUBSTITUTE(BG24,CHAR(160),""))),0),2)&gt;
ROUND(IFERROR(VALUE(TRIM(SUBSTITUTE(X24,CHAR(160),""))),0),2),
"Attention : Le montant TVA retenu est supérieur au montant TVA présenté. Merci de revoir la ligne de dépense, plafonner son montant, ou justifier la reventillation HT / TVA.",
ROUND(IFERROR(VALUE(TRIM(SUBSTITUTE(Y24,CHAR(160),""))),0),2)=0,
"",
ROUND(IFERROR(VALUE(TRIM(SUBSTITUTE(BH24,CHAR(160),""))),0),2)=
ROUND(IFERROR(VALUE(TRIM(SUBSTITUTE(Y24,CHAR(160),""))),0),2),
"OK",
ROUND(IFERROR(VALUE(TRIM(SUBSTITUTE(BH24,CHAR(160),""))),0),2)=0,
"Attention : Montant présenté entièrement rejeté.",
ROUND(IFERROR(VALUE(TRIM(SUBSTITUTE(BH24,CHAR(160),""))),0),2)&lt;
ROUND(IFERROR(VALUE(TRIM(SUBSTITUTE(Y24,CHAR(160),""))),0),2),
"Attention : Montant présenté partiellement rejeté.",
TRUE,""
))</f>
        <v/>
      </c>
      <c r="BS24" s="1331" t="str" cm="1">
        <f t="array" ref="BS24">IF(OR(BN24="",AE24=""),"",_xlfn.IFS(
ROUND(IFERROR(VALUE(TRIM(SUBSTITUTE(BN24,CHAR(160),""))),0),2)&gt;
ROUND(IFERROR(VALUE(TRIM(SUBSTITUTE(AE24,CHAR(160),""))),0),2),
"KO : Le montant retenu est supérieur au montant présenté. Merci de revoir la ligne de contributions ou plafonner son montant.",
ROUND(IFERROR(VALUE(TRIM(SUBSTITUTE(AE24,CHAR(160),""))),0),2)=0,
"",
ROUND(IFERROR(VALUE(TRIM(SUBSTITUTE(BN24,CHAR(160),""))),0),2)=
ROUND(IFERROR(VALUE(TRIM(SUBSTITUTE(AE24,CHAR(160),""))),0),2),
"OK",
ROUND(IFERROR(VALUE(TRIM(SUBSTITUTE(BN24,CHAR(160),""))),0),2)=0,
"Attention : Montant présenté entièrement rejeté.",
ROUND(IFERROR(VALUE(TRIM(SUBSTITUTE(BN24,CHAR(160),""))),0),2)&lt;
ROUND(IFERROR(VALUE(TRIM(SUBSTITUTE(AE24,CHAR(160),""))),0),2),
"Attention : Montant présenté partiellement rejeté.",
TRUE,""
))</f>
        <v/>
      </c>
      <c r="BT24" s="674" t="str">
        <f t="shared" si="18"/>
        <v/>
      </c>
      <c r="BU24" s="673" t="str">
        <f t="shared" si="19"/>
        <v/>
      </c>
      <c r="BV24" s="1351" t="str">
        <f t="shared" si="20"/>
        <v/>
      </c>
    </row>
    <row r="25" spans="2:74" ht="14.1" customHeight="1">
      <c r="B25" s="498">
        <v>16</v>
      </c>
      <c r="C25" s="119"/>
      <c r="D25" s="11"/>
      <c r="E25" s="6"/>
      <c r="F25" s="28"/>
      <c r="G25" s="6"/>
      <c r="H25" s="6"/>
      <c r="I25" s="30"/>
      <c r="J25" s="30"/>
      <c r="K25" s="30"/>
      <c r="L25" s="31"/>
      <c r="M25" s="440"/>
      <c r="N25" s="33"/>
      <c r="O25" s="321" t="str">
        <f t="shared" si="32"/>
        <v/>
      </c>
      <c r="P25" s="32"/>
      <c r="Q25" s="33"/>
      <c r="R25" s="299" t="str">
        <f t="shared" si="33"/>
        <v/>
      </c>
      <c r="S25" s="34"/>
      <c r="T25" s="33"/>
      <c r="U25" s="299" t="str">
        <f t="shared" si="1"/>
        <v/>
      </c>
      <c r="V25" s="439"/>
      <c r="W25" s="441" t="str" cm="1">
        <f t="array" ref="W25">IF((_xlfn.IFS(TRIM(SUBSTITUTE(V25,CHAR(160),""))="Devis 1",IFERROR(VALUE(TRIM(SUBSTITUTE(M25,CHAR(160),""))),0),TRIM(SUBSTITUTE(V25,CHAR(160),""))="Devis 2",IFERROR(VALUE(TRIM(SUBSTITUTE(P25,CHAR(160),""))),0),TRIM(SUBSTITUTE(V25,CHAR(160),""))="Devis 3",IFERROR(VALUE(TRIM(SUBSTITUTE(S25,CHAR(160),""))),0),TRUE,0))=0,"",_xlfn.IFS(TRIM(SUBSTITUTE(V25,CHAR(160),""))="Devis 1",IFERROR(VALUE(TRIM(SUBSTITUTE(M25,CHAR(160),""))),0),TRIM(SUBSTITUTE(V25,CHAR(160),""))="Devis 2",IFERROR(VALUE(TRIM(SUBSTITUTE(P25,CHAR(160),""))),0),TRIM(SUBSTITUTE(V25,CHAR(160),""))="Devis 3",IFERROR(VALUE(TRIM(SUBSTITUTE(S25,CHAR(160),""))),0),TRUE,0))</f>
        <v/>
      </c>
      <c r="X25" s="441" t="str" cm="1">
        <f t="array" ref="X25">IF((_xlfn.IFS(TRIM(SUBSTITUTE(V25,CHAR(160),""))="Devis 1",IFERROR(VALUE(TRIM(SUBSTITUTE(N25,CHAR(160),""))),0),TRIM(SUBSTITUTE(V25,CHAR(160),""))="Devis 2",IFERROR(VALUE(TRIM(SUBSTITUTE(Q25,CHAR(160),""))),0),TRIM(SUBSTITUTE(V25,CHAR(160),""))="Devis 3",IFERROR(VALUE(TRIM(SUBSTITUTE(T25,CHAR(160),""))),0),TRUE,0))=0,"",_xlfn.IFS(TRIM(SUBSTITUTE(V25,CHAR(160),""))="Devis 1",IFERROR(VALUE(TRIM(SUBSTITUTE(N25,CHAR(160),""))),0),TRIM(SUBSTITUTE(V25,CHAR(160),""))="Devis 2",IFERROR(VALUE(TRIM(SUBSTITUTE(Q25,CHAR(160),""))),0),TRIM(SUBSTITUTE(V25,CHAR(160),""))="Devis 3",IFERROR(VALUE(TRIM(SUBSTITUTE(T25,CHAR(160),""))),0),TRUE,0))</f>
        <v/>
      </c>
      <c r="Y25" s="815" t="str" cm="1">
        <f t="array" ref="Y25">IF((_xlfn.IFS(TRIM(SUBSTITUTE(V25,CHAR(160),""))="Devis 1",IFERROR(VALUE(TRIM(SUBSTITUTE(O25,CHAR(160),""))),0),TRIM(SUBSTITUTE(V25,CHAR(160),""))="Devis 2",IFERROR(VALUE(TRIM(SUBSTITUTE(R25,CHAR(160),""))),0),TRIM(SUBSTITUTE(V25,CHAR(160),""))="Devis 3",IFERROR(VALUE(TRIM(SUBSTITUTE(U25,CHAR(160),""))),0),TRUE,0))=0,"",_xlfn.IFS(TRIM(SUBSTITUTE(V25,CHAR(160),""))="Devis 1",IFERROR(VALUE(TRIM(SUBSTITUTE(O25,CHAR(160),""))),0),TRIM(SUBSTITUTE(V25,CHAR(160),""))="Devis 2",IFERROR(VALUE(TRIM(SUBSTITUTE(R25,CHAR(160),""))),0),TRIM(SUBSTITUTE(V25,CHAR(160),""))="Devis 3",IFERROR(VALUE(TRIM(SUBSTITUTE(U25,CHAR(160),""))),0),TRUE,0))</f>
        <v/>
      </c>
      <c r="Z25" s="850"/>
      <c r="AA25" s="817" t="str" cm="1">
        <f t="array" ref="AA25">IF(Z25="","",_xlfn.IFS(Z25=$BZ$5,70,Z25=$BZ$6,90,Z25=$BZ$7,70,Z25=$BZ$8,90,Z25=$BZ$9,110))</f>
        <v/>
      </c>
      <c r="AB25" s="627"/>
      <c r="AC25" s="817" t="str" cm="1">
        <f t="array" ref="AC25">IF(Z25="","",_xlfn.IFS(Z25=$BZ$5,15.75,Z25=$BZ$6,21,Z25=$BZ$7,15.25,Z25=$BZ$8,15.25,Z25=$BZ$9,15.25))</f>
        <v/>
      </c>
      <c r="AD25" s="818"/>
      <c r="AE25" s="830">
        <f t="shared" si="34"/>
        <v>0</v>
      </c>
      <c r="AF25" s="819" t="str">
        <f t="shared" si="35"/>
        <v/>
      </c>
      <c r="AG25" s="26"/>
      <c r="AH25" s="466" t="str">
        <f t="shared" si="2"/>
        <v/>
      </c>
      <c r="AI25" s="1414" t="str">
        <f t="shared" si="21"/>
        <v/>
      </c>
      <c r="AJ25" s="452" t="str">
        <f t="shared" si="4"/>
        <v/>
      </c>
      <c r="AK25" s="28"/>
      <c r="AL25" s="664" t="str">
        <f t="shared" si="5"/>
        <v/>
      </c>
      <c r="AM25" s="452" t="str">
        <f t="shared" si="6"/>
        <v/>
      </c>
      <c r="AN25" s="452" t="str">
        <f t="shared" si="22"/>
        <v/>
      </c>
      <c r="AO25" s="452" t="str">
        <f t="shared" si="23"/>
        <v/>
      </c>
      <c r="AP25" s="452" t="str">
        <f t="shared" si="24"/>
        <v/>
      </c>
      <c r="AQ25" s="452" t="str">
        <f t="shared" si="7"/>
        <v/>
      </c>
      <c r="AR25" s="478" t="str">
        <f t="shared" si="8"/>
        <v/>
      </c>
      <c r="AS25" s="453" t="str">
        <f t="shared" si="9"/>
        <v/>
      </c>
      <c r="AT25" s="479" t="str">
        <f t="shared" si="29"/>
        <v/>
      </c>
      <c r="AU25" s="453" t="str">
        <f t="shared" si="10"/>
        <v/>
      </c>
      <c r="AV25" s="453" t="str">
        <f t="shared" si="30"/>
        <v/>
      </c>
      <c r="AW25" s="480" t="str">
        <f t="shared" si="25"/>
        <v/>
      </c>
      <c r="AX25" s="453" t="str">
        <f t="shared" si="11"/>
        <v/>
      </c>
      <c r="AY25" s="453" t="str">
        <f t="shared" si="12"/>
        <v/>
      </c>
      <c r="AZ25" s="480" t="str">
        <f t="shared" si="26"/>
        <v/>
      </c>
      <c r="BA25" s="424" t="str">
        <f t="shared" si="13"/>
        <v/>
      </c>
      <c r="BB25" s="454"/>
      <c r="BC25" s="424" t="str">
        <f t="shared" si="14"/>
        <v/>
      </c>
      <c r="BD25" s="424" t="str">
        <f t="shared" si="15"/>
        <v/>
      </c>
      <c r="BE25" s="424" t="str">
        <f t="shared" si="27"/>
        <v/>
      </c>
      <c r="BF25" s="455" t="str" cm="1">
        <f t="array" ref="BF25">IF(AR25="","",IF((IFERROR(_xlfn.IFS($BA25="Devis 1",(IFERROR(VALUE(TRIM(SUBSTITUTE(AR25,CHAR(160),""))),0)),$BA25="Devis 2",(IFERROR(VALUE(TRIM(SUBSTITUTE(AU25,CHAR(160),""))),0)),$BA25="Devis 3",(IFERROR(VALUE(TRIM(SUBSTITUTE(AX25,CHAR(160),""))),0))),0))=0,"",(IFERROR(_xlfn.IFS($BA25="Devis 1",(IFERROR(VALUE(TRIM(SUBSTITUTE(AR25,CHAR(160),""))),0)),$BA25="Devis 2",(IFERROR(VALUE(TRIM(SUBSTITUTE(AU25,CHAR(160),""))),0)),$BA25="Devis 3",(IFERROR(VALUE(TRIM(SUBSTITUTE(AX25,CHAR(160),""))),0))),0))))</f>
        <v/>
      </c>
      <c r="BG25" s="455" t="str" cm="1">
        <f t="array" ref="BG25">IF(AS25="","",IF((IFERROR(_xlfn.IFS($BA25="Devis 1",(IFERROR(VALUE(TRIM(SUBSTITUTE(AS25,CHAR(160),""))),0)),$BA25="Devis 2",(IFERROR(VALUE(TRIM(SUBSTITUTE(AV25,CHAR(160),""))),0)),$BA25="Devis 3",(IFERROR(VALUE(TRIM(SUBSTITUTE(AY25,CHAR(160),""))),0))),0))=0,"",(IFERROR(_xlfn.IFS($BA25="Devis 1",(IFERROR(VALUE(TRIM(SUBSTITUTE(AS25,CHAR(160),""))),0)),$BA25="Devis 2",(IFERROR(VALUE(TRIM(SUBSTITUTE(AV25,CHAR(160),""))),0)),$BA25="Devis 3",(IFERROR(VALUE(TRIM(SUBSTITUTE(AY25,CHAR(160),""))),0))),0))))</f>
        <v/>
      </c>
      <c r="BH25" s="826" t="str" cm="1">
        <f t="array" ref="BH25">IF(AT25="","",IF(IFERROR(_xlfn.IFS($BA25="Devis 1",IFERROR(VALUE(TRIM(SUBSTITUTE(AT25,CHAR(160),""))),0),$BA25="Devis 2",IFERROR(VALUE(TRIM(SUBSTITUTE(AW25,CHAR(160),""))),0),$BA25="Devis 3",IFERROR(VALUE(TRIM(SUBSTITUTE(AZ25,CHAR(160),""))),0)),0)=0,"",IFERROR(_xlfn.IFS($BA25="Devis 1",IFERROR(VALUE(TRIM(SUBSTITUTE(AT25,CHAR(160),""))),0),$BA25="Devis 2",IFERROR(VALUE(TRIM(SUBSTITUTE(AW25,CHAR(160),""))),0),$BA25="Devis 3",IFERROR(VALUE(TRIM(SUBSTITUTE(AZ25,CHAR(160),""))),0)),0)))</f>
        <v/>
      </c>
      <c r="BI25" s="832" t="str">
        <f t="shared" si="28"/>
        <v/>
      </c>
      <c r="BJ25" s="455"/>
      <c r="BK25" s="831"/>
      <c r="BL25" s="455"/>
      <c r="BM25" s="831"/>
      <c r="BN25" s="830">
        <f t="shared" si="31"/>
        <v>0</v>
      </c>
      <c r="BO25" s="676" t="str">
        <f t="shared" si="17"/>
        <v/>
      </c>
      <c r="BP25" s="1330"/>
      <c r="BQ25" s="216" t="str" cm="1">
        <f t="array" ref="BQ25">IF(OR(BH25="",BE25="",BF25="",BC25="",BG25="",BD25=""),"",_xlfn.IFS(
ROUND(IFERROR(VALUE(TRIM(SUBSTITUTE(BH25,CHAR(160),""))),0),2)&gt;
ROUND(IFERROR(VALUE(TRIM(SUBSTITUTE(BE25,CHAR(160),""))),0),2),
"KO : Le montant retenu TTC est supérieur au montant raisonnable TTC. Merci de revoir la ligne de dépense ou plafonner son montant.",
ROUND(IFERROR(VALUE(TRIM(SUBSTITUTE(BF25,CHAR(160),""))),0),2)&gt;
ROUND(IFERROR(VALUE(TRIM(SUBSTITUTE(BC25,CHAR(160),""))),0),2),
"Attention : Le montant retenu HT est supérieur au montant HT raisonnable. Merci de revoir la ligne de dépense, plafonner son montant, ou justifier la reventillation HT / TVA.",
ROUND(IFERROR(VALUE(TRIM(SUBSTITUTE(BG25,CHAR(160),""))),0),2)&gt;
ROUND(IFERROR(VALUE(TRIM(SUBSTITUTE(BD25,CHAR(160),""))),0),2),
"Attention : Le montant TVA retenu est supérieur au montant TVA raisonnable. Merci de revoir la ligne de dépense, plafonner son montant, ou justifier la reventillation HT / TVA.",
ROUND(IFERROR(VALUE(TRIM(SUBSTITUTE(BH25,CHAR(160),""))),0),2)&gt;
ROUND(IFERROR(VALUE(TRIM(SUBSTITUTE(MIN(O25,R25,U25),CHAR(160),""))),0),2),
"Attention : Le devis retenu n'est pas le moins cher. Une justification de la part du porteur est nécessaire.",
ROUND(IFERROR(VALUE(TRIM(SUBSTITUTE(BH25,CHAR(160),""))),0),2)=0,
"Attention : montant présenté entièrement écarté",
ROUND(IFERROR(VALUE(TRIM(SUBSTITUTE(BE25,CHAR(160),""))),0),2)=
ROUND(IFERROR(VALUE(TRIM(SUBSTITUTE(BH25,CHAR(160),""))),0),2),
"OK",
ROUND(IFERROR(VALUE(TRIM(SUBSTITUTE(BE25,CHAR(160),""))),0),2)&gt;
ROUND(IFERROR(VALUE(TRIM(SUBSTITUTE(BH25,CHAR(160),""))),0),2),
" OK : Montant instruit inférieur au montant raisonnable.",
TRUE,""
))</f>
        <v/>
      </c>
      <c r="BR25" s="216" t="str" cm="1">
        <f t="array" ref="BR25">IF(OR(BH25="",Y25="",BF25="",W25="",BG25="",X25=""),"",_xlfn.IFS(
ROUND(IFERROR(VALUE(TRIM(SUBSTITUTE(BH25,CHAR(160),""))),0),2)&gt;
ROUND(IFERROR(VALUE(TRIM(SUBSTITUTE(Y25,CHAR(160),""))),0),2),
"KO : Le montant retenu TTC est supérieur au montant présenté TTC. Merci de revoir la ligne de dépense ou plafonner son montant.",
ROUND(IFERROR(VALUE(TRIM(SUBSTITUTE(BF25,CHAR(160),""))),0),2)&gt;
ROUND(IFERROR(VALUE(TRIM(SUBSTITUTE(W25,CHAR(160),""))),0),2),
"Attention : Le montant retenu HT est supérieur au montant HT présenté. Merci de revoir la ligne de dépense, plafonner son montant, ou justifier la reventillation HT / TVA.",
ROUND(IFERROR(VALUE(TRIM(SUBSTITUTE(BG25,CHAR(160),""))),0),2)&gt;
ROUND(IFERROR(VALUE(TRIM(SUBSTITUTE(X25,CHAR(160),""))),0),2),
"Attention : Le montant TVA retenu est supérieur au montant TVA présenté. Merci de revoir la ligne de dépense, plafonner son montant, ou justifier la reventillation HT / TVA.",
ROUND(IFERROR(VALUE(TRIM(SUBSTITUTE(Y25,CHAR(160),""))),0),2)=0,
"",
ROUND(IFERROR(VALUE(TRIM(SUBSTITUTE(BH25,CHAR(160),""))),0),2)=
ROUND(IFERROR(VALUE(TRIM(SUBSTITUTE(Y25,CHAR(160),""))),0),2),
"OK",
ROUND(IFERROR(VALUE(TRIM(SUBSTITUTE(BH25,CHAR(160),""))),0),2)=0,
"Attention : Montant présenté entièrement rejeté.",
ROUND(IFERROR(VALUE(TRIM(SUBSTITUTE(BH25,CHAR(160),""))),0),2)&lt;
ROUND(IFERROR(VALUE(TRIM(SUBSTITUTE(Y25,CHAR(160),""))),0),2),
"Attention : Montant présenté partiellement rejeté.",
TRUE,""
))</f>
        <v/>
      </c>
      <c r="BS25" s="1331" t="str" cm="1">
        <f t="array" ref="BS25">IF(OR(BN25="",AE25=""),"",_xlfn.IFS(
ROUND(IFERROR(VALUE(TRIM(SUBSTITUTE(BN25,CHAR(160),""))),0),2)&gt;
ROUND(IFERROR(VALUE(TRIM(SUBSTITUTE(AE25,CHAR(160),""))),0),2),
"KO : Le montant retenu est supérieur au montant présenté. Merci de revoir la ligne de contributions ou plafonner son montant.",
ROUND(IFERROR(VALUE(TRIM(SUBSTITUTE(AE25,CHAR(160),""))),0),2)=0,
"",
ROUND(IFERROR(VALUE(TRIM(SUBSTITUTE(BN25,CHAR(160),""))),0),2)=
ROUND(IFERROR(VALUE(TRIM(SUBSTITUTE(AE25,CHAR(160),""))),0),2),
"OK",
ROUND(IFERROR(VALUE(TRIM(SUBSTITUTE(BN25,CHAR(160),""))),0),2)=0,
"Attention : Montant présenté entièrement rejeté.",
ROUND(IFERROR(VALUE(TRIM(SUBSTITUTE(BN25,CHAR(160),""))),0),2)&lt;
ROUND(IFERROR(VALUE(TRIM(SUBSTITUTE(AE25,CHAR(160),""))),0),2),
"Attention : Montant présenté partiellement rejeté.",
TRUE,""
))</f>
        <v/>
      </c>
      <c r="BT25" s="674" t="str">
        <f t="shared" si="18"/>
        <v/>
      </c>
      <c r="BU25" s="673" t="str">
        <f t="shared" si="19"/>
        <v/>
      </c>
      <c r="BV25" s="1351" t="str">
        <f t="shared" si="20"/>
        <v/>
      </c>
    </row>
    <row r="26" spans="2:74" ht="14.1" customHeight="1">
      <c r="B26" s="498">
        <v>17</v>
      </c>
      <c r="C26" s="119"/>
      <c r="D26" s="11"/>
      <c r="E26" s="6"/>
      <c r="F26" s="28"/>
      <c r="G26" s="6"/>
      <c r="H26" s="6"/>
      <c r="I26" s="30"/>
      <c r="J26" s="30"/>
      <c r="K26" s="30"/>
      <c r="L26" s="31"/>
      <c r="M26" s="440"/>
      <c r="N26" s="33"/>
      <c r="O26" s="321" t="str">
        <f t="shared" si="32"/>
        <v/>
      </c>
      <c r="P26" s="32"/>
      <c r="Q26" s="33"/>
      <c r="R26" s="299" t="str">
        <f t="shared" si="33"/>
        <v/>
      </c>
      <c r="S26" s="34"/>
      <c r="T26" s="33"/>
      <c r="U26" s="299" t="str">
        <f t="shared" si="1"/>
        <v/>
      </c>
      <c r="V26" s="439"/>
      <c r="W26" s="441" t="str" cm="1">
        <f t="array" ref="W26">IF((_xlfn.IFS(TRIM(SUBSTITUTE(V26,CHAR(160),""))="Devis 1",IFERROR(VALUE(TRIM(SUBSTITUTE(M26,CHAR(160),""))),0),TRIM(SUBSTITUTE(V26,CHAR(160),""))="Devis 2",IFERROR(VALUE(TRIM(SUBSTITUTE(P26,CHAR(160),""))),0),TRIM(SUBSTITUTE(V26,CHAR(160),""))="Devis 3",IFERROR(VALUE(TRIM(SUBSTITUTE(S26,CHAR(160),""))),0),TRUE,0))=0,"",_xlfn.IFS(TRIM(SUBSTITUTE(V26,CHAR(160),""))="Devis 1",IFERROR(VALUE(TRIM(SUBSTITUTE(M26,CHAR(160),""))),0),TRIM(SUBSTITUTE(V26,CHAR(160),""))="Devis 2",IFERROR(VALUE(TRIM(SUBSTITUTE(P26,CHAR(160),""))),0),TRIM(SUBSTITUTE(V26,CHAR(160),""))="Devis 3",IFERROR(VALUE(TRIM(SUBSTITUTE(S26,CHAR(160),""))),0),TRUE,0))</f>
        <v/>
      </c>
      <c r="X26" s="441" t="str" cm="1">
        <f t="array" ref="X26">IF((_xlfn.IFS(TRIM(SUBSTITUTE(V26,CHAR(160),""))="Devis 1",IFERROR(VALUE(TRIM(SUBSTITUTE(N26,CHAR(160),""))),0),TRIM(SUBSTITUTE(V26,CHAR(160),""))="Devis 2",IFERROR(VALUE(TRIM(SUBSTITUTE(Q26,CHAR(160),""))),0),TRIM(SUBSTITUTE(V26,CHAR(160),""))="Devis 3",IFERROR(VALUE(TRIM(SUBSTITUTE(T26,CHAR(160),""))),0),TRUE,0))=0,"",_xlfn.IFS(TRIM(SUBSTITUTE(V26,CHAR(160),""))="Devis 1",IFERROR(VALUE(TRIM(SUBSTITUTE(N26,CHAR(160),""))),0),TRIM(SUBSTITUTE(V26,CHAR(160),""))="Devis 2",IFERROR(VALUE(TRIM(SUBSTITUTE(Q26,CHAR(160),""))),0),TRIM(SUBSTITUTE(V26,CHAR(160),""))="Devis 3",IFERROR(VALUE(TRIM(SUBSTITUTE(T26,CHAR(160),""))),0),TRUE,0))</f>
        <v/>
      </c>
      <c r="Y26" s="815" t="str" cm="1">
        <f t="array" ref="Y26">IF((_xlfn.IFS(TRIM(SUBSTITUTE(V26,CHAR(160),""))="Devis 1",IFERROR(VALUE(TRIM(SUBSTITUTE(O26,CHAR(160),""))),0),TRIM(SUBSTITUTE(V26,CHAR(160),""))="Devis 2",IFERROR(VALUE(TRIM(SUBSTITUTE(R26,CHAR(160),""))),0),TRIM(SUBSTITUTE(V26,CHAR(160),""))="Devis 3",IFERROR(VALUE(TRIM(SUBSTITUTE(U26,CHAR(160),""))),0),TRUE,0))=0,"",_xlfn.IFS(TRIM(SUBSTITUTE(V26,CHAR(160),""))="Devis 1",IFERROR(VALUE(TRIM(SUBSTITUTE(O26,CHAR(160),""))),0),TRIM(SUBSTITUTE(V26,CHAR(160),""))="Devis 2",IFERROR(VALUE(TRIM(SUBSTITUTE(R26,CHAR(160),""))),0),TRIM(SUBSTITUTE(V26,CHAR(160),""))="Devis 3",IFERROR(VALUE(TRIM(SUBSTITUTE(U26,CHAR(160),""))),0),TRUE,0))</f>
        <v/>
      </c>
      <c r="Z26" s="850"/>
      <c r="AA26" s="817" t="str" cm="1">
        <f t="array" ref="AA26">IF(Z26="","",_xlfn.IFS(Z26=$BZ$5,70,Z26=$BZ$6,90,Z26=$BZ$7,70,Z26=$BZ$8,90,Z26=$BZ$9,110))</f>
        <v/>
      </c>
      <c r="AB26" s="627"/>
      <c r="AC26" s="817" t="str" cm="1">
        <f t="array" ref="AC26">IF(Z26="","",_xlfn.IFS(Z26=$BZ$5,15.75,Z26=$BZ$6,21,Z26=$BZ$7,15.25,Z26=$BZ$8,15.25,Z26=$BZ$9,15.25))</f>
        <v/>
      </c>
      <c r="AD26" s="818"/>
      <c r="AE26" s="830">
        <f t="shared" si="34"/>
        <v>0</v>
      </c>
      <c r="AF26" s="819" t="str">
        <f t="shared" si="35"/>
        <v/>
      </c>
      <c r="AG26" s="26"/>
      <c r="AH26" s="466" t="str">
        <f t="shared" si="2"/>
        <v/>
      </c>
      <c r="AI26" s="1414" t="str">
        <f t="shared" si="21"/>
        <v/>
      </c>
      <c r="AJ26" s="452" t="str">
        <f t="shared" si="4"/>
        <v/>
      </c>
      <c r="AK26" s="28"/>
      <c r="AL26" s="664" t="str">
        <f t="shared" si="5"/>
        <v/>
      </c>
      <c r="AM26" s="452" t="str">
        <f t="shared" si="6"/>
        <v/>
      </c>
      <c r="AN26" s="452" t="str">
        <f t="shared" si="22"/>
        <v/>
      </c>
      <c r="AO26" s="452" t="str">
        <f t="shared" si="23"/>
        <v/>
      </c>
      <c r="AP26" s="452" t="str">
        <f t="shared" si="24"/>
        <v/>
      </c>
      <c r="AQ26" s="452" t="str">
        <f t="shared" si="7"/>
        <v/>
      </c>
      <c r="AR26" s="478" t="str">
        <f t="shared" si="8"/>
        <v/>
      </c>
      <c r="AS26" s="453" t="str">
        <f t="shared" si="9"/>
        <v/>
      </c>
      <c r="AT26" s="479" t="str">
        <f t="shared" si="29"/>
        <v/>
      </c>
      <c r="AU26" s="453" t="str">
        <f t="shared" si="10"/>
        <v/>
      </c>
      <c r="AV26" s="453" t="str">
        <f t="shared" si="30"/>
        <v/>
      </c>
      <c r="AW26" s="480" t="str">
        <f t="shared" si="25"/>
        <v/>
      </c>
      <c r="AX26" s="453" t="str">
        <f t="shared" si="11"/>
        <v/>
      </c>
      <c r="AY26" s="453" t="str">
        <f t="shared" si="12"/>
        <v/>
      </c>
      <c r="AZ26" s="480" t="str">
        <f t="shared" si="26"/>
        <v/>
      </c>
      <c r="BA26" s="424" t="str">
        <f t="shared" si="13"/>
        <v/>
      </c>
      <c r="BB26" s="454"/>
      <c r="BC26" s="424" t="str">
        <f t="shared" si="14"/>
        <v/>
      </c>
      <c r="BD26" s="424" t="str">
        <f t="shared" si="15"/>
        <v/>
      </c>
      <c r="BE26" s="424" t="str">
        <f t="shared" si="27"/>
        <v/>
      </c>
      <c r="BF26" s="455" t="str" cm="1">
        <f t="array" ref="BF26">IF(AR26="","",IF((IFERROR(_xlfn.IFS($BA26="Devis 1",(IFERROR(VALUE(TRIM(SUBSTITUTE(AR26,CHAR(160),""))),0)),$BA26="Devis 2",(IFERROR(VALUE(TRIM(SUBSTITUTE(AU26,CHAR(160),""))),0)),$BA26="Devis 3",(IFERROR(VALUE(TRIM(SUBSTITUTE(AX26,CHAR(160),""))),0))),0))=0,"",(IFERROR(_xlfn.IFS($BA26="Devis 1",(IFERROR(VALUE(TRIM(SUBSTITUTE(AR26,CHAR(160),""))),0)),$BA26="Devis 2",(IFERROR(VALUE(TRIM(SUBSTITUTE(AU26,CHAR(160),""))),0)),$BA26="Devis 3",(IFERROR(VALUE(TRIM(SUBSTITUTE(AX26,CHAR(160),""))),0))),0))))</f>
        <v/>
      </c>
      <c r="BG26" s="455" t="str" cm="1">
        <f t="array" ref="BG26">IF(AS26="","",IF((IFERROR(_xlfn.IFS($BA26="Devis 1",(IFERROR(VALUE(TRIM(SUBSTITUTE(AS26,CHAR(160),""))),0)),$BA26="Devis 2",(IFERROR(VALUE(TRIM(SUBSTITUTE(AV26,CHAR(160),""))),0)),$BA26="Devis 3",(IFERROR(VALUE(TRIM(SUBSTITUTE(AY26,CHAR(160),""))),0))),0))=0,"",(IFERROR(_xlfn.IFS($BA26="Devis 1",(IFERROR(VALUE(TRIM(SUBSTITUTE(AS26,CHAR(160),""))),0)),$BA26="Devis 2",(IFERROR(VALUE(TRIM(SUBSTITUTE(AV26,CHAR(160),""))),0)),$BA26="Devis 3",(IFERROR(VALUE(TRIM(SUBSTITUTE(AY26,CHAR(160),""))),0))),0))))</f>
        <v/>
      </c>
      <c r="BH26" s="826" t="str" cm="1">
        <f t="array" ref="BH26">IF(AT26="","",IF(IFERROR(_xlfn.IFS($BA26="Devis 1",IFERROR(VALUE(TRIM(SUBSTITUTE(AT26,CHAR(160),""))),0),$BA26="Devis 2",IFERROR(VALUE(TRIM(SUBSTITUTE(AW26,CHAR(160),""))),0),$BA26="Devis 3",IFERROR(VALUE(TRIM(SUBSTITUTE(AZ26,CHAR(160),""))),0)),0)=0,"",IFERROR(_xlfn.IFS($BA26="Devis 1",IFERROR(VALUE(TRIM(SUBSTITUTE(AT26,CHAR(160),""))),0),$BA26="Devis 2",IFERROR(VALUE(TRIM(SUBSTITUTE(AW26,CHAR(160),""))),0),$BA26="Devis 3",IFERROR(VALUE(TRIM(SUBSTITUTE(AZ26,CHAR(160),""))),0)),0)))</f>
        <v/>
      </c>
      <c r="BI26" s="832" t="str">
        <f t="shared" si="28"/>
        <v/>
      </c>
      <c r="BJ26" s="455"/>
      <c r="BK26" s="831"/>
      <c r="BL26" s="455"/>
      <c r="BM26" s="831"/>
      <c r="BN26" s="830">
        <f t="shared" si="31"/>
        <v>0</v>
      </c>
      <c r="BO26" s="676" t="str">
        <f t="shared" si="17"/>
        <v/>
      </c>
      <c r="BP26" s="1330"/>
      <c r="BQ26" s="216" t="str" cm="1">
        <f t="array" ref="BQ26">IF(OR(BH26="",BE26="",BF26="",BC26="",BG26="",BD26=""),"",_xlfn.IFS(
ROUND(IFERROR(VALUE(TRIM(SUBSTITUTE(BH26,CHAR(160),""))),0),2)&gt;
ROUND(IFERROR(VALUE(TRIM(SUBSTITUTE(BE26,CHAR(160),""))),0),2),
"KO : Le montant retenu TTC est supérieur au montant raisonnable TTC. Merci de revoir la ligne de dépense ou plafonner son montant.",
ROUND(IFERROR(VALUE(TRIM(SUBSTITUTE(BF26,CHAR(160),""))),0),2)&gt;
ROUND(IFERROR(VALUE(TRIM(SUBSTITUTE(BC26,CHAR(160),""))),0),2),
"Attention : Le montant retenu HT est supérieur au montant HT raisonnable. Merci de revoir la ligne de dépense, plafonner son montant, ou justifier la reventillation HT / TVA.",
ROUND(IFERROR(VALUE(TRIM(SUBSTITUTE(BG26,CHAR(160),""))),0),2)&gt;
ROUND(IFERROR(VALUE(TRIM(SUBSTITUTE(BD26,CHAR(160),""))),0),2),
"Attention : Le montant TVA retenu est supérieur au montant TVA raisonnable. Merci de revoir la ligne de dépense, plafonner son montant, ou justifier la reventillation HT / TVA.",
ROUND(IFERROR(VALUE(TRIM(SUBSTITUTE(BH26,CHAR(160),""))),0),2)&gt;
ROUND(IFERROR(VALUE(TRIM(SUBSTITUTE(MIN(O26,R26,U26),CHAR(160),""))),0),2),
"Attention : Le devis retenu n'est pas le moins cher. Une justification de la part du porteur est nécessaire.",
ROUND(IFERROR(VALUE(TRIM(SUBSTITUTE(BH26,CHAR(160),""))),0),2)=0,
"Attention : montant présenté entièrement écarté",
ROUND(IFERROR(VALUE(TRIM(SUBSTITUTE(BE26,CHAR(160),""))),0),2)=
ROUND(IFERROR(VALUE(TRIM(SUBSTITUTE(BH26,CHAR(160),""))),0),2),
"OK",
ROUND(IFERROR(VALUE(TRIM(SUBSTITUTE(BE26,CHAR(160),""))),0),2)&gt;
ROUND(IFERROR(VALUE(TRIM(SUBSTITUTE(BH26,CHAR(160),""))),0),2),
" OK : Montant instruit inférieur au montant raisonnable.",
TRUE,""
))</f>
        <v/>
      </c>
      <c r="BR26" s="216" t="str" cm="1">
        <f t="array" ref="BR26">IF(OR(BH26="",Y26="",BF26="",W26="",BG26="",X26=""),"",_xlfn.IFS(
ROUND(IFERROR(VALUE(TRIM(SUBSTITUTE(BH26,CHAR(160),""))),0),2)&gt;
ROUND(IFERROR(VALUE(TRIM(SUBSTITUTE(Y26,CHAR(160),""))),0),2),
"KO : Le montant retenu TTC est supérieur au montant présenté TTC. Merci de revoir la ligne de dépense ou plafonner son montant.",
ROUND(IFERROR(VALUE(TRIM(SUBSTITUTE(BF26,CHAR(160),""))),0),2)&gt;
ROUND(IFERROR(VALUE(TRIM(SUBSTITUTE(W26,CHAR(160),""))),0),2),
"Attention : Le montant retenu HT est supérieur au montant HT présenté. Merci de revoir la ligne de dépense, plafonner son montant, ou justifier la reventillation HT / TVA.",
ROUND(IFERROR(VALUE(TRIM(SUBSTITUTE(BG26,CHAR(160),""))),0),2)&gt;
ROUND(IFERROR(VALUE(TRIM(SUBSTITUTE(X26,CHAR(160),""))),0),2),
"Attention : Le montant TVA retenu est supérieur au montant TVA présenté. Merci de revoir la ligne de dépense, plafonner son montant, ou justifier la reventillation HT / TVA.",
ROUND(IFERROR(VALUE(TRIM(SUBSTITUTE(Y26,CHAR(160),""))),0),2)=0,
"",
ROUND(IFERROR(VALUE(TRIM(SUBSTITUTE(BH26,CHAR(160),""))),0),2)=
ROUND(IFERROR(VALUE(TRIM(SUBSTITUTE(Y26,CHAR(160),""))),0),2),
"OK",
ROUND(IFERROR(VALUE(TRIM(SUBSTITUTE(BH26,CHAR(160),""))),0),2)=0,
"Attention : Montant présenté entièrement rejeté.",
ROUND(IFERROR(VALUE(TRIM(SUBSTITUTE(BH26,CHAR(160),""))),0),2)&lt;
ROUND(IFERROR(VALUE(TRIM(SUBSTITUTE(Y26,CHAR(160),""))),0),2),
"Attention : Montant présenté partiellement rejeté.",
TRUE,""
))</f>
        <v/>
      </c>
      <c r="BS26" s="1331" t="str" cm="1">
        <f t="array" ref="BS26">IF(OR(BN26="",AE26=""),"",_xlfn.IFS(
ROUND(IFERROR(VALUE(TRIM(SUBSTITUTE(BN26,CHAR(160),""))),0),2)&gt;
ROUND(IFERROR(VALUE(TRIM(SUBSTITUTE(AE26,CHAR(160),""))),0),2),
"KO : Le montant retenu est supérieur au montant présenté. Merci de revoir la ligne de contributions ou plafonner son montant.",
ROUND(IFERROR(VALUE(TRIM(SUBSTITUTE(AE26,CHAR(160),""))),0),2)=0,
"",
ROUND(IFERROR(VALUE(TRIM(SUBSTITUTE(BN26,CHAR(160),""))),0),2)=
ROUND(IFERROR(VALUE(TRIM(SUBSTITUTE(AE26,CHAR(160),""))),0),2),
"OK",
ROUND(IFERROR(VALUE(TRIM(SUBSTITUTE(BN26,CHAR(160),""))),0),2)=0,
"Attention : Montant présenté entièrement rejeté.",
ROUND(IFERROR(VALUE(TRIM(SUBSTITUTE(BN26,CHAR(160),""))),0),2)&lt;
ROUND(IFERROR(VALUE(TRIM(SUBSTITUTE(AE26,CHAR(160),""))),0),2),
"Attention : Montant présenté partiellement rejeté.",
TRUE,""
))</f>
        <v/>
      </c>
      <c r="BT26" s="674" t="str">
        <f t="shared" si="18"/>
        <v/>
      </c>
      <c r="BU26" s="673" t="str">
        <f t="shared" si="19"/>
        <v/>
      </c>
      <c r="BV26" s="1351" t="str">
        <f t="shared" si="20"/>
        <v/>
      </c>
    </row>
    <row r="27" spans="2:74" ht="14.1" customHeight="1">
      <c r="B27" s="498">
        <v>18</v>
      </c>
      <c r="C27" s="119"/>
      <c r="D27" s="11"/>
      <c r="E27" s="6"/>
      <c r="F27" s="28"/>
      <c r="G27" s="6"/>
      <c r="H27" s="6"/>
      <c r="I27" s="30"/>
      <c r="J27" s="30"/>
      <c r="K27" s="30"/>
      <c r="L27" s="31"/>
      <c r="M27" s="440"/>
      <c r="N27" s="33"/>
      <c r="O27" s="321" t="str">
        <f t="shared" si="32"/>
        <v/>
      </c>
      <c r="P27" s="32"/>
      <c r="Q27" s="33"/>
      <c r="R27" s="299" t="str">
        <f t="shared" si="33"/>
        <v/>
      </c>
      <c r="S27" s="34"/>
      <c r="T27" s="33"/>
      <c r="U27" s="299" t="str">
        <f t="shared" si="1"/>
        <v/>
      </c>
      <c r="V27" s="439"/>
      <c r="W27" s="441" t="str" cm="1">
        <f t="array" ref="W27">IF((_xlfn.IFS(TRIM(SUBSTITUTE(V27,CHAR(160),""))="Devis 1",IFERROR(VALUE(TRIM(SUBSTITUTE(M27,CHAR(160),""))),0),TRIM(SUBSTITUTE(V27,CHAR(160),""))="Devis 2",IFERROR(VALUE(TRIM(SUBSTITUTE(P27,CHAR(160),""))),0),TRIM(SUBSTITUTE(V27,CHAR(160),""))="Devis 3",IFERROR(VALUE(TRIM(SUBSTITUTE(S27,CHAR(160),""))),0),TRUE,0))=0,"",_xlfn.IFS(TRIM(SUBSTITUTE(V27,CHAR(160),""))="Devis 1",IFERROR(VALUE(TRIM(SUBSTITUTE(M27,CHAR(160),""))),0),TRIM(SUBSTITUTE(V27,CHAR(160),""))="Devis 2",IFERROR(VALUE(TRIM(SUBSTITUTE(P27,CHAR(160),""))),0),TRIM(SUBSTITUTE(V27,CHAR(160),""))="Devis 3",IFERROR(VALUE(TRIM(SUBSTITUTE(S27,CHAR(160),""))),0),TRUE,0))</f>
        <v/>
      </c>
      <c r="X27" s="441" t="str" cm="1">
        <f t="array" ref="X27">IF((_xlfn.IFS(TRIM(SUBSTITUTE(V27,CHAR(160),""))="Devis 1",IFERROR(VALUE(TRIM(SUBSTITUTE(N27,CHAR(160),""))),0),TRIM(SUBSTITUTE(V27,CHAR(160),""))="Devis 2",IFERROR(VALUE(TRIM(SUBSTITUTE(Q27,CHAR(160),""))),0),TRIM(SUBSTITUTE(V27,CHAR(160),""))="Devis 3",IFERROR(VALUE(TRIM(SUBSTITUTE(T27,CHAR(160),""))),0),TRUE,0))=0,"",_xlfn.IFS(TRIM(SUBSTITUTE(V27,CHAR(160),""))="Devis 1",IFERROR(VALUE(TRIM(SUBSTITUTE(N27,CHAR(160),""))),0),TRIM(SUBSTITUTE(V27,CHAR(160),""))="Devis 2",IFERROR(VALUE(TRIM(SUBSTITUTE(Q27,CHAR(160),""))),0),TRIM(SUBSTITUTE(V27,CHAR(160),""))="Devis 3",IFERROR(VALUE(TRIM(SUBSTITUTE(T27,CHAR(160),""))),0),TRUE,0))</f>
        <v/>
      </c>
      <c r="Y27" s="815" t="str" cm="1">
        <f t="array" ref="Y27">IF((_xlfn.IFS(TRIM(SUBSTITUTE(V27,CHAR(160),""))="Devis 1",IFERROR(VALUE(TRIM(SUBSTITUTE(O27,CHAR(160),""))),0),TRIM(SUBSTITUTE(V27,CHAR(160),""))="Devis 2",IFERROR(VALUE(TRIM(SUBSTITUTE(R27,CHAR(160),""))),0),TRIM(SUBSTITUTE(V27,CHAR(160),""))="Devis 3",IFERROR(VALUE(TRIM(SUBSTITUTE(U27,CHAR(160),""))),0),TRUE,0))=0,"",_xlfn.IFS(TRIM(SUBSTITUTE(V27,CHAR(160),""))="Devis 1",IFERROR(VALUE(TRIM(SUBSTITUTE(O27,CHAR(160),""))),0),TRIM(SUBSTITUTE(V27,CHAR(160),""))="Devis 2",IFERROR(VALUE(TRIM(SUBSTITUTE(R27,CHAR(160),""))),0),TRIM(SUBSTITUTE(V27,CHAR(160),""))="Devis 3",IFERROR(VALUE(TRIM(SUBSTITUTE(U27,CHAR(160),""))),0),TRUE,0))</f>
        <v/>
      </c>
      <c r="Z27" s="850"/>
      <c r="AA27" s="817" t="str" cm="1">
        <f t="array" ref="AA27">IF(Z27="","",_xlfn.IFS(Z27=$BZ$5,70,Z27=$BZ$6,90,Z27=$BZ$7,70,Z27=$BZ$8,90,Z27=$BZ$9,110))</f>
        <v/>
      </c>
      <c r="AB27" s="627"/>
      <c r="AC27" s="817" t="str" cm="1">
        <f t="array" ref="AC27">IF(Z27="","",_xlfn.IFS(Z27=$BZ$5,15.75,Z27=$BZ$6,21,Z27=$BZ$7,15.25,Z27=$BZ$8,15.25,Z27=$BZ$9,15.25))</f>
        <v/>
      </c>
      <c r="AD27" s="818"/>
      <c r="AE27" s="830">
        <f t="shared" si="34"/>
        <v>0</v>
      </c>
      <c r="AF27" s="819" t="str">
        <f t="shared" si="35"/>
        <v/>
      </c>
      <c r="AG27" s="26"/>
      <c r="AH27" s="466" t="str">
        <f t="shared" si="2"/>
        <v/>
      </c>
      <c r="AI27" s="1414" t="str">
        <f t="shared" si="21"/>
        <v/>
      </c>
      <c r="AJ27" s="452" t="str">
        <f t="shared" si="4"/>
        <v/>
      </c>
      <c r="AK27" s="28"/>
      <c r="AL27" s="664" t="str">
        <f t="shared" si="5"/>
        <v/>
      </c>
      <c r="AM27" s="452" t="str">
        <f t="shared" si="6"/>
        <v/>
      </c>
      <c r="AN27" s="452" t="str">
        <f t="shared" si="22"/>
        <v/>
      </c>
      <c r="AO27" s="452" t="str">
        <f t="shared" si="23"/>
        <v/>
      </c>
      <c r="AP27" s="452" t="str">
        <f t="shared" si="24"/>
        <v/>
      </c>
      <c r="AQ27" s="452" t="str">
        <f t="shared" si="7"/>
        <v/>
      </c>
      <c r="AR27" s="478" t="str">
        <f t="shared" si="8"/>
        <v/>
      </c>
      <c r="AS27" s="453" t="str">
        <f t="shared" si="9"/>
        <v/>
      </c>
      <c r="AT27" s="479" t="str">
        <f t="shared" si="29"/>
        <v/>
      </c>
      <c r="AU27" s="453" t="str">
        <f t="shared" si="10"/>
        <v/>
      </c>
      <c r="AV27" s="453" t="str">
        <f t="shared" si="30"/>
        <v/>
      </c>
      <c r="AW27" s="480" t="str">
        <f t="shared" si="25"/>
        <v/>
      </c>
      <c r="AX27" s="453" t="str">
        <f t="shared" si="11"/>
        <v/>
      </c>
      <c r="AY27" s="453" t="str">
        <f t="shared" si="12"/>
        <v/>
      </c>
      <c r="AZ27" s="480" t="str">
        <f t="shared" si="26"/>
        <v/>
      </c>
      <c r="BA27" s="424" t="str">
        <f t="shared" si="13"/>
        <v/>
      </c>
      <c r="BB27" s="454"/>
      <c r="BC27" s="424" t="str">
        <f t="shared" si="14"/>
        <v/>
      </c>
      <c r="BD27" s="424" t="str">
        <f t="shared" si="15"/>
        <v/>
      </c>
      <c r="BE27" s="424" t="str">
        <f t="shared" si="27"/>
        <v/>
      </c>
      <c r="BF27" s="455" t="str" cm="1">
        <f t="array" ref="BF27">IF(AR27="","",IF((IFERROR(_xlfn.IFS($BA27="Devis 1",(IFERROR(VALUE(TRIM(SUBSTITUTE(AR27,CHAR(160),""))),0)),$BA27="Devis 2",(IFERROR(VALUE(TRIM(SUBSTITUTE(AU27,CHAR(160),""))),0)),$BA27="Devis 3",(IFERROR(VALUE(TRIM(SUBSTITUTE(AX27,CHAR(160),""))),0))),0))=0,"",(IFERROR(_xlfn.IFS($BA27="Devis 1",(IFERROR(VALUE(TRIM(SUBSTITUTE(AR27,CHAR(160),""))),0)),$BA27="Devis 2",(IFERROR(VALUE(TRIM(SUBSTITUTE(AU27,CHAR(160),""))),0)),$BA27="Devis 3",(IFERROR(VALUE(TRIM(SUBSTITUTE(AX27,CHAR(160),""))),0))),0))))</f>
        <v/>
      </c>
      <c r="BG27" s="455" t="str" cm="1">
        <f t="array" ref="BG27">IF(AS27="","",IF((IFERROR(_xlfn.IFS($BA27="Devis 1",(IFERROR(VALUE(TRIM(SUBSTITUTE(AS27,CHAR(160),""))),0)),$BA27="Devis 2",(IFERROR(VALUE(TRIM(SUBSTITUTE(AV27,CHAR(160),""))),0)),$BA27="Devis 3",(IFERROR(VALUE(TRIM(SUBSTITUTE(AY27,CHAR(160),""))),0))),0))=0,"",(IFERROR(_xlfn.IFS($BA27="Devis 1",(IFERROR(VALUE(TRIM(SUBSTITUTE(AS27,CHAR(160),""))),0)),$BA27="Devis 2",(IFERROR(VALUE(TRIM(SUBSTITUTE(AV27,CHAR(160),""))),0)),$BA27="Devis 3",(IFERROR(VALUE(TRIM(SUBSTITUTE(AY27,CHAR(160),""))),0))),0))))</f>
        <v/>
      </c>
      <c r="BH27" s="826" t="str" cm="1">
        <f t="array" ref="BH27">IF(AT27="","",IF(IFERROR(_xlfn.IFS($BA27="Devis 1",IFERROR(VALUE(TRIM(SUBSTITUTE(AT27,CHAR(160),""))),0),$BA27="Devis 2",IFERROR(VALUE(TRIM(SUBSTITUTE(AW27,CHAR(160),""))),0),$BA27="Devis 3",IFERROR(VALUE(TRIM(SUBSTITUTE(AZ27,CHAR(160),""))),0)),0)=0,"",IFERROR(_xlfn.IFS($BA27="Devis 1",IFERROR(VALUE(TRIM(SUBSTITUTE(AT27,CHAR(160),""))),0),$BA27="Devis 2",IFERROR(VALUE(TRIM(SUBSTITUTE(AW27,CHAR(160),""))),0),$BA27="Devis 3",IFERROR(VALUE(TRIM(SUBSTITUTE(AZ27,CHAR(160),""))),0)),0)))</f>
        <v/>
      </c>
      <c r="BI27" s="832" t="str">
        <f t="shared" si="28"/>
        <v/>
      </c>
      <c r="BJ27" s="455"/>
      <c r="BK27" s="831"/>
      <c r="BL27" s="455"/>
      <c r="BM27" s="831"/>
      <c r="BN27" s="830">
        <f t="shared" si="31"/>
        <v>0</v>
      </c>
      <c r="BO27" s="676" t="str">
        <f t="shared" si="17"/>
        <v/>
      </c>
      <c r="BP27" s="1330"/>
      <c r="BQ27" s="216" t="str" cm="1">
        <f t="array" ref="BQ27">IF(OR(BH27="",BE27="",BF27="",BC27="",BG27="",BD27=""),"",_xlfn.IFS(
ROUND(IFERROR(VALUE(TRIM(SUBSTITUTE(BH27,CHAR(160),""))),0),2)&gt;
ROUND(IFERROR(VALUE(TRIM(SUBSTITUTE(BE27,CHAR(160),""))),0),2),
"KO : Le montant retenu TTC est supérieur au montant raisonnable TTC. Merci de revoir la ligne de dépense ou plafonner son montant.",
ROUND(IFERROR(VALUE(TRIM(SUBSTITUTE(BF27,CHAR(160),""))),0),2)&gt;
ROUND(IFERROR(VALUE(TRIM(SUBSTITUTE(BC27,CHAR(160),""))),0),2),
"Attention : Le montant retenu HT est supérieur au montant HT raisonnable. Merci de revoir la ligne de dépense, plafonner son montant, ou justifier la reventillation HT / TVA.",
ROUND(IFERROR(VALUE(TRIM(SUBSTITUTE(BG27,CHAR(160),""))),0),2)&gt;
ROUND(IFERROR(VALUE(TRIM(SUBSTITUTE(BD27,CHAR(160),""))),0),2),
"Attention : Le montant TVA retenu est supérieur au montant TVA raisonnable. Merci de revoir la ligne de dépense, plafonner son montant, ou justifier la reventillation HT / TVA.",
ROUND(IFERROR(VALUE(TRIM(SUBSTITUTE(BH27,CHAR(160),""))),0),2)&gt;
ROUND(IFERROR(VALUE(TRIM(SUBSTITUTE(MIN(O27,R27,U27),CHAR(160),""))),0),2),
"Attention : Le devis retenu n'est pas le moins cher. Une justification de la part du porteur est nécessaire.",
ROUND(IFERROR(VALUE(TRIM(SUBSTITUTE(BH27,CHAR(160),""))),0),2)=0,
"Attention : montant présenté entièrement écarté",
ROUND(IFERROR(VALUE(TRIM(SUBSTITUTE(BE27,CHAR(160),""))),0),2)=
ROUND(IFERROR(VALUE(TRIM(SUBSTITUTE(BH27,CHAR(160),""))),0),2),
"OK",
ROUND(IFERROR(VALUE(TRIM(SUBSTITUTE(BE27,CHAR(160),""))),0),2)&gt;
ROUND(IFERROR(VALUE(TRIM(SUBSTITUTE(BH27,CHAR(160),""))),0),2),
" OK : Montant instruit inférieur au montant raisonnable.",
TRUE,""
))</f>
        <v/>
      </c>
      <c r="BR27" s="216" t="str" cm="1">
        <f t="array" ref="BR27">IF(OR(BH27="",Y27="",BF27="",W27="",BG27="",X27=""),"",_xlfn.IFS(
ROUND(IFERROR(VALUE(TRIM(SUBSTITUTE(BH27,CHAR(160),""))),0),2)&gt;
ROUND(IFERROR(VALUE(TRIM(SUBSTITUTE(Y27,CHAR(160),""))),0),2),
"KO : Le montant retenu TTC est supérieur au montant présenté TTC. Merci de revoir la ligne de dépense ou plafonner son montant.",
ROUND(IFERROR(VALUE(TRIM(SUBSTITUTE(BF27,CHAR(160),""))),0),2)&gt;
ROUND(IFERROR(VALUE(TRIM(SUBSTITUTE(W27,CHAR(160),""))),0),2),
"Attention : Le montant retenu HT est supérieur au montant HT présenté. Merci de revoir la ligne de dépense, plafonner son montant, ou justifier la reventillation HT / TVA.",
ROUND(IFERROR(VALUE(TRIM(SUBSTITUTE(BG27,CHAR(160),""))),0),2)&gt;
ROUND(IFERROR(VALUE(TRIM(SUBSTITUTE(X27,CHAR(160),""))),0),2),
"Attention : Le montant TVA retenu est supérieur au montant TVA présenté. Merci de revoir la ligne de dépense, plafonner son montant, ou justifier la reventillation HT / TVA.",
ROUND(IFERROR(VALUE(TRIM(SUBSTITUTE(Y27,CHAR(160),""))),0),2)=0,
"",
ROUND(IFERROR(VALUE(TRIM(SUBSTITUTE(BH27,CHAR(160),""))),0),2)=
ROUND(IFERROR(VALUE(TRIM(SUBSTITUTE(Y27,CHAR(160),""))),0),2),
"OK",
ROUND(IFERROR(VALUE(TRIM(SUBSTITUTE(BH27,CHAR(160),""))),0),2)=0,
"Attention : Montant présenté entièrement rejeté.",
ROUND(IFERROR(VALUE(TRIM(SUBSTITUTE(BH27,CHAR(160),""))),0),2)&lt;
ROUND(IFERROR(VALUE(TRIM(SUBSTITUTE(Y27,CHAR(160),""))),0),2),
"Attention : Montant présenté partiellement rejeté.",
TRUE,""
))</f>
        <v/>
      </c>
      <c r="BS27" s="1331" t="str" cm="1">
        <f t="array" ref="BS27">IF(OR(BN27="",AE27=""),"",_xlfn.IFS(
ROUND(IFERROR(VALUE(TRIM(SUBSTITUTE(BN27,CHAR(160),""))),0),2)&gt;
ROUND(IFERROR(VALUE(TRIM(SUBSTITUTE(AE27,CHAR(160),""))),0),2),
"KO : Le montant retenu est supérieur au montant présenté. Merci de revoir la ligne de contributions ou plafonner son montant.",
ROUND(IFERROR(VALUE(TRIM(SUBSTITUTE(AE27,CHAR(160),""))),0),2)=0,
"",
ROUND(IFERROR(VALUE(TRIM(SUBSTITUTE(BN27,CHAR(160),""))),0),2)=
ROUND(IFERROR(VALUE(TRIM(SUBSTITUTE(AE27,CHAR(160),""))),0),2),
"OK",
ROUND(IFERROR(VALUE(TRIM(SUBSTITUTE(BN27,CHAR(160),""))),0),2)=0,
"Attention : Montant présenté entièrement rejeté.",
ROUND(IFERROR(VALUE(TRIM(SUBSTITUTE(BN27,CHAR(160),""))),0),2)&lt;
ROUND(IFERROR(VALUE(TRIM(SUBSTITUTE(AE27,CHAR(160),""))),0),2),
"Attention : Montant présenté partiellement rejeté.",
TRUE,""
))</f>
        <v/>
      </c>
      <c r="BT27" s="674" t="str">
        <f t="shared" si="18"/>
        <v/>
      </c>
      <c r="BU27" s="673" t="str">
        <f t="shared" si="19"/>
        <v/>
      </c>
      <c r="BV27" s="1351" t="str">
        <f t="shared" si="20"/>
        <v/>
      </c>
    </row>
    <row r="28" spans="2:74" ht="14.1" customHeight="1">
      <c r="B28" s="498">
        <v>19</v>
      </c>
      <c r="C28" s="119"/>
      <c r="D28" s="11"/>
      <c r="E28" s="6"/>
      <c r="F28" s="28"/>
      <c r="G28" s="6"/>
      <c r="H28" s="6"/>
      <c r="I28" s="30"/>
      <c r="J28" s="30"/>
      <c r="K28" s="30"/>
      <c r="L28" s="31"/>
      <c r="M28" s="440"/>
      <c r="N28" s="33"/>
      <c r="O28" s="321" t="str">
        <f t="shared" si="32"/>
        <v/>
      </c>
      <c r="P28" s="32"/>
      <c r="Q28" s="33"/>
      <c r="R28" s="299" t="str">
        <f t="shared" si="33"/>
        <v/>
      </c>
      <c r="S28" s="34"/>
      <c r="T28" s="33"/>
      <c r="U28" s="299" t="str">
        <f t="shared" si="1"/>
        <v/>
      </c>
      <c r="V28" s="439"/>
      <c r="W28" s="441" t="str" cm="1">
        <f t="array" ref="W28">IF((_xlfn.IFS(TRIM(SUBSTITUTE(V28,CHAR(160),""))="Devis 1",IFERROR(VALUE(TRIM(SUBSTITUTE(M28,CHAR(160),""))),0),TRIM(SUBSTITUTE(V28,CHAR(160),""))="Devis 2",IFERROR(VALUE(TRIM(SUBSTITUTE(P28,CHAR(160),""))),0),TRIM(SUBSTITUTE(V28,CHAR(160),""))="Devis 3",IFERROR(VALUE(TRIM(SUBSTITUTE(S28,CHAR(160),""))),0),TRUE,0))=0,"",_xlfn.IFS(TRIM(SUBSTITUTE(V28,CHAR(160),""))="Devis 1",IFERROR(VALUE(TRIM(SUBSTITUTE(M28,CHAR(160),""))),0),TRIM(SUBSTITUTE(V28,CHAR(160),""))="Devis 2",IFERROR(VALUE(TRIM(SUBSTITUTE(P28,CHAR(160),""))),0),TRIM(SUBSTITUTE(V28,CHAR(160),""))="Devis 3",IFERROR(VALUE(TRIM(SUBSTITUTE(S28,CHAR(160),""))),0),TRUE,0))</f>
        <v/>
      </c>
      <c r="X28" s="441" t="str" cm="1">
        <f t="array" ref="X28">IF((_xlfn.IFS(TRIM(SUBSTITUTE(V28,CHAR(160),""))="Devis 1",IFERROR(VALUE(TRIM(SUBSTITUTE(N28,CHAR(160),""))),0),TRIM(SUBSTITUTE(V28,CHAR(160),""))="Devis 2",IFERROR(VALUE(TRIM(SUBSTITUTE(Q28,CHAR(160),""))),0),TRIM(SUBSTITUTE(V28,CHAR(160),""))="Devis 3",IFERROR(VALUE(TRIM(SUBSTITUTE(T28,CHAR(160),""))),0),TRUE,0))=0,"",_xlfn.IFS(TRIM(SUBSTITUTE(V28,CHAR(160),""))="Devis 1",IFERROR(VALUE(TRIM(SUBSTITUTE(N28,CHAR(160),""))),0),TRIM(SUBSTITUTE(V28,CHAR(160),""))="Devis 2",IFERROR(VALUE(TRIM(SUBSTITUTE(Q28,CHAR(160),""))),0),TRIM(SUBSTITUTE(V28,CHAR(160),""))="Devis 3",IFERROR(VALUE(TRIM(SUBSTITUTE(T28,CHAR(160),""))),0),TRUE,0))</f>
        <v/>
      </c>
      <c r="Y28" s="815" t="str" cm="1">
        <f t="array" ref="Y28">IF((_xlfn.IFS(TRIM(SUBSTITUTE(V28,CHAR(160),""))="Devis 1",IFERROR(VALUE(TRIM(SUBSTITUTE(O28,CHAR(160),""))),0),TRIM(SUBSTITUTE(V28,CHAR(160),""))="Devis 2",IFERROR(VALUE(TRIM(SUBSTITUTE(R28,CHAR(160),""))),0),TRIM(SUBSTITUTE(V28,CHAR(160),""))="Devis 3",IFERROR(VALUE(TRIM(SUBSTITUTE(U28,CHAR(160),""))),0),TRUE,0))=0,"",_xlfn.IFS(TRIM(SUBSTITUTE(V28,CHAR(160),""))="Devis 1",IFERROR(VALUE(TRIM(SUBSTITUTE(O28,CHAR(160),""))),0),TRIM(SUBSTITUTE(V28,CHAR(160),""))="Devis 2",IFERROR(VALUE(TRIM(SUBSTITUTE(R28,CHAR(160),""))),0),TRIM(SUBSTITUTE(V28,CHAR(160),""))="Devis 3",IFERROR(VALUE(TRIM(SUBSTITUTE(U28,CHAR(160),""))),0),TRUE,0))</f>
        <v/>
      </c>
      <c r="Z28" s="850"/>
      <c r="AA28" s="817" t="str" cm="1">
        <f t="array" ref="AA28">IF(Z28="","",_xlfn.IFS(Z28=$BZ$5,70,Z28=$BZ$6,90,Z28=$BZ$7,70,Z28=$BZ$8,90,Z28=$BZ$9,110))</f>
        <v/>
      </c>
      <c r="AB28" s="627"/>
      <c r="AC28" s="817" t="str" cm="1">
        <f t="array" ref="AC28">IF(Z28="","",_xlfn.IFS(Z28=$BZ$5,15.75,Z28=$BZ$6,21,Z28=$BZ$7,15.25,Z28=$BZ$8,15.25,Z28=$BZ$9,15.25))</f>
        <v/>
      </c>
      <c r="AD28" s="818"/>
      <c r="AE28" s="830">
        <f t="shared" si="34"/>
        <v>0</v>
      </c>
      <c r="AF28" s="819" t="str">
        <f t="shared" si="35"/>
        <v/>
      </c>
      <c r="AG28" s="26"/>
      <c r="AH28" s="466" t="str">
        <f t="shared" si="2"/>
        <v/>
      </c>
      <c r="AI28" s="1414" t="str">
        <f t="shared" si="21"/>
        <v/>
      </c>
      <c r="AJ28" s="452" t="str">
        <f t="shared" si="4"/>
        <v/>
      </c>
      <c r="AK28" s="28"/>
      <c r="AL28" s="664" t="str">
        <f t="shared" si="5"/>
        <v/>
      </c>
      <c r="AM28" s="452" t="str">
        <f t="shared" si="6"/>
        <v/>
      </c>
      <c r="AN28" s="452" t="str">
        <f t="shared" si="22"/>
        <v/>
      </c>
      <c r="AO28" s="452" t="str">
        <f t="shared" si="23"/>
        <v/>
      </c>
      <c r="AP28" s="452" t="str">
        <f t="shared" si="24"/>
        <v/>
      </c>
      <c r="AQ28" s="452" t="str">
        <f t="shared" si="7"/>
        <v/>
      </c>
      <c r="AR28" s="478" t="str">
        <f t="shared" si="8"/>
        <v/>
      </c>
      <c r="AS28" s="453" t="str">
        <f t="shared" si="9"/>
        <v/>
      </c>
      <c r="AT28" s="479" t="str">
        <f t="shared" si="29"/>
        <v/>
      </c>
      <c r="AU28" s="453" t="str">
        <f t="shared" si="10"/>
        <v/>
      </c>
      <c r="AV28" s="453" t="str">
        <f t="shared" si="30"/>
        <v/>
      </c>
      <c r="AW28" s="480" t="str">
        <f t="shared" si="25"/>
        <v/>
      </c>
      <c r="AX28" s="453" t="str">
        <f t="shared" si="11"/>
        <v/>
      </c>
      <c r="AY28" s="453" t="str">
        <f t="shared" si="12"/>
        <v/>
      </c>
      <c r="AZ28" s="480" t="str">
        <f t="shared" si="26"/>
        <v/>
      </c>
      <c r="BA28" s="424" t="str">
        <f t="shared" si="13"/>
        <v/>
      </c>
      <c r="BB28" s="454"/>
      <c r="BC28" s="424" t="str">
        <f t="shared" si="14"/>
        <v/>
      </c>
      <c r="BD28" s="424" t="str">
        <f t="shared" si="15"/>
        <v/>
      </c>
      <c r="BE28" s="424" t="str">
        <f t="shared" si="27"/>
        <v/>
      </c>
      <c r="BF28" s="455" t="str" cm="1">
        <f t="array" ref="BF28">IF(AR28="","",IF((IFERROR(_xlfn.IFS($BA28="Devis 1",(IFERROR(VALUE(TRIM(SUBSTITUTE(AR28,CHAR(160),""))),0)),$BA28="Devis 2",(IFERROR(VALUE(TRIM(SUBSTITUTE(AU28,CHAR(160),""))),0)),$BA28="Devis 3",(IFERROR(VALUE(TRIM(SUBSTITUTE(AX28,CHAR(160),""))),0))),0))=0,"",(IFERROR(_xlfn.IFS($BA28="Devis 1",(IFERROR(VALUE(TRIM(SUBSTITUTE(AR28,CHAR(160),""))),0)),$BA28="Devis 2",(IFERROR(VALUE(TRIM(SUBSTITUTE(AU28,CHAR(160),""))),0)),$BA28="Devis 3",(IFERROR(VALUE(TRIM(SUBSTITUTE(AX28,CHAR(160),""))),0))),0))))</f>
        <v/>
      </c>
      <c r="BG28" s="455" t="str" cm="1">
        <f t="array" ref="BG28">IF(AS28="","",IF((IFERROR(_xlfn.IFS($BA28="Devis 1",(IFERROR(VALUE(TRIM(SUBSTITUTE(AS28,CHAR(160),""))),0)),$BA28="Devis 2",(IFERROR(VALUE(TRIM(SUBSTITUTE(AV28,CHAR(160),""))),0)),$BA28="Devis 3",(IFERROR(VALUE(TRIM(SUBSTITUTE(AY28,CHAR(160),""))),0))),0))=0,"",(IFERROR(_xlfn.IFS($BA28="Devis 1",(IFERROR(VALUE(TRIM(SUBSTITUTE(AS28,CHAR(160),""))),0)),$BA28="Devis 2",(IFERROR(VALUE(TRIM(SUBSTITUTE(AV28,CHAR(160),""))),0)),$BA28="Devis 3",(IFERROR(VALUE(TRIM(SUBSTITUTE(AY28,CHAR(160),""))),0))),0))))</f>
        <v/>
      </c>
      <c r="BH28" s="826" t="str" cm="1">
        <f t="array" ref="BH28">IF(AT28="","",IF(IFERROR(_xlfn.IFS($BA28="Devis 1",IFERROR(VALUE(TRIM(SUBSTITUTE(AT28,CHAR(160),""))),0),$BA28="Devis 2",IFERROR(VALUE(TRIM(SUBSTITUTE(AW28,CHAR(160),""))),0),$BA28="Devis 3",IFERROR(VALUE(TRIM(SUBSTITUTE(AZ28,CHAR(160),""))),0)),0)=0,"",IFERROR(_xlfn.IFS($BA28="Devis 1",IFERROR(VALUE(TRIM(SUBSTITUTE(AT28,CHAR(160),""))),0),$BA28="Devis 2",IFERROR(VALUE(TRIM(SUBSTITUTE(AW28,CHAR(160),""))),0),$BA28="Devis 3",IFERROR(VALUE(TRIM(SUBSTITUTE(AZ28,CHAR(160),""))),0)),0)))</f>
        <v/>
      </c>
      <c r="BI28" s="832" t="str">
        <f t="shared" si="28"/>
        <v/>
      </c>
      <c r="BJ28" s="455"/>
      <c r="BK28" s="831"/>
      <c r="BL28" s="455"/>
      <c r="BM28" s="831"/>
      <c r="BN28" s="830">
        <f t="shared" si="31"/>
        <v>0</v>
      </c>
      <c r="BO28" s="676" t="str">
        <f t="shared" si="17"/>
        <v/>
      </c>
      <c r="BP28" s="1330"/>
      <c r="BQ28" s="216" t="str" cm="1">
        <f t="array" ref="BQ28">IF(OR(BH28="",BE28="",BF28="",BC28="",BG28="",BD28=""),"",_xlfn.IFS(
ROUND(IFERROR(VALUE(TRIM(SUBSTITUTE(BH28,CHAR(160),""))),0),2)&gt;
ROUND(IFERROR(VALUE(TRIM(SUBSTITUTE(BE28,CHAR(160),""))),0),2),
"KO : Le montant retenu TTC est supérieur au montant raisonnable TTC. Merci de revoir la ligne de dépense ou plafonner son montant.",
ROUND(IFERROR(VALUE(TRIM(SUBSTITUTE(BF28,CHAR(160),""))),0),2)&gt;
ROUND(IFERROR(VALUE(TRIM(SUBSTITUTE(BC28,CHAR(160),""))),0),2),
"Attention : Le montant retenu HT est supérieur au montant HT raisonnable. Merci de revoir la ligne de dépense, plafonner son montant, ou justifier la reventillation HT / TVA.",
ROUND(IFERROR(VALUE(TRIM(SUBSTITUTE(BG28,CHAR(160),""))),0),2)&gt;
ROUND(IFERROR(VALUE(TRIM(SUBSTITUTE(BD28,CHAR(160),""))),0),2),
"Attention : Le montant TVA retenu est supérieur au montant TVA raisonnable. Merci de revoir la ligne de dépense, plafonner son montant, ou justifier la reventillation HT / TVA.",
ROUND(IFERROR(VALUE(TRIM(SUBSTITUTE(BH28,CHAR(160),""))),0),2)&gt;
ROUND(IFERROR(VALUE(TRIM(SUBSTITUTE(MIN(O28,R28,U28),CHAR(160),""))),0),2),
"Attention : Le devis retenu n'est pas le moins cher. Une justification de la part du porteur est nécessaire.",
ROUND(IFERROR(VALUE(TRIM(SUBSTITUTE(BH28,CHAR(160),""))),0),2)=0,
"Attention : montant présenté entièrement écarté",
ROUND(IFERROR(VALUE(TRIM(SUBSTITUTE(BE28,CHAR(160),""))),0),2)=
ROUND(IFERROR(VALUE(TRIM(SUBSTITUTE(BH28,CHAR(160),""))),0),2),
"OK",
ROUND(IFERROR(VALUE(TRIM(SUBSTITUTE(BE28,CHAR(160),""))),0),2)&gt;
ROUND(IFERROR(VALUE(TRIM(SUBSTITUTE(BH28,CHAR(160),""))),0),2),
" OK : Montant instruit inférieur au montant raisonnable.",
TRUE,""
))</f>
        <v/>
      </c>
      <c r="BR28" s="216" t="str" cm="1">
        <f t="array" ref="BR28">IF(OR(BH28="",Y28="",BF28="",W28="",BG28="",X28=""),"",_xlfn.IFS(
ROUND(IFERROR(VALUE(TRIM(SUBSTITUTE(BH28,CHAR(160),""))),0),2)&gt;
ROUND(IFERROR(VALUE(TRIM(SUBSTITUTE(Y28,CHAR(160),""))),0),2),
"KO : Le montant retenu TTC est supérieur au montant présenté TTC. Merci de revoir la ligne de dépense ou plafonner son montant.",
ROUND(IFERROR(VALUE(TRIM(SUBSTITUTE(BF28,CHAR(160),""))),0),2)&gt;
ROUND(IFERROR(VALUE(TRIM(SUBSTITUTE(W28,CHAR(160),""))),0),2),
"Attention : Le montant retenu HT est supérieur au montant HT présenté. Merci de revoir la ligne de dépense, plafonner son montant, ou justifier la reventillation HT / TVA.",
ROUND(IFERROR(VALUE(TRIM(SUBSTITUTE(BG28,CHAR(160),""))),0),2)&gt;
ROUND(IFERROR(VALUE(TRIM(SUBSTITUTE(X28,CHAR(160),""))),0),2),
"Attention : Le montant TVA retenu est supérieur au montant TVA présenté. Merci de revoir la ligne de dépense, plafonner son montant, ou justifier la reventillation HT / TVA.",
ROUND(IFERROR(VALUE(TRIM(SUBSTITUTE(Y28,CHAR(160),""))),0),2)=0,
"",
ROUND(IFERROR(VALUE(TRIM(SUBSTITUTE(BH28,CHAR(160),""))),0),2)=
ROUND(IFERROR(VALUE(TRIM(SUBSTITUTE(Y28,CHAR(160),""))),0),2),
"OK",
ROUND(IFERROR(VALUE(TRIM(SUBSTITUTE(BH28,CHAR(160),""))),0),2)=0,
"Attention : Montant présenté entièrement rejeté.",
ROUND(IFERROR(VALUE(TRIM(SUBSTITUTE(BH28,CHAR(160),""))),0),2)&lt;
ROUND(IFERROR(VALUE(TRIM(SUBSTITUTE(Y28,CHAR(160),""))),0),2),
"Attention : Montant présenté partiellement rejeté.",
TRUE,""
))</f>
        <v/>
      </c>
      <c r="BS28" s="1331" t="str" cm="1">
        <f t="array" ref="BS28">IF(OR(BN28="",AE28=""),"",_xlfn.IFS(
ROUND(IFERROR(VALUE(TRIM(SUBSTITUTE(BN28,CHAR(160),""))),0),2)&gt;
ROUND(IFERROR(VALUE(TRIM(SUBSTITUTE(AE28,CHAR(160),""))),0),2),
"KO : Le montant retenu est supérieur au montant présenté. Merci de revoir la ligne de contributions ou plafonner son montant.",
ROUND(IFERROR(VALUE(TRIM(SUBSTITUTE(AE28,CHAR(160),""))),0),2)=0,
"",
ROUND(IFERROR(VALUE(TRIM(SUBSTITUTE(BN28,CHAR(160),""))),0),2)=
ROUND(IFERROR(VALUE(TRIM(SUBSTITUTE(AE28,CHAR(160),""))),0),2),
"OK",
ROUND(IFERROR(VALUE(TRIM(SUBSTITUTE(BN28,CHAR(160),""))),0),2)=0,
"Attention : Montant présenté entièrement rejeté.",
ROUND(IFERROR(VALUE(TRIM(SUBSTITUTE(BN28,CHAR(160),""))),0),2)&lt;
ROUND(IFERROR(VALUE(TRIM(SUBSTITUTE(AE28,CHAR(160),""))),0),2),
"Attention : Montant présenté partiellement rejeté.",
TRUE,""
))</f>
        <v/>
      </c>
      <c r="BT28" s="674" t="str">
        <f t="shared" si="18"/>
        <v/>
      </c>
      <c r="BU28" s="673" t="str">
        <f t="shared" si="19"/>
        <v/>
      </c>
      <c r="BV28" s="1351" t="str">
        <f t="shared" si="20"/>
        <v/>
      </c>
    </row>
    <row r="29" spans="2:74" ht="14.1" customHeight="1">
      <c r="B29" s="498">
        <v>20</v>
      </c>
      <c r="C29" s="119"/>
      <c r="D29" s="11"/>
      <c r="E29" s="6"/>
      <c r="F29" s="28"/>
      <c r="G29" s="6"/>
      <c r="H29" s="6"/>
      <c r="I29" s="30"/>
      <c r="J29" s="30"/>
      <c r="K29" s="30"/>
      <c r="L29" s="31"/>
      <c r="M29" s="440"/>
      <c r="N29" s="33"/>
      <c r="O29" s="321" t="str">
        <f t="shared" si="32"/>
        <v/>
      </c>
      <c r="P29" s="32"/>
      <c r="Q29" s="33"/>
      <c r="R29" s="299" t="str">
        <f t="shared" si="33"/>
        <v/>
      </c>
      <c r="S29" s="34"/>
      <c r="T29" s="33"/>
      <c r="U29" s="299" t="str">
        <f t="shared" si="1"/>
        <v/>
      </c>
      <c r="V29" s="439"/>
      <c r="W29" s="441" t="str" cm="1">
        <f t="array" ref="W29">IF((_xlfn.IFS(TRIM(SUBSTITUTE(V29,CHAR(160),""))="Devis 1",IFERROR(VALUE(TRIM(SUBSTITUTE(M29,CHAR(160),""))),0),TRIM(SUBSTITUTE(V29,CHAR(160),""))="Devis 2",IFERROR(VALUE(TRIM(SUBSTITUTE(P29,CHAR(160),""))),0),TRIM(SUBSTITUTE(V29,CHAR(160),""))="Devis 3",IFERROR(VALUE(TRIM(SUBSTITUTE(S29,CHAR(160),""))),0),TRUE,0))=0,"",_xlfn.IFS(TRIM(SUBSTITUTE(V29,CHAR(160),""))="Devis 1",IFERROR(VALUE(TRIM(SUBSTITUTE(M29,CHAR(160),""))),0),TRIM(SUBSTITUTE(V29,CHAR(160),""))="Devis 2",IFERROR(VALUE(TRIM(SUBSTITUTE(P29,CHAR(160),""))),0),TRIM(SUBSTITUTE(V29,CHAR(160),""))="Devis 3",IFERROR(VALUE(TRIM(SUBSTITUTE(S29,CHAR(160),""))),0),TRUE,0))</f>
        <v/>
      </c>
      <c r="X29" s="441" t="str" cm="1">
        <f t="array" ref="X29">IF((_xlfn.IFS(TRIM(SUBSTITUTE(V29,CHAR(160),""))="Devis 1",IFERROR(VALUE(TRIM(SUBSTITUTE(N29,CHAR(160),""))),0),TRIM(SUBSTITUTE(V29,CHAR(160),""))="Devis 2",IFERROR(VALUE(TRIM(SUBSTITUTE(Q29,CHAR(160),""))),0),TRIM(SUBSTITUTE(V29,CHAR(160),""))="Devis 3",IFERROR(VALUE(TRIM(SUBSTITUTE(T29,CHAR(160),""))),0),TRUE,0))=0,"",_xlfn.IFS(TRIM(SUBSTITUTE(V29,CHAR(160),""))="Devis 1",IFERROR(VALUE(TRIM(SUBSTITUTE(N29,CHAR(160),""))),0),TRIM(SUBSTITUTE(V29,CHAR(160),""))="Devis 2",IFERROR(VALUE(TRIM(SUBSTITUTE(Q29,CHAR(160),""))),0),TRIM(SUBSTITUTE(V29,CHAR(160),""))="Devis 3",IFERROR(VALUE(TRIM(SUBSTITUTE(T29,CHAR(160),""))),0),TRUE,0))</f>
        <v/>
      </c>
      <c r="Y29" s="815" t="str" cm="1">
        <f t="array" ref="Y29">IF((_xlfn.IFS(TRIM(SUBSTITUTE(V29,CHAR(160),""))="Devis 1",IFERROR(VALUE(TRIM(SUBSTITUTE(O29,CHAR(160),""))),0),TRIM(SUBSTITUTE(V29,CHAR(160),""))="Devis 2",IFERROR(VALUE(TRIM(SUBSTITUTE(R29,CHAR(160),""))),0),TRIM(SUBSTITUTE(V29,CHAR(160),""))="Devis 3",IFERROR(VALUE(TRIM(SUBSTITUTE(U29,CHAR(160),""))),0),TRUE,0))=0,"",_xlfn.IFS(TRIM(SUBSTITUTE(V29,CHAR(160),""))="Devis 1",IFERROR(VALUE(TRIM(SUBSTITUTE(O29,CHAR(160),""))),0),TRIM(SUBSTITUTE(V29,CHAR(160),""))="Devis 2",IFERROR(VALUE(TRIM(SUBSTITUTE(R29,CHAR(160),""))),0),TRIM(SUBSTITUTE(V29,CHAR(160),""))="Devis 3",IFERROR(VALUE(TRIM(SUBSTITUTE(U29,CHAR(160),""))),0),TRUE,0))</f>
        <v/>
      </c>
      <c r="Z29" s="850"/>
      <c r="AA29" s="817" t="str" cm="1">
        <f t="array" ref="AA29">IF(Z29="","",_xlfn.IFS(Z29=$BZ$5,70,Z29=$BZ$6,90,Z29=$BZ$7,70,Z29=$BZ$8,90,Z29=$BZ$9,110))</f>
        <v/>
      </c>
      <c r="AB29" s="627"/>
      <c r="AC29" s="817" t="str" cm="1">
        <f t="array" ref="AC29">IF(Z29="","",_xlfn.IFS(Z29=$BZ$5,15.75,Z29=$BZ$6,21,Z29=$BZ$7,15.25,Z29=$BZ$8,15.25,Z29=$BZ$9,15.25))</f>
        <v/>
      </c>
      <c r="AD29" s="818"/>
      <c r="AE29" s="830">
        <f t="shared" si="34"/>
        <v>0</v>
      </c>
      <c r="AF29" s="819" t="str">
        <f t="shared" si="35"/>
        <v/>
      </c>
      <c r="AG29" s="26"/>
      <c r="AH29" s="466" t="str">
        <f t="shared" si="2"/>
        <v/>
      </c>
      <c r="AI29" s="1414" t="str">
        <f t="shared" si="21"/>
        <v/>
      </c>
      <c r="AJ29" s="452" t="str">
        <f t="shared" si="4"/>
        <v/>
      </c>
      <c r="AK29" s="28"/>
      <c r="AL29" s="664" t="str">
        <f t="shared" si="5"/>
        <v/>
      </c>
      <c r="AM29" s="452" t="str">
        <f t="shared" si="6"/>
        <v/>
      </c>
      <c r="AN29" s="452" t="str">
        <f t="shared" si="22"/>
        <v/>
      </c>
      <c r="AO29" s="452" t="str">
        <f t="shared" si="23"/>
        <v/>
      </c>
      <c r="AP29" s="452" t="str">
        <f t="shared" si="24"/>
        <v/>
      </c>
      <c r="AQ29" s="452" t="str">
        <f t="shared" si="7"/>
        <v/>
      </c>
      <c r="AR29" s="478" t="str">
        <f t="shared" si="8"/>
        <v/>
      </c>
      <c r="AS29" s="453" t="str">
        <f t="shared" si="9"/>
        <v/>
      </c>
      <c r="AT29" s="479" t="str">
        <f t="shared" si="29"/>
        <v/>
      </c>
      <c r="AU29" s="453" t="str">
        <f t="shared" si="10"/>
        <v/>
      </c>
      <c r="AV29" s="453" t="str">
        <f t="shared" si="30"/>
        <v/>
      </c>
      <c r="AW29" s="480" t="str">
        <f t="shared" si="25"/>
        <v/>
      </c>
      <c r="AX29" s="453" t="str">
        <f t="shared" si="11"/>
        <v/>
      </c>
      <c r="AY29" s="453" t="str">
        <f t="shared" si="12"/>
        <v/>
      </c>
      <c r="AZ29" s="480" t="str">
        <f t="shared" si="26"/>
        <v/>
      </c>
      <c r="BA29" s="424" t="str">
        <f t="shared" si="13"/>
        <v/>
      </c>
      <c r="BB29" s="454"/>
      <c r="BC29" s="424" t="str">
        <f t="shared" si="14"/>
        <v/>
      </c>
      <c r="BD29" s="424" t="str">
        <f t="shared" si="15"/>
        <v/>
      </c>
      <c r="BE29" s="424" t="str">
        <f t="shared" si="27"/>
        <v/>
      </c>
      <c r="BF29" s="455" t="str" cm="1">
        <f t="array" ref="BF29">IF(AR29="","",IF((IFERROR(_xlfn.IFS($BA29="Devis 1",(IFERROR(VALUE(TRIM(SUBSTITUTE(AR29,CHAR(160),""))),0)),$BA29="Devis 2",(IFERROR(VALUE(TRIM(SUBSTITUTE(AU29,CHAR(160),""))),0)),$BA29="Devis 3",(IFERROR(VALUE(TRIM(SUBSTITUTE(AX29,CHAR(160),""))),0))),0))=0,"",(IFERROR(_xlfn.IFS($BA29="Devis 1",(IFERROR(VALUE(TRIM(SUBSTITUTE(AR29,CHAR(160),""))),0)),$BA29="Devis 2",(IFERROR(VALUE(TRIM(SUBSTITUTE(AU29,CHAR(160),""))),0)),$BA29="Devis 3",(IFERROR(VALUE(TRIM(SUBSTITUTE(AX29,CHAR(160),""))),0))),0))))</f>
        <v/>
      </c>
      <c r="BG29" s="455" t="str" cm="1">
        <f t="array" ref="BG29">IF(AS29="","",IF((IFERROR(_xlfn.IFS($BA29="Devis 1",(IFERROR(VALUE(TRIM(SUBSTITUTE(AS29,CHAR(160),""))),0)),$BA29="Devis 2",(IFERROR(VALUE(TRIM(SUBSTITUTE(AV29,CHAR(160),""))),0)),$BA29="Devis 3",(IFERROR(VALUE(TRIM(SUBSTITUTE(AY29,CHAR(160),""))),0))),0))=0,"",(IFERROR(_xlfn.IFS($BA29="Devis 1",(IFERROR(VALUE(TRIM(SUBSTITUTE(AS29,CHAR(160),""))),0)),$BA29="Devis 2",(IFERROR(VALUE(TRIM(SUBSTITUTE(AV29,CHAR(160),""))),0)),$BA29="Devis 3",(IFERROR(VALUE(TRIM(SUBSTITUTE(AY29,CHAR(160),""))),0))),0))))</f>
        <v/>
      </c>
      <c r="BH29" s="826" t="str" cm="1">
        <f t="array" ref="BH29">IF(AT29="","",IF(IFERROR(_xlfn.IFS($BA29="Devis 1",IFERROR(VALUE(TRIM(SUBSTITUTE(AT29,CHAR(160),""))),0),$BA29="Devis 2",IFERROR(VALUE(TRIM(SUBSTITUTE(AW29,CHAR(160),""))),0),$BA29="Devis 3",IFERROR(VALUE(TRIM(SUBSTITUTE(AZ29,CHAR(160),""))),0)),0)=0,"",IFERROR(_xlfn.IFS($BA29="Devis 1",IFERROR(VALUE(TRIM(SUBSTITUTE(AT29,CHAR(160),""))),0),$BA29="Devis 2",IFERROR(VALUE(TRIM(SUBSTITUTE(AW29,CHAR(160),""))),0),$BA29="Devis 3",IFERROR(VALUE(TRIM(SUBSTITUTE(AZ29,CHAR(160),""))),0)),0)))</f>
        <v/>
      </c>
      <c r="BI29" s="832" t="str">
        <f t="shared" si="28"/>
        <v/>
      </c>
      <c r="BJ29" s="455"/>
      <c r="BK29" s="831"/>
      <c r="BL29" s="455"/>
      <c r="BM29" s="831"/>
      <c r="BN29" s="830">
        <f t="shared" si="31"/>
        <v>0</v>
      </c>
      <c r="BO29" s="676" t="str">
        <f t="shared" si="17"/>
        <v/>
      </c>
      <c r="BP29" s="1330"/>
      <c r="BQ29" s="216" t="str" cm="1">
        <f t="array" ref="BQ29">IF(OR(BH29="",BE29="",BF29="",BC29="",BG29="",BD29=""),"",_xlfn.IFS(
ROUND(IFERROR(VALUE(TRIM(SUBSTITUTE(BH29,CHAR(160),""))),0),2)&gt;
ROUND(IFERROR(VALUE(TRIM(SUBSTITUTE(BE29,CHAR(160),""))),0),2),
"KO : Le montant retenu TTC est supérieur au montant raisonnable TTC. Merci de revoir la ligne de dépense ou plafonner son montant.",
ROUND(IFERROR(VALUE(TRIM(SUBSTITUTE(BF29,CHAR(160),""))),0),2)&gt;
ROUND(IFERROR(VALUE(TRIM(SUBSTITUTE(BC29,CHAR(160),""))),0),2),
"Attention : Le montant retenu HT est supérieur au montant HT raisonnable. Merci de revoir la ligne de dépense, plafonner son montant, ou justifier la reventillation HT / TVA.",
ROUND(IFERROR(VALUE(TRIM(SUBSTITUTE(BG29,CHAR(160),""))),0),2)&gt;
ROUND(IFERROR(VALUE(TRIM(SUBSTITUTE(BD29,CHAR(160),""))),0),2),
"Attention : Le montant TVA retenu est supérieur au montant TVA raisonnable. Merci de revoir la ligne de dépense, plafonner son montant, ou justifier la reventillation HT / TVA.",
ROUND(IFERROR(VALUE(TRIM(SUBSTITUTE(BH29,CHAR(160),""))),0),2)&gt;
ROUND(IFERROR(VALUE(TRIM(SUBSTITUTE(MIN(O29,R29,U29),CHAR(160),""))),0),2),
"Attention : Le devis retenu n'est pas le moins cher. Une justification de la part du porteur est nécessaire.",
ROUND(IFERROR(VALUE(TRIM(SUBSTITUTE(BH29,CHAR(160),""))),0),2)=0,
"Attention : montant présenté entièrement écarté",
ROUND(IFERROR(VALUE(TRIM(SUBSTITUTE(BE29,CHAR(160),""))),0),2)=
ROUND(IFERROR(VALUE(TRIM(SUBSTITUTE(BH29,CHAR(160),""))),0),2),
"OK",
ROUND(IFERROR(VALUE(TRIM(SUBSTITUTE(BE29,CHAR(160),""))),0),2)&gt;
ROUND(IFERROR(VALUE(TRIM(SUBSTITUTE(BH29,CHAR(160),""))),0),2),
" OK : Montant instruit inférieur au montant raisonnable.",
TRUE,""
))</f>
        <v/>
      </c>
      <c r="BR29" s="216" t="str" cm="1">
        <f t="array" ref="BR29">IF(OR(BH29="",Y29="",BF29="",W29="",BG29="",X29=""),"",_xlfn.IFS(
ROUND(IFERROR(VALUE(TRIM(SUBSTITUTE(BH29,CHAR(160),""))),0),2)&gt;
ROUND(IFERROR(VALUE(TRIM(SUBSTITUTE(Y29,CHAR(160),""))),0),2),
"KO : Le montant retenu TTC est supérieur au montant présenté TTC. Merci de revoir la ligne de dépense ou plafonner son montant.",
ROUND(IFERROR(VALUE(TRIM(SUBSTITUTE(BF29,CHAR(160),""))),0),2)&gt;
ROUND(IFERROR(VALUE(TRIM(SUBSTITUTE(W29,CHAR(160),""))),0),2),
"Attention : Le montant retenu HT est supérieur au montant HT présenté. Merci de revoir la ligne de dépense, plafonner son montant, ou justifier la reventillation HT / TVA.",
ROUND(IFERROR(VALUE(TRIM(SUBSTITUTE(BG29,CHAR(160),""))),0),2)&gt;
ROUND(IFERROR(VALUE(TRIM(SUBSTITUTE(X29,CHAR(160),""))),0),2),
"Attention : Le montant TVA retenu est supérieur au montant TVA présenté. Merci de revoir la ligne de dépense, plafonner son montant, ou justifier la reventillation HT / TVA.",
ROUND(IFERROR(VALUE(TRIM(SUBSTITUTE(Y29,CHAR(160),""))),0),2)=0,
"",
ROUND(IFERROR(VALUE(TRIM(SUBSTITUTE(BH29,CHAR(160),""))),0),2)=
ROUND(IFERROR(VALUE(TRIM(SUBSTITUTE(Y29,CHAR(160),""))),0),2),
"OK",
ROUND(IFERROR(VALUE(TRIM(SUBSTITUTE(BH29,CHAR(160),""))),0),2)=0,
"Attention : Montant présenté entièrement rejeté.",
ROUND(IFERROR(VALUE(TRIM(SUBSTITUTE(BH29,CHAR(160),""))),0),2)&lt;
ROUND(IFERROR(VALUE(TRIM(SUBSTITUTE(Y29,CHAR(160),""))),0),2),
"Attention : Montant présenté partiellement rejeté.",
TRUE,""
))</f>
        <v/>
      </c>
      <c r="BS29" s="1331" t="str" cm="1">
        <f t="array" ref="BS29">IF(OR(BN29="",AE29=""),"",_xlfn.IFS(
ROUND(IFERROR(VALUE(TRIM(SUBSTITUTE(BN29,CHAR(160),""))),0),2)&gt;
ROUND(IFERROR(VALUE(TRIM(SUBSTITUTE(AE29,CHAR(160),""))),0),2),
"KO : Le montant retenu est supérieur au montant présenté. Merci de revoir la ligne de contributions ou plafonner son montant.",
ROUND(IFERROR(VALUE(TRIM(SUBSTITUTE(AE29,CHAR(160),""))),0),2)=0,
"",
ROUND(IFERROR(VALUE(TRIM(SUBSTITUTE(BN29,CHAR(160),""))),0),2)=
ROUND(IFERROR(VALUE(TRIM(SUBSTITUTE(AE29,CHAR(160),""))),0),2),
"OK",
ROUND(IFERROR(VALUE(TRIM(SUBSTITUTE(BN29,CHAR(160),""))),0),2)=0,
"Attention : Montant présenté entièrement rejeté.",
ROUND(IFERROR(VALUE(TRIM(SUBSTITUTE(BN29,CHAR(160),""))),0),2)&lt;
ROUND(IFERROR(VALUE(TRIM(SUBSTITUTE(AE29,CHAR(160),""))),0),2),
"Attention : Montant présenté partiellement rejeté.",
TRUE,""
))</f>
        <v/>
      </c>
      <c r="BT29" s="674" t="str">
        <f t="shared" si="18"/>
        <v/>
      </c>
      <c r="BU29" s="673" t="str">
        <f t="shared" si="19"/>
        <v/>
      </c>
      <c r="BV29" s="1351" t="str">
        <f t="shared" si="20"/>
        <v/>
      </c>
    </row>
    <row r="30" spans="2:74" ht="14.1" customHeight="1">
      <c r="B30" s="498">
        <v>21</v>
      </c>
      <c r="C30" s="119"/>
      <c r="D30" s="11"/>
      <c r="E30" s="6"/>
      <c r="F30" s="28"/>
      <c r="G30" s="6"/>
      <c r="H30" s="6"/>
      <c r="I30" s="30"/>
      <c r="J30" s="30"/>
      <c r="K30" s="30"/>
      <c r="L30" s="31"/>
      <c r="M30" s="440"/>
      <c r="N30" s="33"/>
      <c r="O30" s="321" t="str">
        <f t="shared" si="32"/>
        <v/>
      </c>
      <c r="P30" s="32"/>
      <c r="Q30" s="33"/>
      <c r="R30" s="299" t="str">
        <f t="shared" si="33"/>
        <v/>
      </c>
      <c r="S30" s="34"/>
      <c r="T30" s="33"/>
      <c r="U30" s="299" t="str">
        <f t="shared" si="1"/>
        <v/>
      </c>
      <c r="V30" s="439"/>
      <c r="W30" s="441" t="str" cm="1">
        <f t="array" ref="W30">IF((_xlfn.IFS(TRIM(SUBSTITUTE(V30,CHAR(160),""))="Devis 1",IFERROR(VALUE(TRIM(SUBSTITUTE(M30,CHAR(160),""))),0),TRIM(SUBSTITUTE(V30,CHAR(160),""))="Devis 2",IFERROR(VALUE(TRIM(SUBSTITUTE(P30,CHAR(160),""))),0),TRIM(SUBSTITUTE(V30,CHAR(160),""))="Devis 3",IFERROR(VALUE(TRIM(SUBSTITUTE(S30,CHAR(160),""))),0),TRUE,0))=0,"",_xlfn.IFS(TRIM(SUBSTITUTE(V30,CHAR(160),""))="Devis 1",IFERROR(VALUE(TRIM(SUBSTITUTE(M30,CHAR(160),""))),0),TRIM(SUBSTITUTE(V30,CHAR(160),""))="Devis 2",IFERROR(VALUE(TRIM(SUBSTITUTE(P30,CHAR(160),""))),0),TRIM(SUBSTITUTE(V30,CHAR(160),""))="Devis 3",IFERROR(VALUE(TRIM(SUBSTITUTE(S30,CHAR(160),""))),0),TRUE,0))</f>
        <v/>
      </c>
      <c r="X30" s="441" t="str" cm="1">
        <f t="array" ref="X30">IF((_xlfn.IFS(TRIM(SUBSTITUTE(V30,CHAR(160),""))="Devis 1",IFERROR(VALUE(TRIM(SUBSTITUTE(N30,CHAR(160),""))),0),TRIM(SUBSTITUTE(V30,CHAR(160),""))="Devis 2",IFERROR(VALUE(TRIM(SUBSTITUTE(Q30,CHAR(160),""))),0),TRIM(SUBSTITUTE(V30,CHAR(160),""))="Devis 3",IFERROR(VALUE(TRIM(SUBSTITUTE(T30,CHAR(160),""))),0),TRUE,0))=0,"",_xlfn.IFS(TRIM(SUBSTITUTE(V30,CHAR(160),""))="Devis 1",IFERROR(VALUE(TRIM(SUBSTITUTE(N30,CHAR(160),""))),0),TRIM(SUBSTITUTE(V30,CHAR(160),""))="Devis 2",IFERROR(VALUE(TRIM(SUBSTITUTE(Q30,CHAR(160),""))),0),TRIM(SUBSTITUTE(V30,CHAR(160),""))="Devis 3",IFERROR(VALUE(TRIM(SUBSTITUTE(T30,CHAR(160),""))),0),TRUE,0))</f>
        <v/>
      </c>
      <c r="Y30" s="815" t="str" cm="1">
        <f t="array" ref="Y30">IF((_xlfn.IFS(TRIM(SUBSTITUTE(V30,CHAR(160),""))="Devis 1",IFERROR(VALUE(TRIM(SUBSTITUTE(O30,CHAR(160),""))),0),TRIM(SUBSTITUTE(V30,CHAR(160),""))="Devis 2",IFERROR(VALUE(TRIM(SUBSTITUTE(R30,CHAR(160),""))),0),TRIM(SUBSTITUTE(V30,CHAR(160),""))="Devis 3",IFERROR(VALUE(TRIM(SUBSTITUTE(U30,CHAR(160),""))),0),TRUE,0))=0,"",_xlfn.IFS(TRIM(SUBSTITUTE(V30,CHAR(160),""))="Devis 1",IFERROR(VALUE(TRIM(SUBSTITUTE(O30,CHAR(160),""))),0),TRIM(SUBSTITUTE(V30,CHAR(160),""))="Devis 2",IFERROR(VALUE(TRIM(SUBSTITUTE(R30,CHAR(160),""))),0),TRIM(SUBSTITUTE(V30,CHAR(160),""))="Devis 3",IFERROR(VALUE(TRIM(SUBSTITUTE(U30,CHAR(160),""))),0),TRUE,0))</f>
        <v/>
      </c>
      <c r="Z30" s="850"/>
      <c r="AA30" s="817" t="str" cm="1">
        <f t="array" ref="AA30">IF(Z30="","",_xlfn.IFS(Z30=$BZ$5,70,Z30=$BZ$6,90,Z30=$BZ$7,70,Z30=$BZ$8,90,Z30=$BZ$9,110))</f>
        <v/>
      </c>
      <c r="AB30" s="627"/>
      <c r="AC30" s="817" t="str" cm="1">
        <f t="array" ref="AC30">IF(Z30="","",_xlfn.IFS(Z30=$BZ$5,15.75,Z30=$BZ$6,21,Z30=$BZ$7,15.25,Z30=$BZ$8,15.25,Z30=$BZ$9,15.25))</f>
        <v/>
      </c>
      <c r="AD30" s="818"/>
      <c r="AE30" s="830">
        <f t="shared" si="34"/>
        <v>0</v>
      </c>
      <c r="AF30" s="819" t="str">
        <f t="shared" si="35"/>
        <v/>
      </c>
      <c r="AG30" s="26"/>
      <c r="AH30" s="466" t="str">
        <f t="shared" si="2"/>
        <v/>
      </c>
      <c r="AI30" s="1414" t="str">
        <f t="shared" si="21"/>
        <v/>
      </c>
      <c r="AJ30" s="452" t="str">
        <f t="shared" si="4"/>
        <v/>
      </c>
      <c r="AK30" s="28"/>
      <c r="AL30" s="664" t="str">
        <f t="shared" si="5"/>
        <v/>
      </c>
      <c r="AM30" s="452" t="str">
        <f t="shared" si="6"/>
        <v/>
      </c>
      <c r="AN30" s="452" t="str">
        <f t="shared" si="22"/>
        <v/>
      </c>
      <c r="AO30" s="452" t="str">
        <f t="shared" si="23"/>
        <v/>
      </c>
      <c r="AP30" s="452" t="str">
        <f t="shared" si="24"/>
        <v/>
      </c>
      <c r="AQ30" s="452" t="str">
        <f t="shared" si="7"/>
        <v/>
      </c>
      <c r="AR30" s="478" t="str">
        <f t="shared" si="8"/>
        <v/>
      </c>
      <c r="AS30" s="453" t="str">
        <f t="shared" si="9"/>
        <v/>
      </c>
      <c r="AT30" s="479" t="str">
        <f t="shared" si="29"/>
        <v/>
      </c>
      <c r="AU30" s="453" t="str">
        <f t="shared" si="10"/>
        <v/>
      </c>
      <c r="AV30" s="453" t="str">
        <f t="shared" si="30"/>
        <v/>
      </c>
      <c r="AW30" s="480" t="str">
        <f t="shared" si="25"/>
        <v/>
      </c>
      <c r="AX30" s="453" t="str">
        <f t="shared" si="11"/>
        <v/>
      </c>
      <c r="AY30" s="453" t="str">
        <f t="shared" si="12"/>
        <v/>
      </c>
      <c r="AZ30" s="480" t="str">
        <f t="shared" si="26"/>
        <v/>
      </c>
      <c r="BA30" s="424" t="str">
        <f t="shared" si="13"/>
        <v/>
      </c>
      <c r="BB30" s="454"/>
      <c r="BC30" s="424" t="str">
        <f t="shared" si="14"/>
        <v/>
      </c>
      <c r="BD30" s="424" t="str">
        <f t="shared" si="15"/>
        <v/>
      </c>
      <c r="BE30" s="424" t="str">
        <f t="shared" si="27"/>
        <v/>
      </c>
      <c r="BF30" s="455" t="str" cm="1">
        <f t="array" ref="BF30">IF(AR30="","",IF((IFERROR(_xlfn.IFS($BA30="Devis 1",(IFERROR(VALUE(TRIM(SUBSTITUTE(AR30,CHAR(160),""))),0)),$BA30="Devis 2",(IFERROR(VALUE(TRIM(SUBSTITUTE(AU30,CHAR(160),""))),0)),$BA30="Devis 3",(IFERROR(VALUE(TRIM(SUBSTITUTE(AX30,CHAR(160),""))),0))),0))=0,"",(IFERROR(_xlfn.IFS($BA30="Devis 1",(IFERROR(VALUE(TRIM(SUBSTITUTE(AR30,CHAR(160),""))),0)),$BA30="Devis 2",(IFERROR(VALUE(TRIM(SUBSTITUTE(AU30,CHAR(160),""))),0)),$BA30="Devis 3",(IFERROR(VALUE(TRIM(SUBSTITUTE(AX30,CHAR(160),""))),0))),0))))</f>
        <v/>
      </c>
      <c r="BG30" s="455" t="str" cm="1">
        <f t="array" ref="BG30">IF(AS30="","",IF((IFERROR(_xlfn.IFS($BA30="Devis 1",(IFERROR(VALUE(TRIM(SUBSTITUTE(AS30,CHAR(160),""))),0)),$BA30="Devis 2",(IFERROR(VALUE(TRIM(SUBSTITUTE(AV30,CHAR(160),""))),0)),$BA30="Devis 3",(IFERROR(VALUE(TRIM(SUBSTITUTE(AY30,CHAR(160),""))),0))),0))=0,"",(IFERROR(_xlfn.IFS($BA30="Devis 1",(IFERROR(VALUE(TRIM(SUBSTITUTE(AS30,CHAR(160),""))),0)),$BA30="Devis 2",(IFERROR(VALUE(TRIM(SUBSTITUTE(AV30,CHAR(160),""))),0)),$BA30="Devis 3",(IFERROR(VALUE(TRIM(SUBSTITUTE(AY30,CHAR(160),""))),0))),0))))</f>
        <v/>
      </c>
      <c r="BH30" s="826" t="str" cm="1">
        <f t="array" ref="BH30">IF(AT30="","",IF(IFERROR(_xlfn.IFS($BA30="Devis 1",IFERROR(VALUE(TRIM(SUBSTITUTE(AT30,CHAR(160),""))),0),$BA30="Devis 2",IFERROR(VALUE(TRIM(SUBSTITUTE(AW30,CHAR(160),""))),0),$BA30="Devis 3",IFERROR(VALUE(TRIM(SUBSTITUTE(AZ30,CHAR(160),""))),0)),0)=0,"",IFERROR(_xlfn.IFS($BA30="Devis 1",IFERROR(VALUE(TRIM(SUBSTITUTE(AT30,CHAR(160),""))),0),$BA30="Devis 2",IFERROR(VALUE(TRIM(SUBSTITUTE(AW30,CHAR(160),""))),0),$BA30="Devis 3",IFERROR(VALUE(TRIM(SUBSTITUTE(AZ30,CHAR(160),""))),0)),0)))</f>
        <v/>
      </c>
      <c r="BI30" s="832" t="str">
        <f t="shared" si="28"/>
        <v/>
      </c>
      <c r="BJ30" s="455"/>
      <c r="BK30" s="831"/>
      <c r="BL30" s="455"/>
      <c r="BM30" s="831"/>
      <c r="BN30" s="830">
        <f t="shared" si="31"/>
        <v>0</v>
      </c>
      <c r="BO30" s="676" t="str">
        <f t="shared" si="17"/>
        <v/>
      </c>
      <c r="BP30" s="1330"/>
      <c r="BQ30" s="216" t="str" cm="1">
        <f t="array" ref="BQ30">IF(OR(BH30="",BE30="",BF30="",BC30="",BG30="",BD30=""),"",_xlfn.IFS(
ROUND(IFERROR(VALUE(TRIM(SUBSTITUTE(BH30,CHAR(160),""))),0),2)&gt;
ROUND(IFERROR(VALUE(TRIM(SUBSTITUTE(BE30,CHAR(160),""))),0),2),
"KO : Le montant retenu TTC est supérieur au montant raisonnable TTC. Merci de revoir la ligne de dépense ou plafonner son montant.",
ROUND(IFERROR(VALUE(TRIM(SUBSTITUTE(BF30,CHAR(160),""))),0),2)&gt;
ROUND(IFERROR(VALUE(TRIM(SUBSTITUTE(BC30,CHAR(160),""))),0),2),
"Attention : Le montant retenu HT est supérieur au montant HT raisonnable. Merci de revoir la ligne de dépense, plafonner son montant, ou justifier la reventillation HT / TVA.",
ROUND(IFERROR(VALUE(TRIM(SUBSTITUTE(BG30,CHAR(160),""))),0),2)&gt;
ROUND(IFERROR(VALUE(TRIM(SUBSTITUTE(BD30,CHAR(160),""))),0),2),
"Attention : Le montant TVA retenu est supérieur au montant TVA raisonnable. Merci de revoir la ligne de dépense, plafonner son montant, ou justifier la reventillation HT / TVA.",
ROUND(IFERROR(VALUE(TRIM(SUBSTITUTE(BH30,CHAR(160),""))),0),2)&gt;
ROUND(IFERROR(VALUE(TRIM(SUBSTITUTE(MIN(O30,R30,U30),CHAR(160),""))),0),2),
"Attention : Le devis retenu n'est pas le moins cher. Une justification de la part du porteur est nécessaire.",
ROUND(IFERROR(VALUE(TRIM(SUBSTITUTE(BH30,CHAR(160),""))),0),2)=0,
"Attention : montant présenté entièrement écarté",
ROUND(IFERROR(VALUE(TRIM(SUBSTITUTE(BE30,CHAR(160),""))),0),2)=
ROUND(IFERROR(VALUE(TRIM(SUBSTITUTE(BH30,CHAR(160),""))),0),2),
"OK",
ROUND(IFERROR(VALUE(TRIM(SUBSTITUTE(BE30,CHAR(160),""))),0),2)&gt;
ROUND(IFERROR(VALUE(TRIM(SUBSTITUTE(BH30,CHAR(160),""))),0),2),
" OK : Montant instruit inférieur au montant raisonnable.",
TRUE,""
))</f>
        <v/>
      </c>
      <c r="BR30" s="216" t="str" cm="1">
        <f t="array" ref="BR30">IF(OR(BH30="",Y30="",BF30="",W30="",BG30="",X30=""),"",_xlfn.IFS(
ROUND(IFERROR(VALUE(TRIM(SUBSTITUTE(BH30,CHAR(160),""))),0),2)&gt;
ROUND(IFERROR(VALUE(TRIM(SUBSTITUTE(Y30,CHAR(160),""))),0),2),
"KO : Le montant retenu TTC est supérieur au montant présenté TTC. Merci de revoir la ligne de dépense ou plafonner son montant.",
ROUND(IFERROR(VALUE(TRIM(SUBSTITUTE(BF30,CHAR(160),""))),0),2)&gt;
ROUND(IFERROR(VALUE(TRIM(SUBSTITUTE(W30,CHAR(160),""))),0),2),
"Attention : Le montant retenu HT est supérieur au montant HT présenté. Merci de revoir la ligne de dépense, plafonner son montant, ou justifier la reventillation HT / TVA.",
ROUND(IFERROR(VALUE(TRIM(SUBSTITUTE(BG30,CHAR(160),""))),0),2)&gt;
ROUND(IFERROR(VALUE(TRIM(SUBSTITUTE(X30,CHAR(160),""))),0),2),
"Attention : Le montant TVA retenu est supérieur au montant TVA présenté. Merci de revoir la ligne de dépense, plafonner son montant, ou justifier la reventillation HT / TVA.",
ROUND(IFERROR(VALUE(TRIM(SUBSTITUTE(Y30,CHAR(160),""))),0),2)=0,
"",
ROUND(IFERROR(VALUE(TRIM(SUBSTITUTE(BH30,CHAR(160),""))),0),2)=
ROUND(IFERROR(VALUE(TRIM(SUBSTITUTE(Y30,CHAR(160),""))),0),2),
"OK",
ROUND(IFERROR(VALUE(TRIM(SUBSTITUTE(BH30,CHAR(160),""))),0),2)=0,
"Attention : Montant présenté entièrement rejeté.",
ROUND(IFERROR(VALUE(TRIM(SUBSTITUTE(BH30,CHAR(160),""))),0),2)&lt;
ROUND(IFERROR(VALUE(TRIM(SUBSTITUTE(Y30,CHAR(160),""))),0),2),
"Attention : Montant présenté partiellement rejeté.",
TRUE,""
))</f>
        <v/>
      </c>
      <c r="BS30" s="1331" t="str" cm="1">
        <f t="array" ref="BS30">IF(OR(BN30="",AE30=""),"",_xlfn.IFS(
ROUND(IFERROR(VALUE(TRIM(SUBSTITUTE(BN30,CHAR(160),""))),0),2)&gt;
ROUND(IFERROR(VALUE(TRIM(SUBSTITUTE(AE30,CHAR(160),""))),0),2),
"KO : Le montant retenu est supérieur au montant présenté. Merci de revoir la ligne de contributions ou plafonner son montant.",
ROUND(IFERROR(VALUE(TRIM(SUBSTITUTE(AE30,CHAR(160),""))),0),2)=0,
"",
ROUND(IFERROR(VALUE(TRIM(SUBSTITUTE(BN30,CHAR(160),""))),0),2)=
ROUND(IFERROR(VALUE(TRIM(SUBSTITUTE(AE30,CHAR(160),""))),0),2),
"OK",
ROUND(IFERROR(VALUE(TRIM(SUBSTITUTE(BN30,CHAR(160),""))),0),2)=0,
"Attention : Montant présenté entièrement rejeté.",
ROUND(IFERROR(VALUE(TRIM(SUBSTITUTE(BN30,CHAR(160),""))),0),2)&lt;
ROUND(IFERROR(VALUE(TRIM(SUBSTITUTE(AE30,CHAR(160),""))),0),2),
"Attention : Montant présenté partiellement rejeté.",
TRUE,""
))</f>
        <v/>
      </c>
      <c r="BT30" s="674" t="str">
        <f t="shared" si="18"/>
        <v/>
      </c>
      <c r="BU30" s="673" t="str">
        <f t="shared" si="19"/>
        <v/>
      </c>
      <c r="BV30" s="1351" t="str">
        <f t="shared" si="20"/>
        <v/>
      </c>
    </row>
    <row r="31" spans="2:74" ht="14.1" customHeight="1">
      <c r="B31" s="498">
        <v>22</v>
      </c>
      <c r="C31" s="119"/>
      <c r="D31" s="11"/>
      <c r="E31" s="6"/>
      <c r="F31" s="28"/>
      <c r="G31" s="6"/>
      <c r="H31" s="6"/>
      <c r="I31" s="30"/>
      <c r="J31" s="30"/>
      <c r="K31" s="30"/>
      <c r="L31" s="31"/>
      <c r="M31" s="440"/>
      <c r="N31" s="33"/>
      <c r="O31" s="321" t="str">
        <f t="shared" si="32"/>
        <v/>
      </c>
      <c r="P31" s="32"/>
      <c r="Q31" s="33"/>
      <c r="R31" s="299" t="str">
        <f t="shared" si="33"/>
        <v/>
      </c>
      <c r="S31" s="34"/>
      <c r="T31" s="33"/>
      <c r="U31" s="299" t="str">
        <f t="shared" si="1"/>
        <v/>
      </c>
      <c r="V31" s="439"/>
      <c r="W31" s="441" t="str" cm="1">
        <f t="array" ref="W31">IF((_xlfn.IFS(TRIM(SUBSTITUTE(V31,CHAR(160),""))="Devis 1",IFERROR(VALUE(TRIM(SUBSTITUTE(M31,CHAR(160),""))),0),TRIM(SUBSTITUTE(V31,CHAR(160),""))="Devis 2",IFERROR(VALUE(TRIM(SUBSTITUTE(P31,CHAR(160),""))),0),TRIM(SUBSTITUTE(V31,CHAR(160),""))="Devis 3",IFERROR(VALUE(TRIM(SUBSTITUTE(S31,CHAR(160),""))),0),TRUE,0))=0,"",_xlfn.IFS(TRIM(SUBSTITUTE(V31,CHAR(160),""))="Devis 1",IFERROR(VALUE(TRIM(SUBSTITUTE(M31,CHAR(160),""))),0),TRIM(SUBSTITUTE(V31,CHAR(160),""))="Devis 2",IFERROR(VALUE(TRIM(SUBSTITUTE(P31,CHAR(160),""))),0),TRIM(SUBSTITUTE(V31,CHAR(160),""))="Devis 3",IFERROR(VALUE(TRIM(SUBSTITUTE(S31,CHAR(160),""))),0),TRUE,0))</f>
        <v/>
      </c>
      <c r="X31" s="441" t="str" cm="1">
        <f t="array" ref="X31">IF((_xlfn.IFS(TRIM(SUBSTITUTE(V31,CHAR(160),""))="Devis 1",IFERROR(VALUE(TRIM(SUBSTITUTE(N31,CHAR(160),""))),0),TRIM(SUBSTITUTE(V31,CHAR(160),""))="Devis 2",IFERROR(VALUE(TRIM(SUBSTITUTE(Q31,CHAR(160),""))),0),TRIM(SUBSTITUTE(V31,CHAR(160),""))="Devis 3",IFERROR(VALUE(TRIM(SUBSTITUTE(T31,CHAR(160),""))),0),TRUE,0))=0,"",_xlfn.IFS(TRIM(SUBSTITUTE(V31,CHAR(160),""))="Devis 1",IFERROR(VALUE(TRIM(SUBSTITUTE(N31,CHAR(160),""))),0),TRIM(SUBSTITUTE(V31,CHAR(160),""))="Devis 2",IFERROR(VALUE(TRIM(SUBSTITUTE(Q31,CHAR(160),""))),0),TRIM(SUBSTITUTE(V31,CHAR(160),""))="Devis 3",IFERROR(VALUE(TRIM(SUBSTITUTE(T31,CHAR(160),""))),0),TRUE,0))</f>
        <v/>
      </c>
      <c r="Y31" s="815" t="str" cm="1">
        <f t="array" ref="Y31">IF((_xlfn.IFS(TRIM(SUBSTITUTE(V31,CHAR(160),""))="Devis 1",IFERROR(VALUE(TRIM(SUBSTITUTE(O31,CHAR(160),""))),0),TRIM(SUBSTITUTE(V31,CHAR(160),""))="Devis 2",IFERROR(VALUE(TRIM(SUBSTITUTE(R31,CHAR(160),""))),0),TRIM(SUBSTITUTE(V31,CHAR(160),""))="Devis 3",IFERROR(VALUE(TRIM(SUBSTITUTE(U31,CHAR(160),""))),0),TRUE,0))=0,"",_xlfn.IFS(TRIM(SUBSTITUTE(V31,CHAR(160),""))="Devis 1",IFERROR(VALUE(TRIM(SUBSTITUTE(O31,CHAR(160),""))),0),TRIM(SUBSTITUTE(V31,CHAR(160),""))="Devis 2",IFERROR(VALUE(TRIM(SUBSTITUTE(R31,CHAR(160),""))),0),TRIM(SUBSTITUTE(V31,CHAR(160),""))="Devis 3",IFERROR(VALUE(TRIM(SUBSTITUTE(U31,CHAR(160),""))),0),TRUE,0))</f>
        <v/>
      </c>
      <c r="Z31" s="850"/>
      <c r="AA31" s="817" t="str" cm="1">
        <f t="array" ref="AA31">IF(Z31="","",_xlfn.IFS(Z31=$BZ$5,70,Z31=$BZ$6,90,Z31=$BZ$7,70,Z31=$BZ$8,90,Z31=$BZ$9,110))</f>
        <v/>
      </c>
      <c r="AB31" s="627"/>
      <c r="AC31" s="817" t="str" cm="1">
        <f t="array" ref="AC31">IF(Z31="","",_xlfn.IFS(Z31=$BZ$5,15.75,Z31=$BZ$6,21,Z31=$BZ$7,15.25,Z31=$BZ$8,15.25,Z31=$BZ$9,15.25))</f>
        <v/>
      </c>
      <c r="AD31" s="818"/>
      <c r="AE31" s="830">
        <f t="shared" si="34"/>
        <v>0</v>
      </c>
      <c r="AF31" s="819" t="str">
        <f t="shared" si="35"/>
        <v/>
      </c>
      <c r="AG31" s="26"/>
      <c r="AH31" s="466" t="str">
        <f t="shared" si="2"/>
        <v/>
      </c>
      <c r="AI31" s="1414" t="str">
        <f t="shared" si="21"/>
        <v/>
      </c>
      <c r="AJ31" s="452" t="str">
        <f t="shared" si="4"/>
        <v/>
      </c>
      <c r="AK31" s="28"/>
      <c r="AL31" s="664" t="str">
        <f t="shared" si="5"/>
        <v/>
      </c>
      <c r="AM31" s="452" t="str">
        <f t="shared" si="6"/>
        <v/>
      </c>
      <c r="AN31" s="452" t="str">
        <f t="shared" si="22"/>
        <v/>
      </c>
      <c r="AO31" s="452" t="str">
        <f t="shared" si="23"/>
        <v/>
      </c>
      <c r="AP31" s="452" t="str">
        <f t="shared" si="24"/>
        <v/>
      </c>
      <c r="AQ31" s="452" t="str">
        <f t="shared" si="7"/>
        <v/>
      </c>
      <c r="AR31" s="478" t="str">
        <f t="shared" si="8"/>
        <v/>
      </c>
      <c r="AS31" s="453" t="str">
        <f t="shared" si="9"/>
        <v/>
      </c>
      <c r="AT31" s="479" t="str">
        <f t="shared" si="29"/>
        <v/>
      </c>
      <c r="AU31" s="453" t="str">
        <f t="shared" si="10"/>
        <v/>
      </c>
      <c r="AV31" s="453" t="str">
        <f t="shared" si="30"/>
        <v/>
      </c>
      <c r="AW31" s="480" t="str">
        <f t="shared" si="25"/>
        <v/>
      </c>
      <c r="AX31" s="453" t="str">
        <f t="shared" si="11"/>
        <v/>
      </c>
      <c r="AY31" s="453" t="str">
        <f t="shared" si="12"/>
        <v/>
      </c>
      <c r="AZ31" s="480" t="str">
        <f t="shared" si="26"/>
        <v/>
      </c>
      <c r="BA31" s="424" t="str">
        <f t="shared" si="13"/>
        <v/>
      </c>
      <c r="BB31" s="454"/>
      <c r="BC31" s="424" t="str">
        <f t="shared" si="14"/>
        <v/>
      </c>
      <c r="BD31" s="424" t="str">
        <f t="shared" si="15"/>
        <v/>
      </c>
      <c r="BE31" s="424" t="str">
        <f t="shared" si="27"/>
        <v/>
      </c>
      <c r="BF31" s="455" t="str" cm="1">
        <f t="array" ref="BF31">IF(AR31="","",IF((IFERROR(_xlfn.IFS($BA31="Devis 1",(IFERROR(VALUE(TRIM(SUBSTITUTE(AR31,CHAR(160),""))),0)),$BA31="Devis 2",(IFERROR(VALUE(TRIM(SUBSTITUTE(AU31,CHAR(160),""))),0)),$BA31="Devis 3",(IFERROR(VALUE(TRIM(SUBSTITUTE(AX31,CHAR(160),""))),0))),0))=0,"",(IFERROR(_xlfn.IFS($BA31="Devis 1",(IFERROR(VALUE(TRIM(SUBSTITUTE(AR31,CHAR(160),""))),0)),$BA31="Devis 2",(IFERROR(VALUE(TRIM(SUBSTITUTE(AU31,CHAR(160),""))),0)),$BA31="Devis 3",(IFERROR(VALUE(TRIM(SUBSTITUTE(AX31,CHAR(160),""))),0))),0))))</f>
        <v/>
      </c>
      <c r="BG31" s="455" t="str" cm="1">
        <f t="array" ref="BG31">IF(AS31="","",IF((IFERROR(_xlfn.IFS($BA31="Devis 1",(IFERROR(VALUE(TRIM(SUBSTITUTE(AS31,CHAR(160),""))),0)),$BA31="Devis 2",(IFERROR(VALUE(TRIM(SUBSTITUTE(AV31,CHAR(160),""))),0)),$BA31="Devis 3",(IFERROR(VALUE(TRIM(SUBSTITUTE(AY31,CHAR(160),""))),0))),0))=0,"",(IFERROR(_xlfn.IFS($BA31="Devis 1",(IFERROR(VALUE(TRIM(SUBSTITUTE(AS31,CHAR(160),""))),0)),$BA31="Devis 2",(IFERROR(VALUE(TRIM(SUBSTITUTE(AV31,CHAR(160),""))),0)),$BA31="Devis 3",(IFERROR(VALUE(TRIM(SUBSTITUTE(AY31,CHAR(160),""))),0))),0))))</f>
        <v/>
      </c>
      <c r="BH31" s="826" t="str" cm="1">
        <f t="array" ref="BH31">IF(AT31="","",IF(IFERROR(_xlfn.IFS($BA31="Devis 1",IFERROR(VALUE(TRIM(SUBSTITUTE(AT31,CHAR(160),""))),0),$BA31="Devis 2",IFERROR(VALUE(TRIM(SUBSTITUTE(AW31,CHAR(160),""))),0),$BA31="Devis 3",IFERROR(VALUE(TRIM(SUBSTITUTE(AZ31,CHAR(160),""))),0)),0)=0,"",IFERROR(_xlfn.IFS($BA31="Devis 1",IFERROR(VALUE(TRIM(SUBSTITUTE(AT31,CHAR(160),""))),0),$BA31="Devis 2",IFERROR(VALUE(TRIM(SUBSTITUTE(AW31,CHAR(160),""))),0),$BA31="Devis 3",IFERROR(VALUE(TRIM(SUBSTITUTE(AZ31,CHAR(160),""))),0)),0)))</f>
        <v/>
      </c>
      <c r="BI31" s="832" t="str">
        <f t="shared" si="28"/>
        <v/>
      </c>
      <c r="BJ31" s="455"/>
      <c r="BK31" s="831"/>
      <c r="BL31" s="455"/>
      <c r="BM31" s="831"/>
      <c r="BN31" s="830">
        <f t="shared" si="31"/>
        <v>0</v>
      </c>
      <c r="BO31" s="676" t="str">
        <f t="shared" si="17"/>
        <v/>
      </c>
      <c r="BP31" s="1330"/>
      <c r="BQ31" s="216" t="str" cm="1">
        <f t="array" ref="BQ31">IF(OR(BH31="",BE31="",BF31="",BC31="",BG31="",BD31=""),"",_xlfn.IFS(
ROUND(IFERROR(VALUE(TRIM(SUBSTITUTE(BH31,CHAR(160),""))),0),2)&gt;
ROUND(IFERROR(VALUE(TRIM(SUBSTITUTE(BE31,CHAR(160),""))),0),2),
"KO : Le montant retenu TTC est supérieur au montant raisonnable TTC. Merci de revoir la ligne de dépense ou plafonner son montant.",
ROUND(IFERROR(VALUE(TRIM(SUBSTITUTE(BF31,CHAR(160),""))),0),2)&gt;
ROUND(IFERROR(VALUE(TRIM(SUBSTITUTE(BC31,CHAR(160),""))),0),2),
"Attention : Le montant retenu HT est supérieur au montant HT raisonnable. Merci de revoir la ligne de dépense, plafonner son montant, ou justifier la reventillation HT / TVA.",
ROUND(IFERROR(VALUE(TRIM(SUBSTITUTE(BG31,CHAR(160),""))),0),2)&gt;
ROUND(IFERROR(VALUE(TRIM(SUBSTITUTE(BD31,CHAR(160),""))),0),2),
"Attention : Le montant TVA retenu est supérieur au montant TVA raisonnable. Merci de revoir la ligne de dépense, plafonner son montant, ou justifier la reventillation HT / TVA.",
ROUND(IFERROR(VALUE(TRIM(SUBSTITUTE(BH31,CHAR(160),""))),0),2)&gt;
ROUND(IFERROR(VALUE(TRIM(SUBSTITUTE(MIN(O31,R31,U31),CHAR(160),""))),0),2),
"Attention : Le devis retenu n'est pas le moins cher. Une justification de la part du porteur est nécessaire.",
ROUND(IFERROR(VALUE(TRIM(SUBSTITUTE(BH31,CHAR(160),""))),0),2)=0,
"Attention : montant présenté entièrement écarté",
ROUND(IFERROR(VALUE(TRIM(SUBSTITUTE(BE31,CHAR(160),""))),0),2)=
ROUND(IFERROR(VALUE(TRIM(SUBSTITUTE(BH31,CHAR(160),""))),0),2),
"OK",
ROUND(IFERROR(VALUE(TRIM(SUBSTITUTE(BE31,CHAR(160),""))),0),2)&gt;
ROUND(IFERROR(VALUE(TRIM(SUBSTITUTE(BH31,CHAR(160),""))),0),2),
" OK : Montant instruit inférieur au montant raisonnable.",
TRUE,""
))</f>
        <v/>
      </c>
      <c r="BR31" s="216" t="str" cm="1">
        <f t="array" ref="BR31">IF(OR(BH31="",Y31="",BF31="",W31="",BG31="",X31=""),"",_xlfn.IFS(
ROUND(IFERROR(VALUE(TRIM(SUBSTITUTE(BH31,CHAR(160),""))),0),2)&gt;
ROUND(IFERROR(VALUE(TRIM(SUBSTITUTE(Y31,CHAR(160),""))),0),2),
"KO : Le montant retenu TTC est supérieur au montant présenté TTC. Merci de revoir la ligne de dépense ou plafonner son montant.",
ROUND(IFERROR(VALUE(TRIM(SUBSTITUTE(BF31,CHAR(160),""))),0),2)&gt;
ROUND(IFERROR(VALUE(TRIM(SUBSTITUTE(W31,CHAR(160),""))),0),2),
"Attention : Le montant retenu HT est supérieur au montant HT présenté. Merci de revoir la ligne de dépense, plafonner son montant, ou justifier la reventillation HT / TVA.",
ROUND(IFERROR(VALUE(TRIM(SUBSTITUTE(BG31,CHAR(160),""))),0),2)&gt;
ROUND(IFERROR(VALUE(TRIM(SUBSTITUTE(X31,CHAR(160),""))),0),2),
"Attention : Le montant TVA retenu est supérieur au montant TVA présenté. Merci de revoir la ligne de dépense, plafonner son montant, ou justifier la reventillation HT / TVA.",
ROUND(IFERROR(VALUE(TRIM(SUBSTITUTE(Y31,CHAR(160),""))),0),2)=0,
"",
ROUND(IFERROR(VALUE(TRIM(SUBSTITUTE(BH31,CHAR(160),""))),0),2)=
ROUND(IFERROR(VALUE(TRIM(SUBSTITUTE(Y31,CHAR(160),""))),0),2),
"OK",
ROUND(IFERROR(VALUE(TRIM(SUBSTITUTE(BH31,CHAR(160),""))),0),2)=0,
"Attention : Montant présenté entièrement rejeté.",
ROUND(IFERROR(VALUE(TRIM(SUBSTITUTE(BH31,CHAR(160),""))),0),2)&lt;
ROUND(IFERROR(VALUE(TRIM(SUBSTITUTE(Y31,CHAR(160),""))),0),2),
"Attention : Montant présenté partiellement rejeté.",
TRUE,""
))</f>
        <v/>
      </c>
      <c r="BS31" s="1331" t="str" cm="1">
        <f t="array" ref="BS31">IF(OR(BN31="",AE31=""),"",_xlfn.IFS(
ROUND(IFERROR(VALUE(TRIM(SUBSTITUTE(BN31,CHAR(160),""))),0),2)&gt;
ROUND(IFERROR(VALUE(TRIM(SUBSTITUTE(AE31,CHAR(160),""))),0),2),
"KO : Le montant retenu est supérieur au montant présenté. Merci de revoir la ligne de contributions ou plafonner son montant.",
ROUND(IFERROR(VALUE(TRIM(SUBSTITUTE(AE31,CHAR(160),""))),0),2)=0,
"",
ROUND(IFERROR(VALUE(TRIM(SUBSTITUTE(BN31,CHAR(160),""))),0),2)=
ROUND(IFERROR(VALUE(TRIM(SUBSTITUTE(AE31,CHAR(160),""))),0),2),
"OK",
ROUND(IFERROR(VALUE(TRIM(SUBSTITUTE(BN31,CHAR(160),""))),0),2)=0,
"Attention : Montant présenté entièrement rejeté.",
ROUND(IFERROR(VALUE(TRIM(SUBSTITUTE(BN31,CHAR(160),""))),0),2)&lt;
ROUND(IFERROR(VALUE(TRIM(SUBSTITUTE(AE31,CHAR(160),""))),0),2),
"Attention : Montant présenté partiellement rejeté.",
TRUE,""
))</f>
        <v/>
      </c>
      <c r="BT31" s="674" t="str">
        <f t="shared" si="18"/>
        <v/>
      </c>
      <c r="BU31" s="673" t="str">
        <f t="shared" si="19"/>
        <v/>
      </c>
      <c r="BV31" s="1351" t="str">
        <f t="shared" si="20"/>
        <v/>
      </c>
    </row>
    <row r="32" spans="2:74" ht="14.1" customHeight="1">
      <c r="B32" s="498">
        <v>23</v>
      </c>
      <c r="C32" s="119"/>
      <c r="D32" s="11"/>
      <c r="E32" s="6"/>
      <c r="F32" s="28"/>
      <c r="G32" s="6"/>
      <c r="H32" s="6"/>
      <c r="I32" s="30"/>
      <c r="J32" s="30"/>
      <c r="K32" s="30"/>
      <c r="L32" s="31"/>
      <c r="M32" s="440"/>
      <c r="N32" s="33"/>
      <c r="O32" s="321" t="str">
        <f t="shared" si="32"/>
        <v/>
      </c>
      <c r="P32" s="32"/>
      <c r="Q32" s="33"/>
      <c r="R32" s="299" t="str">
        <f t="shared" si="33"/>
        <v/>
      </c>
      <c r="S32" s="34"/>
      <c r="T32" s="33"/>
      <c r="U32" s="299" t="str">
        <f t="shared" si="1"/>
        <v/>
      </c>
      <c r="V32" s="439"/>
      <c r="W32" s="441" t="str" cm="1">
        <f t="array" ref="W32">IF((_xlfn.IFS(TRIM(SUBSTITUTE(V32,CHAR(160),""))="Devis 1",IFERROR(VALUE(TRIM(SUBSTITUTE(M32,CHAR(160),""))),0),TRIM(SUBSTITUTE(V32,CHAR(160),""))="Devis 2",IFERROR(VALUE(TRIM(SUBSTITUTE(P32,CHAR(160),""))),0),TRIM(SUBSTITUTE(V32,CHAR(160),""))="Devis 3",IFERROR(VALUE(TRIM(SUBSTITUTE(S32,CHAR(160),""))),0),TRUE,0))=0,"",_xlfn.IFS(TRIM(SUBSTITUTE(V32,CHAR(160),""))="Devis 1",IFERROR(VALUE(TRIM(SUBSTITUTE(M32,CHAR(160),""))),0),TRIM(SUBSTITUTE(V32,CHAR(160),""))="Devis 2",IFERROR(VALUE(TRIM(SUBSTITUTE(P32,CHAR(160),""))),0),TRIM(SUBSTITUTE(V32,CHAR(160),""))="Devis 3",IFERROR(VALUE(TRIM(SUBSTITUTE(S32,CHAR(160),""))),0),TRUE,0))</f>
        <v/>
      </c>
      <c r="X32" s="441" t="str" cm="1">
        <f t="array" ref="X32">IF((_xlfn.IFS(TRIM(SUBSTITUTE(V32,CHAR(160),""))="Devis 1",IFERROR(VALUE(TRIM(SUBSTITUTE(N32,CHAR(160),""))),0),TRIM(SUBSTITUTE(V32,CHAR(160),""))="Devis 2",IFERROR(VALUE(TRIM(SUBSTITUTE(Q32,CHAR(160),""))),0),TRIM(SUBSTITUTE(V32,CHAR(160),""))="Devis 3",IFERROR(VALUE(TRIM(SUBSTITUTE(T32,CHAR(160),""))),0),TRUE,0))=0,"",_xlfn.IFS(TRIM(SUBSTITUTE(V32,CHAR(160),""))="Devis 1",IFERROR(VALUE(TRIM(SUBSTITUTE(N32,CHAR(160),""))),0),TRIM(SUBSTITUTE(V32,CHAR(160),""))="Devis 2",IFERROR(VALUE(TRIM(SUBSTITUTE(Q32,CHAR(160),""))),0),TRIM(SUBSTITUTE(V32,CHAR(160),""))="Devis 3",IFERROR(VALUE(TRIM(SUBSTITUTE(T32,CHAR(160),""))),0),TRUE,0))</f>
        <v/>
      </c>
      <c r="Y32" s="815" t="str" cm="1">
        <f t="array" ref="Y32">IF((_xlfn.IFS(TRIM(SUBSTITUTE(V32,CHAR(160),""))="Devis 1",IFERROR(VALUE(TRIM(SUBSTITUTE(O32,CHAR(160),""))),0),TRIM(SUBSTITUTE(V32,CHAR(160),""))="Devis 2",IFERROR(VALUE(TRIM(SUBSTITUTE(R32,CHAR(160),""))),0),TRIM(SUBSTITUTE(V32,CHAR(160),""))="Devis 3",IFERROR(VALUE(TRIM(SUBSTITUTE(U32,CHAR(160),""))),0),TRUE,0))=0,"",_xlfn.IFS(TRIM(SUBSTITUTE(V32,CHAR(160),""))="Devis 1",IFERROR(VALUE(TRIM(SUBSTITUTE(O32,CHAR(160),""))),0),TRIM(SUBSTITUTE(V32,CHAR(160),""))="Devis 2",IFERROR(VALUE(TRIM(SUBSTITUTE(R32,CHAR(160),""))),0),TRIM(SUBSTITUTE(V32,CHAR(160),""))="Devis 3",IFERROR(VALUE(TRIM(SUBSTITUTE(U32,CHAR(160),""))),0),TRUE,0))</f>
        <v/>
      </c>
      <c r="Z32" s="850"/>
      <c r="AA32" s="817" t="str" cm="1">
        <f t="array" ref="AA32">IF(Z32="","",_xlfn.IFS(Z32=$BZ$5,70,Z32=$BZ$6,90,Z32=$BZ$7,70,Z32=$BZ$8,90,Z32=$BZ$9,110))</f>
        <v/>
      </c>
      <c r="AB32" s="627"/>
      <c r="AC32" s="817" t="str" cm="1">
        <f t="array" ref="AC32">IF(Z32="","",_xlfn.IFS(Z32=$BZ$5,15.75,Z32=$BZ$6,21,Z32=$BZ$7,15.25,Z32=$BZ$8,15.25,Z32=$BZ$9,15.25))</f>
        <v/>
      </c>
      <c r="AD32" s="818"/>
      <c r="AE32" s="830">
        <f t="shared" si="34"/>
        <v>0</v>
      </c>
      <c r="AF32" s="819" t="str">
        <f t="shared" si="35"/>
        <v/>
      </c>
      <c r="AG32" s="26"/>
      <c r="AH32" s="466" t="str">
        <f t="shared" si="2"/>
        <v/>
      </c>
      <c r="AI32" s="1414" t="str">
        <f t="shared" si="21"/>
        <v/>
      </c>
      <c r="AJ32" s="452" t="str">
        <f t="shared" si="4"/>
        <v/>
      </c>
      <c r="AK32" s="28"/>
      <c r="AL32" s="664" t="str">
        <f t="shared" si="5"/>
        <v/>
      </c>
      <c r="AM32" s="452" t="str">
        <f t="shared" si="6"/>
        <v/>
      </c>
      <c r="AN32" s="452" t="str">
        <f t="shared" si="22"/>
        <v/>
      </c>
      <c r="AO32" s="452" t="str">
        <f t="shared" si="23"/>
        <v/>
      </c>
      <c r="AP32" s="452" t="str">
        <f t="shared" si="24"/>
        <v/>
      </c>
      <c r="AQ32" s="452" t="str">
        <f t="shared" si="7"/>
        <v/>
      </c>
      <c r="AR32" s="478" t="str">
        <f t="shared" si="8"/>
        <v/>
      </c>
      <c r="AS32" s="453" t="str">
        <f t="shared" si="9"/>
        <v/>
      </c>
      <c r="AT32" s="479" t="str">
        <f t="shared" si="29"/>
        <v/>
      </c>
      <c r="AU32" s="453" t="str">
        <f t="shared" si="10"/>
        <v/>
      </c>
      <c r="AV32" s="453" t="str">
        <f t="shared" si="30"/>
        <v/>
      </c>
      <c r="AW32" s="480" t="str">
        <f t="shared" si="25"/>
        <v/>
      </c>
      <c r="AX32" s="453" t="str">
        <f t="shared" si="11"/>
        <v/>
      </c>
      <c r="AY32" s="453" t="str">
        <f t="shared" si="12"/>
        <v/>
      </c>
      <c r="AZ32" s="480" t="str">
        <f t="shared" si="26"/>
        <v/>
      </c>
      <c r="BA32" s="424" t="str">
        <f t="shared" si="13"/>
        <v/>
      </c>
      <c r="BB32" s="454"/>
      <c r="BC32" s="424" t="str">
        <f t="shared" si="14"/>
        <v/>
      </c>
      <c r="BD32" s="424" t="str">
        <f t="shared" si="15"/>
        <v/>
      </c>
      <c r="BE32" s="424" t="str">
        <f t="shared" si="27"/>
        <v/>
      </c>
      <c r="BF32" s="455" t="str" cm="1">
        <f t="array" ref="BF32">IF(AR32="","",IF((IFERROR(_xlfn.IFS($BA32="Devis 1",(IFERROR(VALUE(TRIM(SUBSTITUTE(AR32,CHAR(160),""))),0)),$BA32="Devis 2",(IFERROR(VALUE(TRIM(SUBSTITUTE(AU32,CHAR(160),""))),0)),$BA32="Devis 3",(IFERROR(VALUE(TRIM(SUBSTITUTE(AX32,CHAR(160),""))),0))),0))=0,"",(IFERROR(_xlfn.IFS($BA32="Devis 1",(IFERROR(VALUE(TRIM(SUBSTITUTE(AR32,CHAR(160),""))),0)),$BA32="Devis 2",(IFERROR(VALUE(TRIM(SUBSTITUTE(AU32,CHAR(160),""))),0)),$BA32="Devis 3",(IFERROR(VALUE(TRIM(SUBSTITUTE(AX32,CHAR(160),""))),0))),0))))</f>
        <v/>
      </c>
      <c r="BG32" s="455" t="str" cm="1">
        <f t="array" ref="BG32">IF(AS32="","",IF((IFERROR(_xlfn.IFS($BA32="Devis 1",(IFERROR(VALUE(TRIM(SUBSTITUTE(AS32,CHAR(160),""))),0)),$BA32="Devis 2",(IFERROR(VALUE(TRIM(SUBSTITUTE(AV32,CHAR(160),""))),0)),$BA32="Devis 3",(IFERROR(VALUE(TRIM(SUBSTITUTE(AY32,CHAR(160),""))),0))),0))=0,"",(IFERROR(_xlfn.IFS($BA32="Devis 1",(IFERROR(VALUE(TRIM(SUBSTITUTE(AS32,CHAR(160),""))),0)),$BA32="Devis 2",(IFERROR(VALUE(TRIM(SUBSTITUTE(AV32,CHAR(160),""))),0)),$BA32="Devis 3",(IFERROR(VALUE(TRIM(SUBSTITUTE(AY32,CHAR(160),""))),0))),0))))</f>
        <v/>
      </c>
      <c r="BH32" s="826" t="str" cm="1">
        <f t="array" ref="BH32">IF(AT32="","",IF(IFERROR(_xlfn.IFS($BA32="Devis 1",IFERROR(VALUE(TRIM(SUBSTITUTE(AT32,CHAR(160),""))),0),$BA32="Devis 2",IFERROR(VALUE(TRIM(SUBSTITUTE(AW32,CHAR(160),""))),0),$BA32="Devis 3",IFERROR(VALUE(TRIM(SUBSTITUTE(AZ32,CHAR(160),""))),0)),0)=0,"",IFERROR(_xlfn.IFS($BA32="Devis 1",IFERROR(VALUE(TRIM(SUBSTITUTE(AT32,CHAR(160),""))),0),$BA32="Devis 2",IFERROR(VALUE(TRIM(SUBSTITUTE(AW32,CHAR(160),""))),0),$BA32="Devis 3",IFERROR(VALUE(TRIM(SUBSTITUTE(AZ32,CHAR(160),""))),0)),0)))</f>
        <v/>
      </c>
      <c r="BI32" s="832" t="str">
        <f t="shared" si="28"/>
        <v/>
      </c>
      <c r="BJ32" s="455"/>
      <c r="BK32" s="831"/>
      <c r="BL32" s="455"/>
      <c r="BM32" s="831"/>
      <c r="BN32" s="830">
        <f t="shared" si="31"/>
        <v>0</v>
      </c>
      <c r="BO32" s="676" t="str">
        <f t="shared" si="17"/>
        <v/>
      </c>
      <c r="BP32" s="1330"/>
      <c r="BQ32" s="216" t="str" cm="1">
        <f t="array" ref="BQ32">IF(OR(BH32="",BE32="",BF32="",BC32="",BG32="",BD32=""),"",_xlfn.IFS(
ROUND(IFERROR(VALUE(TRIM(SUBSTITUTE(BH32,CHAR(160),""))),0),2)&gt;
ROUND(IFERROR(VALUE(TRIM(SUBSTITUTE(BE32,CHAR(160),""))),0),2),
"KO : Le montant retenu TTC est supérieur au montant raisonnable TTC. Merci de revoir la ligne de dépense ou plafonner son montant.",
ROUND(IFERROR(VALUE(TRIM(SUBSTITUTE(BF32,CHAR(160),""))),0),2)&gt;
ROUND(IFERROR(VALUE(TRIM(SUBSTITUTE(BC32,CHAR(160),""))),0),2),
"Attention : Le montant retenu HT est supérieur au montant HT raisonnable. Merci de revoir la ligne de dépense, plafonner son montant, ou justifier la reventillation HT / TVA.",
ROUND(IFERROR(VALUE(TRIM(SUBSTITUTE(BG32,CHAR(160),""))),0),2)&gt;
ROUND(IFERROR(VALUE(TRIM(SUBSTITUTE(BD32,CHAR(160),""))),0),2),
"Attention : Le montant TVA retenu est supérieur au montant TVA raisonnable. Merci de revoir la ligne de dépense, plafonner son montant, ou justifier la reventillation HT / TVA.",
ROUND(IFERROR(VALUE(TRIM(SUBSTITUTE(BH32,CHAR(160),""))),0),2)&gt;
ROUND(IFERROR(VALUE(TRIM(SUBSTITUTE(MIN(O32,R32,U32),CHAR(160),""))),0),2),
"Attention : Le devis retenu n'est pas le moins cher. Une justification de la part du porteur est nécessaire.",
ROUND(IFERROR(VALUE(TRIM(SUBSTITUTE(BH32,CHAR(160),""))),0),2)=0,
"Attention : montant présenté entièrement écarté",
ROUND(IFERROR(VALUE(TRIM(SUBSTITUTE(BE32,CHAR(160),""))),0),2)=
ROUND(IFERROR(VALUE(TRIM(SUBSTITUTE(BH32,CHAR(160),""))),0),2),
"OK",
ROUND(IFERROR(VALUE(TRIM(SUBSTITUTE(BE32,CHAR(160),""))),0),2)&gt;
ROUND(IFERROR(VALUE(TRIM(SUBSTITUTE(BH32,CHAR(160),""))),0),2),
" OK : Montant instruit inférieur au montant raisonnable.",
TRUE,""
))</f>
        <v/>
      </c>
      <c r="BR32" s="216" t="str" cm="1">
        <f t="array" ref="BR32">IF(OR(BH32="",Y32="",BF32="",W32="",BG32="",X32=""),"",_xlfn.IFS(
ROUND(IFERROR(VALUE(TRIM(SUBSTITUTE(BH32,CHAR(160),""))),0),2)&gt;
ROUND(IFERROR(VALUE(TRIM(SUBSTITUTE(Y32,CHAR(160),""))),0),2),
"KO : Le montant retenu TTC est supérieur au montant présenté TTC. Merci de revoir la ligne de dépense ou plafonner son montant.",
ROUND(IFERROR(VALUE(TRIM(SUBSTITUTE(BF32,CHAR(160),""))),0),2)&gt;
ROUND(IFERROR(VALUE(TRIM(SUBSTITUTE(W32,CHAR(160),""))),0),2),
"Attention : Le montant retenu HT est supérieur au montant HT présenté. Merci de revoir la ligne de dépense, plafonner son montant, ou justifier la reventillation HT / TVA.",
ROUND(IFERROR(VALUE(TRIM(SUBSTITUTE(BG32,CHAR(160),""))),0),2)&gt;
ROUND(IFERROR(VALUE(TRIM(SUBSTITUTE(X32,CHAR(160),""))),0),2),
"Attention : Le montant TVA retenu est supérieur au montant TVA présenté. Merci de revoir la ligne de dépense, plafonner son montant, ou justifier la reventillation HT / TVA.",
ROUND(IFERROR(VALUE(TRIM(SUBSTITUTE(Y32,CHAR(160),""))),0),2)=0,
"",
ROUND(IFERROR(VALUE(TRIM(SUBSTITUTE(BH32,CHAR(160),""))),0),2)=
ROUND(IFERROR(VALUE(TRIM(SUBSTITUTE(Y32,CHAR(160),""))),0),2),
"OK",
ROUND(IFERROR(VALUE(TRIM(SUBSTITUTE(BH32,CHAR(160),""))),0),2)=0,
"Attention : Montant présenté entièrement rejeté.",
ROUND(IFERROR(VALUE(TRIM(SUBSTITUTE(BH32,CHAR(160),""))),0),2)&lt;
ROUND(IFERROR(VALUE(TRIM(SUBSTITUTE(Y32,CHAR(160),""))),0),2),
"Attention : Montant présenté partiellement rejeté.",
TRUE,""
))</f>
        <v/>
      </c>
      <c r="BS32" s="1331" t="str" cm="1">
        <f t="array" ref="BS32">IF(OR(BN32="",AE32=""),"",_xlfn.IFS(
ROUND(IFERROR(VALUE(TRIM(SUBSTITUTE(BN32,CHAR(160),""))),0),2)&gt;
ROUND(IFERROR(VALUE(TRIM(SUBSTITUTE(AE32,CHAR(160),""))),0),2),
"KO : Le montant retenu est supérieur au montant présenté. Merci de revoir la ligne de contributions ou plafonner son montant.",
ROUND(IFERROR(VALUE(TRIM(SUBSTITUTE(AE32,CHAR(160),""))),0),2)=0,
"",
ROUND(IFERROR(VALUE(TRIM(SUBSTITUTE(BN32,CHAR(160),""))),0),2)=
ROUND(IFERROR(VALUE(TRIM(SUBSTITUTE(AE32,CHAR(160),""))),0),2),
"OK",
ROUND(IFERROR(VALUE(TRIM(SUBSTITUTE(BN32,CHAR(160),""))),0),2)=0,
"Attention : Montant présenté entièrement rejeté.",
ROUND(IFERROR(VALUE(TRIM(SUBSTITUTE(BN32,CHAR(160),""))),0),2)&lt;
ROUND(IFERROR(VALUE(TRIM(SUBSTITUTE(AE32,CHAR(160),""))),0),2),
"Attention : Montant présenté partiellement rejeté.",
TRUE,""
))</f>
        <v/>
      </c>
      <c r="BT32" s="674" t="str">
        <f t="shared" si="18"/>
        <v/>
      </c>
      <c r="BU32" s="673" t="str">
        <f t="shared" si="19"/>
        <v/>
      </c>
      <c r="BV32" s="1351" t="str">
        <f t="shared" si="20"/>
        <v/>
      </c>
    </row>
    <row r="33" spans="2:74" ht="14.1" customHeight="1">
      <c r="B33" s="498">
        <v>24</v>
      </c>
      <c r="C33" s="119"/>
      <c r="D33" s="11"/>
      <c r="E33" s="6"/>
      <c r="F33" s="28"/>
      <c r="G33" s="6"/>
      <c r="H33" s="6"/>
      <c r="I33" s="30"/>
      <c r="J33" s="30"/>
      <c r="K33" s="30"/>
      <c r="L33" s="31"/>
      <c r="M33" s="440"/>
      <c r="N33" s="33"/>
      <c r="O33" s="321" t="str">
        <f t="shared" si="32"/>
        <v/>
      </c>
      <c r="P33" s="32"/>
      <c r="Q33" s="33"/>
      <c r="R33" s="299" t="str">
        <f t="shared" si="33"/>
        <v/>
      </c>
      <c r="S33" s="34"/>
      <c r="T33" s="33"/>
      <c r="U33" s="299" t="str">
        <f t="shared" si="1"/>
        <v/>
      </c>
      <c r="V33" s="439"/>
      <c r="W33" s="441" t="str" cm="1">
        <f t="array" ref="W33">IF((_xlfn.IFS(TRIM(SUBSTITUTE(V33,CHAR(160),""))="Devis 1",IFERROR(VALUE(TRIM(SUBSTITUTE(M33,CHAR(160),""))),0),TRIM(SUBSTITUTE(V33,CHAR(160),""))="Devis 2",IFERROR(VALUE(TRIM(SUBSTITUTE(P33,CHAR(160),""))),0),TRIM(SUBSTITUTE(V33,CHAR(160),""))="Devis 3",IFERROR(VALUE(TRIM(SUBSTITUTE(S33,CHAR(160),""))),0),TRUE,0))=0,"",_xlfn.IFS(TRIM(SUBSTITUTE(V33,CHAR(160),""))="Devis 1",IFERROR(VALUE(TRIM(SUBSTITUTE(M33,CHAR(160),""))),0),TRIM(SUBSTITUTE(V33,CHAR(160),""))="Devis 2",IFERROR(VALUE(TRIM(SUBSTITUTE(P33,CHAR(160),""))),0),TRIM(SUBSTITUTE(V33,CHAR(160),""))="Devis 3",IFERROR(VALUE(TRIM(SUBSTITUTE(S33,CHAR(160),""))),0),TRUE,0))</f>
        <v/>
      </c>
      <c r="X33" s="441" t="str" cm="1">
        <f t="array" ref="X33">IF((_xlfn.IFS(TRIM(SUBSTITUTE(V33,CHAR(160),""))="Devis 1",IFERROR(VALUE(TRIM(SUBSTITUTE(N33,CHAR(160),""))),0),TRIM(SUBSTITUTE(V33,CHAR(160),""))="Devis 2",IFERROR(VALUE(TRIM(SUBSTITUTE(Q33,CHAR(160),""))),0),TRIM(SUBSTITUTE(V33,CHAR(160),""))="Devis 3",IFERROR(VALUE(TRIM(SUBSTITUTE(T33,CHAR(160),""))),0),TRUE,0))=0,"",_xlfn.IFS(TRIM(SUBSTITUTE(V33,CHAR(160),""))="Devis 1",IFERROR(VALUE(TRIM(SUBSTITUTE(N33,CHAR(160),""))),0),TRIM(SUBSTITUTE(V33,CHAR(160),""))="Devis 2",IFERROR(VALUE(TRIM(SUBSTITUTE(Q33,CHAR(160),""))),0),TRIM(SUBSTITUTE(V33,CHAR(160),""))="Devis 3",IFERROR(VALUE(TRIM(SUBSTITUTE(T33,CHAR(160),""))),0),TRUE,0))</f>
        <v/>
      </c>
      <c r="Y33" s="815" t="str" cm="1">
        <f t="array" ref="Y33">IF((_xlfn.IFS(TRIM(SUBSTITUTE(V33,CHAR(160),""))="Devis 1",IFERROR(VALUE(TRIM(SUBSTITUTE(O33,CHAR(160),""))),0),TRIM(SUBSTITUTE(V33,CHAR(160),""))="Devis 2",IFERROR(VALUE(TRIM(SUBSTITUTE(R33,CHAR(160),""))),0),TRIM(SUBSTITUTE(V33,CHAR(160),""))="Devis 3",IFERROR(VALUE(TRIM(SUBSTITUTE(U33,CHAR(160),""))),0),TRUE,0))=0,"",_xlfn.IFS(TRIM(SUBSTITUTE(V33,CHAR(160),""))="Devis 1",IFERROR(VALUE(TRIM(SUBSTITUTE(O33,CHAR(160),""))),0),TRIM(SUBSTITUTE(V33,CHAR(160),""))="Devis 2",IFERROR(VALUE(TRIM(SUBSTITUTE(R33,CHAR(160),""))),0),TRIM(SUBSTITUTE(V33,CHAR(160),""))="Devis 3",IFERROR(VALUE(TRIM(SUBSTITUTE(U33,CHAR(160),""))),0),TRUE,0))</f>
        <v/>
      </c>
      <c r="Z33" s="850"/>
      <c r="AA33" s="817" t="str" cm="1">
        <f t="array" ref="AA33">IF(Z33="","",_xlfn.IFS(Z33=$BZ$5,70,Z33=$BZ$6,90,Z33=$BZ$7,70,Z33=$BZ$8,90,Z33=$BZ$9,110))</f>
        <v/>
      </c>
      <c r="AB33" s="627"/>
      <c r="AC33" s="817" t="str" cm="1">
        <f t="array" ref="AC33">IF(Z33="","",_xlfn.IFS(Z33=$BZ$5,15.75,Z33=$BZ$6,21,Z33=$BZ$7,15.25,Z33=$BZ$8,15.25,Z33=$BZ$9,15.25))</f>
        <v/>
      </c>
      <c r="AD33" s="818"/>
      <c r="AE33" s="830">
        <f t="shared" si="34"/>
        <v>0</v>
      </c>
      <c r="AF33" s="819" t="str">
        <f t="shared" si="35"/>
        <v/>
      </c>
      <c r="AG33" s="26"/>
      <c r="AH33" s="466" t="str">
        <f t="shared" si="2"/>
        <v/>
      </c>
      <c r="AI33" s="1414" t="str">
        <f t="shared" si="21"/>
        <v/>
      </c>
      <c r="AJ33" s="452" t="str">
        <f t="shared" si="4"/>
        <v/>
      </c>
      <c r="AK33" s="28"/>
      <c r="AL33" s="664" t="str">
        <f t="shared" si="5"/>
        <v/>
      </c>
      <c r="AM33" s="452" t="str">
        <f t="shared" si="6"/>
        <v/>
      </c>
      <c r="AN33" s="452" t="str">
        <f t="shared" si="22"/>
        <v/>
      </c>
      <c r="AO33" s="452" t="str">
        <f t="shared" si="23"/>
        <v/>
      </c>
      <c r="AP33" s="452" t="str">
        <f t="shared" si="24"/>
        <v/>
      </c>
      <c r="AQ33" s="452" t="str">
        <f t="shared" si="7"/>
        <v/>
      </c>
      <c r="AR33" s="478" t="str">
        <f t="shared" si="8"/>
        <v/>
      </c>
      <c r="AS33" s="453" t="str">
        <f t="shared" si="9"/>
        <v/>
      </c>
      <c r="AT33" s="479" t="str">
        <f t="shared" si="29"/>
        <v/>
      </c>
      <c r="AU33" s="453" t="str">
        <f t="shared" si="10"/>
        <v/>
      </c>
      <c r="AV33" s="453" t="str">
        <f t="shared" si="30"/>
        <v/>
      </c>
      <c r="AW33" s="480" t="str">
        <f t="shared" si="25"/>
        <v/>
      </c>
      <c r="AX33" s="453" t="str">
        <f t="shared" si="11"/>
        <v/>
      </c>
      <c r="AY33" s="453" t="str">
        <f t="shared" si="12"/>
        <v/>
      </c>
      <c r="AZ33" s="480" t="str">
        <f t="shared" si="26"/>
        <v/>
      </c>
      <c r="BA33" s="424" t="str">
        <f t="shared" si="13"/>
        <v/>
      </c>
      <c r="BB33" s="454"/>
      <c r="BC33" s="424" t="str">
        <f t="shared" si="14"/>
        <v/>
      </c>
      <c r="BD33" s="424" t="str">
        <f t="shared" si="15"/>
        <v/>
      </c>
      <c r="BE33" s="424" t="str">
        <f t="shared" si="27"/>
        <v/>
      </c>
      <c r="BF33" s="455" t="str" cm="1">
        <f t="array" ref="BF33">IF(AR33="","",IF((IFERROR(_xlfn.IFS($BA33="Devis 1",(IFERROR(VALUE(TRIM(SUBSTITUTE(AR33,CHAR(160),""))),0)),$BA33="Devis 2",(IFERROR(VALUE(TRIM(SUBSTITUTE(AU33,CHAR(160),""))),0)),$BA33="Devis 3",(IFERROR(VALUE(TRIM(SUBSTITUTE(AX33,CHAR(160),""))),0))),0))=0,"",(IFERROR(_xlfn.IFS($BA33="Devis 1",(IFERROR(VALUE(TRIM(SUBSTITUTE(AR33,CHAR(160),""))),0)),$BA33="Devis 2",(IFERROR(VALUE(TRIM(SUBSTITUTE(AU33,CHAR(160),""))),0)),$BA33="Devis 3",(IFERROR(VALUE(TRIM(SUBSTITUTE(AX33,CHAR(160),""))),0))),0))))</f>
        <v/>
      </c>
      <c r="BG33" s="455" t="str" cm="1">
        <f t="array" ref="BG33">IF(AS33="","",IF((IFERROR(_xlfn.IFS($BA33="Devis 1",(IFERROR(VALUE(TRIM(SUBSTITUTE(AS33,CHAR(160),""))),0)),$BA33="Devis 2",(IFERROR(VALUE(TRIM(SUBSTITUTE(AV33,CHAR(160),""))),0)),$BA33="Devis 3",(IFERROR(VALUE(TRIM(SUBSTITUTE(AY33,CHAR(160),""))),0))),0))=0,"",(IFERROR(_xlfn.IFS($BA33="Devis 1",(IFERROR(VALUE(TRIM(SUBSTITUTE(AS33,CHAR(160),""))),0)),$BA33="Devis 2",(IFERROR(VALUE(TRIM(SUBSTITUTE(AV33,CHAR(160),""))),0)),$BA33="Devis 3",(IFERROR(VALUE(TRIM(SUBSTITUTE(AY33,CHAR(160),""))),0))),0))))</f>
        <v/>
      </c>
      <c r="BH33" s="826" t="str" cm="1">
        <f t="array" ref="BH33">IF(AT33="","",IF(IFERROR(_xlfn.IFS($BA33="Devis 1",IFERROR(VALUE(TRIM(SUBSTITUTE(AT33,CHAR(160),""))),0),$BA33="Devis 2",IFERROR(VALUE(TRIM(SUBSTITUTE(AW33,CHAR(160),""))),0),$BA33="Devis 3",IFERROR(VALUE(TRIM(SUBSTITUTE(AZ33,CHAR(160),""))),0)),0)=0,"",IFERROR(_xlfn.IFS($BA33="Devis 1",IFERROR(VALUE(TRIM(SUBSTITUTE(AT33,CHAR(160),""))),0),$BA33="Devis 2",IFERROR(VALUE(TRIM(SUBSTITUTE(AW33,CHAR(160),""))),0),$BA33="Devis 3",IFERROR(VALUE(TRIM(SUBSTITUTE(AZ33,CHAR(160),""))),0)),0)))</f>
        <v/>
      </c>
      <c r="BI33" s="832" t="str">
        <f t="shared" si="28"/>
        <v/>
      </c>
      <c r="BJ33" s="455"/>
      <c r="BK33" s="831"/>
      <c r="BL33" s="455"/>
      <c r="BM33" s="831"/>
      <c r="BN33" s="830">
        <f t="shared" si="31"/>
        <v>0</v>
      </c>
      <c r="BO33" s="676" t="str">
        <f t="shared" si="17"/>
        <v/>
      </c>
      <c r="BP33" s="1330"/>
      <c r="BQ33" s="216" t="str" cm="1">
        <f t="array" ref="BQ33">IF(OR(BH33="",BE33="",BF33="",BC33="",BG33="",BD33=""),"",_xlfn.IFS(
ROUND(IFERROR(VALUE(TRIM(SUBSTITUTE(BH33,CHAR(160),""))),0),2)&gt;
ROUND(IFERROR(VALUE(TRIM(SUBSTITUTE(BE33,CHAR(160),""))),0),2),
"KO : Le montant retenu TTC est supérieur au montant raisonnable TTC. Merci de revoir la ligne de dépense ou plafonner son montant.",
ROUND(IFERROR(VALUE(TRIM(SUBSTITUTE(BF33,CHAR(160),""))),0),2)&gt;
ROUND(IFERROR(VALUE(TRIM(SUBSTITUTE(BC33,CHAR(160),""))),0),2),
"Attention : Le montant retenu HT est supérieur au montant HT raisonnable. Merci de revoir la ligne de dépense, plafonner son montant, ou justifier la reventillation HT / TVA.",
ROUND(IFERROR(VALUE(TRIM(SUBSTITUTE(BG33,CHAR(160),""))),0),2)&gt;
ROUND(IFERROR(VALUE(TRIM(SUBSTITUTE(BD33,CHAR(160),""))),0),2),
"Attention : Le montant TVA retenu est supérieur au montant TVA raisonnable. Merci de revoir la ligne de dépense, plafonner son montant, ou justifier la reventillation HT / TVA.",
ROUND(IFERROR(VALUE(TRIM(SUBSTITUTE(BH33,CHAR(160),""))),0),2)&gt;
ROUND(IFERROR(VALUE(TRIM(SUBSTITUTE(MIN(O33,R33,U33),CHAR(160),""))),0),2),
"Attention : Le devis retenu n'est pas le moins cher. Une justification de la part du porteur est nécessaire.",
ROUND(IFERROR(VALUE(TRIM(SUBSTITUTE(BH33,CHAR(160),""))),0),2)=0,
"Attention : montant présenté entièrement écarté",
ROUND(IFERROR(VALUE(TRIM(SUBSTITUTE(BE33,CHAR(160),""))),0),2)=
ROUND(IFERROR(VALUE(TRIM(SUBSTITUTE(BH33,CHAR(160),""))),0),2),
"OK",
ROUND(IFERROR(VALUE(TRIM(SUBSTITUTE(BE33,CHAR(160),""))),0),2)&gt;
ROUND(IFERROR(VALUE(TRIM(SUBSTITUTE(BH33,CHAR(160),""))),0),2),
" OK : Montant instruit inférieur au montant raisonnable.",
TRUE,""
))</f>
        <v/>
      </c>
      <c r="BR33" s="216" t="str" cm="1">
        <f t="array" ref="BR33">IF(OR(BH33="",Y33="",BF33="",W33="",BG33="",X33=""),"",_xlfn.IFS(
ROUND(IFERROR(VALUE(TRIM(SUBSTITUTE(BH33,CHAR(160),""))),0),2)&gt;
ROUND(IFERROR(VALUE(TRIM(SUBSTITUTE(Y33,CHAR(160),""))),0),2),
"KO : Le montant retenu TTC est supérieur au montant présenté TTC. Merci de revoir la ligne de dépense ou plafonner son montant.",
ROUND(IFERROR(VALUE(TRIM(SUBSTITUTE(BF33,CHAR(160),""))),0),2)&gt;
ROUND(IFERROR(VALUE(TRIM(SUBSTITUTE(W33,CHAR(160),""))),0),2),
"Attention : Le montant retenu HT est supérieur au montant HT présenté. Merci de revoir la ligne de dépense, plafonner son montant, ou justifier la reventillation HT / TVA.",
ROUND(IFERROR(VALUE(TRIM(SUBSTITUTE(BG33,CHAR(160),""))),0),2)&gt;
ROUND(IFERROR(VALUE(TRIM(SUBSTITUTE(X33,CHAR(160),""))),0),2),
"Attention : Le montant TVA retenu est supérieur au montant TVA présenté. Merci de revoir la ligne de dépense, plafonner son montant, ou justifier la reventillation HT / TVA.",
ROUND(IFERROR(VALUE(TRIM(SUBSTITUTE(Y33,CHAR(160),""))),0),2)=0,
"",
ROUND(IFERROR(VALUE(TRIM(SUBSTITUTE(BH33,CHAR(160),""))),0),2)=
ROUND(IFERROR(VALUE(TRIM(SUBSTITUTE(Y33,CHAR(160),""))),0),2),
"OK",
ROUND(IFERROR(VALUE(TRIM(SUBSTITUTE(BH33,CHAR(160),""))),0),2)=0,
"Attention : Montant présenté entièrement rejeté.",
ROUND(IFERROR(VALUE(TRIM(SUBSTITUTE(BH33,CHAR(160),""))),0),2)&lt;
ROUND(IFERROR(VALUE(TRIM(SUBSTITUTE(Y33,CHAR(160),""))),0),2),
"Attention : Montant présenté partiellement rejeté.",
TRUE,""
))</f>
        <v/>
      </c>
      <c r="BS33" s="1331" t="str" cm="1">
        <f t="array" ref="BS33">IF(OR(BN33="",AE33=""),"",_xlfn.IFS(
ROUND(IFERROR(VALUE(TRIM(SUBSTITUTE(BN33,CHAR(160),""))),0),2)&gt;
ROUND(IFERROR(VALUE(TRIM(SUBSTITUTE(AE33,CHAR(160),""))),0),2),
"KO : Le montant retenu est supérieur au montant présenté. Merci de revoir la ligne de contributions ou plafonner son montant.",
ROUND(IFERROR(VALUE(TRIM(SUBSTITUTE(AE33,CHAR(160),""))),0),2)=0,
"",
ROUND(IFERROR(VALUE(TRIM(SUBSTITUTE(BN33,CHAR(160),""))),0),2)=
ROUND(IFERROR(VALUE(TRIM(SUBSTITUTE(AE33,CHAR(160),""))),0),2),
"OK",
ROUND(IFERROR(VALUE(TRIM(SUBSTITUTE(BN33,CHAR(160),""))),0),2)=0,
"Attention : Montant présenté entièrement rejeté.",
ROUND(IFERROR(VALUE(TRIM(SUBSTITUTE(BN33,CHAR(160),""))),0),2)&lt;
ROUND(IFERROR(VALUE(TRIM(SUBSTITUTE(AE33,CHAR(160),""))),0),2),
"Attention : Montant présenté partiellement rejeté.",
TRUE,""
))</f>
        <v/>
      </c>
      <c r="BT33" s="674" t="str">
        <f t="shared" si="18"/>
        <v/>
      </c>
      <c r="BU33" s="673" t="str">
        <f t="shared" si="19"/>
        <v/>
      </c>
      <c r="BV33" s="1351" t="str">
        <f t="shared" si="20"/>
        <v/>
      </c>
    </row>
    <row r="34" spans="2:74" ht="14.1" customHeight="1">
      <c r="B34" s="498">
        <v>25</v>
      </c>
      <c r="C34" s="119"/>
      <c r="D34" s="11"/>
      <c r="E34" s="6"/>
      <c r="F34" s="28"/>
      <c r="G34" s="6"/>
      <c r="H34" s="6"/>
      <c r="I34" s="30"/>
      <c r="J34" s="30"/>
      <c r="K34" s="30"/>
      <c r="L34" s="31"/>
      <c r="M34" s="440"/>
      <c r="N34" s="33"/>
      <c r="O34" s="321" t="str">
        <f t="shared" si="32"/>
        <v/>
      </c>
      <c r="P34" s="32"/>
      <c r="Q34" s="33"/>
      <c r="R34" s="299" t="str">
        <f t="shared" si="33"/>
        <v/>
      </c>
      <c r="S34" s="34"/>
      <c r="T34" s="33"/>
      <c r="U34" s="299" t="str">
        <f t="shared" si="1"/>
        <v/>
      </c>
      <c r="V34" s="439"/>
      <c r="W34" s="441" t="str" cm="1">
        <f t="array" ref="W34">IF((_xlfn.IFS(TRIM(SUBSTITUTE(V34,CHAR(160),""))="Devis 1",IFERROR(VALUE(TRIM(SUBSTITUTE(M34,CHAR(160),""))),0),TRIM(SUBSTITUTE(V34,CHAR(160),""))="Devis 2",IFERROR(VALUE(TRIM(SUBSTITUTE(P34,CHAR(160),""))),0),TRIM(SUBSTITUTE(V34,CHAR(160),""))="Devis 3",IFERROR(VALUE(TRIM(SUBSTITUTE(S34,CHAR(160),""))),0),TRUE,0))=0,"",_xlfn.IFS(TRIM(SUBSTITUTE(V34,CHAR(160),""))="Devis 1",IFERROR(VALUE(TRIM(SUBSTITUTE(M34,CHAR(160),""))),0),TRIM(SUBSTITUTE(V34,CHAR(160),""))="Devis 2",IFERROR(VALUE(TRIM(SUBSTITUTE(P34,CHAR(160),""))),0),TRIM(SUBSTITUTE(V34,CHAR(160),""))="Devis 3",IFERROR(VALUE(TRIM(SUBSTITUTE(S34,CHAR(160),""))),0),TRUE,0))</f>
        <v/>
      </c>
      <c r="X34" s="441" t="str" cm="1">
        <f t="array" ref="X34">IF((_xlfn.IFS(TRIM(SUBSTITUTE(V34,CHAR(160),""))="Devis 1",IFERROR(VALUE(TRIM(SUBSTITUTE(N34,CHAR(160),""))),0),TRIM(SUBSTITUTE(V34,CHAR(160),""))="Devis 2",IFERROR(VALUE(TRIM(SUBSTITUTE(Q34,CHAR(160),""))),0),TRIM(SUBSTITUTE(V34,CHAR(160),""))="Devis 3",IFERROR(VALUE(TRIM(SUBSTITUTE(T34,CHAR(160),""))),0),TRUE,0))=0,"",_xlfn.IFS(TRIM(SUBSTITUTE(V34,CHAR(160),""))="Devis 1",IFERROR(VALUE(TRIM(SUBSTITUTE(N34,CHAR(160),""))),0),TRIM(SUBSTITUTE(V34,CHAR(160),""))="Devis 2",IFERROR(VALUE(TRIM(SUBSTITUTE(Q34,CHAR(160),""))),0),TRIM(SUBSTITUTE(V34,CHAR(160),""))="Devis 3",IFERROR(VALUE(TRIM(SUBSTITUTE(T34,CHAR(160),""))),0),TRUE,0))</f>
        <v/>
      </c>
      <c r="Y34" s="815" t="str" cm="1">
        <f t="array" ref="Y34">IF((_xlfn.IFS(TRIM(SUBSTITUTE(V34,CHAR(160),""))="Devis 1",IFERROR(VALUE(TRIM(SUBSTITUTE(O34,CHAR(160),""))),0),TRIM(SUBSTITUTE(V34,CHAR(160),""))="Devis 2",IFERROR(VALUE(TRIM(SUBSTITUTE(R34,CHAR(160),""))),0),TRIM(SUBSTITUTE(V34,CHAR(160),""))="Devis 3",IFERROR(VALUE(TRIM(SUBSTITUTE(U34,CHAR(160),""))),0),TRUE,0))=0,"",_xlfn.IFS(TRIM(SUBSTITUTE(V34,CHAR(160),""))="Devis 1",IFERROR(VALUE(TRIM(SUBSTITUTE(O34,CHAR(160),""))),0),TRIM(SUBSTITUTE(V34,CHAR(160),""))="Devis 2",IFERROR(VALUE(TRIM(SUBSTITUTE(R34,CHAR(160),""))),0),TRIM(SUBSTITUTE(V34,CHAR(160),""))="Devis 3",IFERROR(VALUE(TRIM(SUBSTITUTE(U34,CHAR(160),""))),0),TRUE,0))</f>
        <v/>
      </c>
      <c r="Z34" s="850"/>
      <c r="AA34" s="817" t="str" cm="1">
        <f t="array" ref="AA34">IF(Z34="","",_xlfn.IFS(Z34=$BZ$5,70,Z34=$BZ$6,90,Z34=$BZ$7,70,Z34=$BZ$8,90,Z34=$BZ$9,110))</f>
        <v/>
      </c>
      <c r="AB34" s="627"/>
      <c r="AC34" s="817" t="str" cm="1">
        <f t="array" ref="AC34">IF(Z34="","",_xlfn.IFS(Z34=$BZ$5,15.75,Z34=$BZ$6,21,Z34=$BZ$7,15.25,Z34=$BZ$8,15.25,Z34=$BZ$9,15.25))</f>
        <v/>
      </c>
      <c r="AD34" s="818"/>
      <c r="AE34" s="830">
        <f t="shared" si="34"/>
        <v>0</v>
      </c>
      <c r="AF34" s="819" t="str">
        <f t="shared" si="35"/>
        <v/>
      </c>
      <c r="AG34" s="26"/>
      <c r="AH34" s="466" t="str">
        <f t="shared" si="2"/>
        <v/>
      </c>
      <c r="AI34" s="1414" t="str">
        <f t="shared" si="21"/>
        <v/>
      </c>
      <c r="AJ34" s="452" t="str">
        <f t="shared" si="4"/>
        <v/>
      </c>
      <c r="AK34" s="28"/>
      <c r="AL34" s="664" t="str">
        <f t="shared" si="5"/>
        <v/>
      </c>
      <c r="AM34" s="452" t="str">
        <f t="shared" si="6"/>
        <v/>
      </c>
      <c r="AN34" s="452" t="str">
        <f t="shared" si="22"/>
        <v/>
      </c>
      <c r="AO34" s="452" t="str">
        <f t="shared" si="23"/>
        <v/>
      </c>
      <c r="AP34" s="452" t="str">
        <f t="shared" si="24"/>
        <v/>
      </c>
      <c r="AQ34" s="452" t="str">
        <f t="shared" si="7"/>
        <v/>
      </c>
      <c r="AR34" s="478" t="str">
        <f t="shared" si="8"/>
        <v/>
      </c>
      <c r="AS34" s="453" t="str">
        <f t="shared" si="9"/>
        <v/>
      </c>
      <c r="AT34" s="479" t="str">
        <f t="shared" si="29"/>
        <v/>
      </c>
      <c r="AU34" s="453" t="str">
        <f t="shared" si="10"/>
        <v/>
      </c>
      <c r="AV34" s="453" t="str">
        <f t="shared" si="30"/>
        <v/>
      </c>
      <c r="AW34" s="480" t="str">
        <f t="shared" si="25"/>
        <v/>
      </c>
      <c r="AX34" s="453" t="str">
        <f t="shared" si="11"/>
        <v/>
      </c>
      <c r="AY34" s="453" t="str">
        <f t="shared" si="12"/>
        <v/>
      </c>
      <c r="AZ34" s="480" t="str">
        <f t="shared" si="26"/>
        <v/>
      </c>
      <c r="BA34" s="424" t="str">
        <f t="shared" si="13"/>
        <v/>
      </c>
      <c r="BB34" s="454"/>
      <c r="BC34" s="424" t="str">
        <f t="shared" si="14"/>
        <v/>
      </c>
      <c r="BD34" s="424" t="str">
        <f t="shared" si="15"/>
        <v/>
      </c>
      <c r="BE34" s="424" t="str">
        <f t="shared" si="27"/>
        <v/>
      </c>
      <c r="BF34" s="455" t="str" cm="1">
        <f t="array" ref="BF34">IF(AR34="","",IF((IFERROR(_xlfn.IFS($BA34="Devis 1",(IFERROR(VALUE(TRIM(SUBSTITUTE(AR34,CHAR(160),""))),0)),$BA34="Devis 2",(IFERROR(VALUE(TRIM(SUBSTITUTE(AU34,CHAR(160),""))),0)),$BA34="Devis 3",(IFERROR(VALUE(TRIM(SUBSTITUTE(AX34,CHAR(160),""))),0))),0))=0,"",(IFERROR(_xlfn.IFS($BA34="Devis 1",(IFERROR(VALUE(TRIM(SUBSTITUTE(AR34,CHAR(160),""))),0)),$BA34="Devis 2",(IFERROR(VALUE(TRIM(SUBSTITUTE(AU34,CHAR(160),""))),0)),$BA34="Devis 3",(IFERROR(VALUE(TRIM(SUBSTITUTE(AX34,CHAR(160),""))),0))),0))))</f>
        <v/>
      </c>
      <c r="BG34" s="455" t="str" cm="1">
        <f t="array" ref="BG34">IF(AS34="","",IF((IFERROR(_xlfn.IFS($BA34="Devis 1",(IFERROR(VALUE(TRIM(SUBSTITUTE(AS34,CHAR(160),""))),0)),$BA34="Devis 2",(IFERROR(VALUE(TRIM(SUBSTITUTE(AV34,CHAR(160),""))),0)),$BA34="Devis 3",(IFERROR(VALUE(TRIM(SUBSTITUTE(AY34,CHAR(160),""))),0))),0))=0,"",(IFERROR(_xlfn.IFS($BA34="Devis 1",(IFERROR(VALUE(TRIM(SUBSTITUTE(AS34,CHAR(160),""))),0)),$BA34="Devis 2",(IFERROR(VALUE(TRIM(SUBSTITUTE(AV34,CHAR(160),""))),0)),$BA34="Devis 3",(IFERROR(VALUE(TRIM(SUBSTITUTE(AY34,CHAR(160),""))),0))),0))))</f>
        <v/>
      </c>
      <c r="BH34" s="826" t="str" cm="1">
        <f t="array" ref="BH34">IF(AT34="","",IF(IFERROR(_xlfn.IFS($BA34="Devis 1",IFERROR(VALUE(TRIM(SUBSTITUTE(AT34,CHAR(160),""))),0),$BA34="Devis 2",IFERROR(VALUE(TRIM(SUBSTITUTE(AW34,CHAR(160),""))),0),$BA34="Devis 3",IFERROR(VALUE(TRIM(SUBSTITUTE(AZ34,CHAR(160),""))),0)),0)=0,"",IFERROR(_xlfn.IFS($BA34="Devis 1",IFERROR(VALUE(TRIM(SUBSTITUTE(AT34,CHAR(160),""))),0),$BA34="Devis 2",IFERROR(VALUE(TRIM(SUBSTITUTE(AW34,CHAR(160),""))),0),$BA34="Devis 3",IFERROR(VALUE(TRIM(SUBSTITUTE(AZ34,CHAR(160),""))),0)),0)))</f>
        <v/>
      </c>
      <c r="BI34" s="832" t="str">
        <f t="shared" si="28"/>
        <v/>
      </c>
      <c r="BJ34" s="455"/>
      <c r="BK34" s="831"/>
      <c r="BL34" s="455"/>
      <c r="BM34" s="831"/>
      <c r="BN34" s="830">
        <f t="shared" si="31"/>
        <v>0</v>
      </c>
      <c r="BO34" s="676" t="str">
        <f t="shared" si="17"/>
        <v/>
      </c>
      <c r="BP34" s="1330"/>
      <c r="BQ34" s="216" t="str" cm="1">
        <f t="array" ref="BQ34">IF(OR(BH34="",BE34="",BF34="",BC34="",BG34="",BD34=""),"",_xlfn.IFS(
ROUND(IFERROR(VALUE(TRIM(SUBSTITUTE(BH34,CHAR(160),""))),0),2)&gt;
ROUND(IFERROR(VALUE(TRIM(SUBSTITUTE(BE34,CHAR(160),""))),0),2),
"KO : Le montant retenu TTC est supérieur au montant raisonnable TTC. Merci de revoir la ligne de dépense ou plafonner son montant.",
ROUND(IFERROR(VALUE(TRIM(SUBSTITUTE(BF34,CHAR(160),""))),0),2)&gt;
ROUND(IFERROR(VALUE(TRIM(SUBSTITUTE(BC34,CHAR(160),""))),0),2),
"Attention : Le montant retenu HT est supérieur au montant HT raisonnable. Merci de revoir la ligne de dépense, plafonner son montant, ou justifier la reventillation HT / TVA.",
ROUND(IFERROR(VALUE(TRIM(SUBSTITUTE(BG34,CHAR(160),""))),0),2)&gt;
ROUND(IFERROR(VALUE(TRIM(SUBSTITUTE(BD34,CHAR(160),""))),0),2),
"Attention : Le montant TVA retenu est supérieur au montant TVA raisonnable. Merci de revoir la ligne de dépense, plafonner son montant, ou justifier la reventillation HT / TVA.",
ROUND(IFERROR(VALUE(TRIM(SUBSTITUTE(BH34,CHAR(160),""))),0),2)&gt;
ROUND(IFERROR(VALUE(TRIM(SUBSTITUTE(MIN(O34,R34,U34),CHAR(160),""))),0),2),
"Attention : Le devis retenu n'est pas le moins cher. Une justification de la part du porteur est nécessaire.",
ROUND(IFERROR(VALUE(TRIM(SUBSTITUTE(BH34,CHAR(160),""))),0),2)=0,
"Attention : montant présenté entièrement écarté",
ROUND(IFERROR(VALUE(TRIM(SUBSTITUTE(BE34,CHAR(160),""))),0),2)=
ROUND(IFERROR(VALUE(TRIM(SUBSTITUTE(BH34,CHAR(160),""))),0),2),
"OK",
ROUND(IFERROR(VALUE(TRIM(SUBSTITUTE(BE34,CHAR(160),""))),0),2)&gt;
ROUND(IFERROR(VALUE(TRIM(SUBSTITUTE(BH34,CHAR(160),""))),0),2),
" OK : Montant instruit inférieur au montant raisonnable.",
TRUE,""
))</f>
        <v/>
      </c>
      <c r="BR34" s="216" t="str" cm="1">
        <f t="array" ref="BR34">IF(OR(BH34="",Y34="",BF34="",W34="",BG34="",X34=""),"",_xlfn.IFS(
ROUND(IFERROR(VALUE(TRIM(SUBSTITUTE(BH34,CHAR(160),""))),0),2)&gt;
ROUND(IFERROR(VALUE(TRIM(SUBSTITUTE(Y34,CHAR(160),""))),0),2),
"KO : Le montant retenu TTC est supérieur au montant présenté TTC. Merci de revoir la ligne de dépense ou plafonner son montant.",
ROUND(IFERROR(VALUE(TRIM(SUBSTITUTE(BF34,CHAR(160),""))),0),2)&gt;
ROUND(IFERROR(VALUE(TRIM(SUBSTITUTE(W34,CHAR(160),""))),0),2),
"Attention : Le montant retenu HT est supérieur au montant HT présenté. Merci de revoir la ligne de dépense, plafonner son montant, ou justifier la reventillation HT / TVA.",
ROUND(IFERROR(VALUE(TRIM(SUBSTITUTE(BG34,CHAR(160),""))),0),2)&gt;
ROUND(IFERROR(VALUE(TRIM(SUBSTITUTE(X34,CHAR(160),""))),0),2),
"Attention : Le montant TVA retenu est supérieur au montant TVA présenté. Merci de revoir la ligne de dépense, plafonner son montant, ou justifier la reventillation HT / TVA.",
ROUND(IFERROR(VALUE(TRIM(SUBSTITUTE(Y34,CHAR(160),""))),0),2)=0,
"",
ROUND(IFERROR(VALUE(TRIM(SUBSTITUTE(BH34,CHAR(160),""))),0),2)=
ROUND(IFERROR(VALUE(TRIM(SUBSTITUTE(Y34,CHAR(160),""))),0),2),
"OK",
ROUND(IFERROR(VALUE(TRIM(SUBSTITUTE(BH34,CHAR(160),""))),0),2)=0,
"Attention : Montant présenté entièrement rejeté.",
ROUND(IFERROR(VALUE(TRIM(SUBSTITUTE(BH34,CHAR(160),""))),0),2)&lt;
ROUND(IFERROR(VALUE(TRIM(SUBSTITUTE(Y34,CHAR(160),""))),0),2),
"Attention : Montant présenté partiellement rejeté.",
TRUE,""
))</f>
        <v/>
      </c>
      <c r="BS34" s="1331" t="str" cm="1">
        <f t="array" ref="BS34">IF(OR(BN34="",AE34=""),"",_xlfn.IFS(
ROUND(IFERROR(VALUE(TRIM(SUBSTITUTE(BN34,CHAR(160),""))),0),2)&gt;
ROUND(IFERROR(VALUE(TRIM(SUBSTITUTE(AE34,CHAR(160),""))),0),2),
"KO : Le montant retenu est supérieur au montant présenté. Merci de revoir la ligne de contributions ou plafonner son montant.",
ROUND(IFERROR(VALUE(TRIM(SUBSTITUTE(AE34,CHAR(160),""))),0),2)=0,
"",
ROUND(IFERROR(VALUE(TRIM(SUBSTITUTE(BN34,CHAR(160),""))),0),2)=
ROUND(IFERROR(VALUE(TRIM(SUBSTITUTE(AE34,CHAR(160),""))),0),2),
"OK",
ROUND(IFERROR(VALUE(TRIM(SUBSTITUTE(BN34,CHAR(160),""))),0),2)=0,
"Attention : Montant présenté entièrement rejeté.",
ROUND(IFERROR(VALUE(TRIM(SUBSTITUTE(BN34,CHAR(160),""))),0),2)&lt;
ROUND(IFERROR(VALUE(TRIM(SUBSTITUTE(AE34,CHAR(160),""))),0),2),
"Attention : Montant présenté partiellement rejeté.",
TRUE,""
))</f>
        <v/>
      </c>
      <c r="BT34" s="674" t="str">
        <f t="shared" si="18"/>
        <v/>
      </c>
      <c r="BU34" s="673" t="str">
        <f t="shared" si="19"/>
        <v/>
      </c>
      <c r="BV34" s="1351" t="str">
        <f t="shared" si="20"/>
        <v/>
      </c>
    </row>
    <row r="35" spans="2:74" ht="14.1" customHeight="1">
      <c r="B35" s="498">
        <v>26</v>
      </c>
      <c r="C35" s="119"/>
      <c r="D35" s="11"/>
      <c r="E35" s="6"/>
      <c r="F35" s="28"/>
      <c r="G35" s="6"/>
      <c r="H35" s="6"/>
      <c r="I35" s="30"/>
      <c r="J35" s="30"/>
      <c r="K35" s="30"/>
      <c r="L35" s="31"/>
      <c r="M35" s="440"/>
      <c r="N35" s="33"/>
      <c r="O35" s="321" t="str">
        <f t="shared" si="32"/>
        <v/>
      </c>
      <c r="P35" s="32"/>
      <c r="Q35" s="33"/>
      <c r="R35" s="299" t="str">
        <f t="shared" si="33"/>
        <v/>
      </c>
      <c r="S35" s="34"/>
      <c r="T35" s="33"/>
      <c r="U35" s="299" t="str">
        <f t="shared" si="1"/>
        <v/>
      </c>
      <c r="V35" s="439"/>
      <c r="W35" s="441" t="str" cm="1">
        <f t="array" ref="W35">IF((_xlfn.IFS(TRIM(SUBSTITUTE(V35,CHAR(160),""))="Devis 1",IFERROR(VALUE(TRIM(SUBSTITUTE(M35,CHAR(160),""))),0),TRIM(SUBSTITUTE(V35,CHAR(160),""))="Devis 2",IFERROR(VALUE(TRIM(SUBSTITUTE(P35,CHAR(160),""))),0),TRIM(SUBSTITUTE(V35,CHAR(160),""))="Devis 3",IFERROR(VALUE(TRIM(SUBSTITUTE(S35,CHAR(160),""))),0),TRUE,0))=0,"",_xlfn.IFS(TRIM(SUBSTITUTE(V35,CHAR(160),""))="Devis 1",IFERROR(VALUE(TRIM(SUBSTITUTE(M35,CHAR(160),""))),0),TRIM(SUBSTITUTE(V35,CHAR(160),""))="Devis 2",IFERROR(VALUE(TRIM(SUBSTITUTE(P35,CHAR(160),""))),0),TRIM(SUBSTITUTE(V35,CHAR(160),""))="Devis 3",IFERROR(VALUE(TRIM(SUBSTITUTE(S35,CHAR(160),""))),0),TRUE,0))</f>
        <v/>
      </c>
      <c r="X35" s="441" t="str" cm="1">
        <f t="array" ref="X35">IF((_xlfn.IFS(TRIM(SUBSTITUTE(V35,CHAR(160),""))="Devis 1",IFERROR(VALUE(TRIM(SUBSTITUTE(N35,CHAR(160),""))),0),TRIM(SUBSTITUTE(V35,CHAR(160),""))="Devis 2",IFERROR(VALUE(TRIM(SUBSTITUTE(Q35,CHAR(160),""))),0),TRIM(SUBSTITUTE(V35,CHAR(160),""))="Devis 3",IFERROR(VALUE(TRIM(SUBSTITUTE(T35,CHAR(160),""))),0),TRUE,0))=0,"",_xlfn.IFS(TRIM(SUBSTITUTE(V35,CHAR(160),""))="Devis 1",IFERROR(VALUE(TRIM(SUBSTITUTE(N35,CHAR(160),""))),0),TRIM(SUBSTITUTE(V35,CHAR(160),""))="Devis 2",IFERROR(VALUE(TRIM(SUBSTITUTE(Q35,CHAR(160),""))),0),TRIM(SUBSTITUTE(V35,CHAR(160),""))="Devis 3",IFERROR(VALUE(TRIM(SUBSTITUTE(T35,CHAR(160),""))),0),TRUE,0))</f>
        <v/>
      </c>
      <c r="Y35" s="815" t="str" cm="1">
        <f t="array" ref="Y35">IF((_xlfn.IFS(TRIM(SUBSTITUTE(V35,CHAR(160),""))="Devis 1",IFERROR(VALUE(TRIM(SUBSTITUTE(O35,CHAR(160),""))),0),TRIM(SUBSTITUTE(V35,CHAR(160),""))="Devis 2",IFERROR(VALUE(TRIM(SUBSTITUTE(R35,CHAR(160),""))),0),TRIM(SUBSTITUTE(V35,CHAR(160),""))="Devis 3",IFERROR(VALUE(TRIM(SUBSTITUTE(U35,CHAR(160),""))),0),TRUE,0))=0,"",_xlfn.IFS(TRIM(SUBSTITUTE(V35,CHAR(160),""))="Devis 1",IFERROR(VALUE(TRIM(SUBSTITUTE(O35,CHAR(160),""))),0),TRIM(SUBSTITUTE(V35,CHAR(160),""))="Devis 2",IFERROR(VALUE(TRIM(SUBSTITUTE(R35,CHAR(160),""))),0),TRIM(SUBSTITUTE(V35,CHAR(160),""))="Devis 3",IFERROR(VALUE(TRIM(SUBSTITUTE(U35,CHAR(160),""))),0),TRUE,0))</f>
        <v/>
      </c>
      <c r="Z35" s="850"/>
      <c r="AA35" s="817" t="str" cm="1">
        <f t="array" ref="AA35">IF(Z35="","",_xlfn.IFS(Z35=$BZ$5,70,Z35=$BZ$6,90,Z35=$BZ$7,70,Z35=$BZ$8,90,Z35=$BZ$9,110))</f>
        <v/>
      </c>
      <c r="AB35" s="627"/>
      <c r="AC35" s="817" t="str" cm="1">
        <f t="array" ref="AC35">IF(Z35="","",_xlfn.IFS(Z35=$BZ$5,15.75,Z35=$BZ$6,21,Z35=$BZ$7,15.25,Z35=$BZ$8,15.25,Z35=$BZ$9,15.25))</f>
        <v/>
      </c>
      <c r="AD35" s="818"/>
      <c r="AE35" s="830">
        <f t="shared" si="34"/>
        <v>0</v>
      </c>
      <c r="AF35" s="819" t="str">
        <f t="shared" si="35"/>
        <v/>
      </c>
      <c r="AG35" s="26"/>
      <c r="AH35" s="466" t="str">
        <f t="shared" si="2"/>
        <v/>
      </c>
      <c r="AI35" s="1414" t="str">
        <f t="shared" si="21"/>
        <v/>
      </c>
      <c r="AJ35" s="452" t="str">
        <f t="shared" si="4"/>
        <v/>
      </c>
      <c r="AK35" s="28"/>
      <c r="AL35" s="664" t="str">
        <f t="shared" si="5"/>
        <v/>
      </c>
      <c r="AM35" s="452" t="str">
        <f t="shared" si="6"/>
        <v/>
      </c>
      <c r="AN35" s="452" t="str">
        <f t="shared" si="22"/>
        <v/>
      </c>
      <c r="AO35" s="452" t="str">
        <f t="shared" si="23"/>
        <v/>
      </c>
      <c r="AP35" s="452" t="str">
        <f t="shared" si="24"/>
        <v/>
      </c>
      <c r="AQ35" s="452" t="str">
        <f t="shared" si="7"/>
        <v/>
      </c>
      <c r="AR35" s="478" t="str">
        <f t="shared" si="8"/>
        <v/>
      </c>
      <c r="AS35" s="453" t="str">
        <f t="shared" si="9"/>
        <v/>
      </c>
      <c r="AT35" s="479" t="str">
        <f t="shared" si="29"/>
        <v/>
      </c>
      <c r="AU35" s="453" t="str">
        <f t="shared" si="10"/>
        <v/>
      </c>
      <c r="AV35" s="453" t="str">
        <f t="shared" si="30"/>
        <v/>
      </c>
      <c r="AW35" s="480" t="str">
        <f t="shared" si="25"/>
        <v/>
      </c>
      <c r="AX35" s="453" t="str">
        <f t="shared" si="11"/>
        <v/>
      </c>
      <c r="AY35" s="453" t="str">
        <f t="shared" si="12"/>
        <v/>
      </c>
      <c r="AZ35" s="480" t="str">
        <f t="shared" si="26"/>
        <v/>
      </c>
      <c r="BA35" s="424" t="str">
        <f t="shared" si="13"/>
        <v/>
      </c>
      <c r="BB35" s="454"/>
      <c r="BC35" s="424" t="str">
        <f t="shared" si="14"/>
        <v/>
      </c>
      <c r="BD35" s="424" t="str">
        <f t="shared" si="15"/>
        <v/>
      </c>
      <c r="BE35" s="424" t="str">
        <f t="shared" si="27"/>
        <v/>
      </c>
      <c r="BF35" s="455" t="str" cm="1">
        <f t="array" ref="BF35">IF(AR35="","",IF((IFERROR(_xlfn.IFS($BA35="Devis 1",(IFERROR(VALUE(TRIM(SUBSTITUTE(AR35,CHAR(160),""))),0)),$BA35="Devis 2",(IFERROR(VALUE(TRIM(SUBSTITUTE(AU35,CHAR(160),""))),0)),$BA35="Devis 3",(IFERROR(VALUE(TRIM(SUBSTITUTE(AX35,CHAR(160),""))),0))),0))=0,"",(IFERROR(_xlfn.IFS($BA35="Devis 1",(IFERROR(VALUE(TRIM(SUBSTITUTE(AR35,CHAR(160),""))),0)),$BA35="Devis 2",(IFERROR(VALUE(TRIM(SUBSTITUTE(AU35,CHAR(160),""))),0)),$BA35="Devis 3",(IFERROR(VALUE(TRIM(SUBSTITUTE(AX35,CHAR(160),""))),0))),0))))</f>
        <v/>
      </c>
      <c r="BG35" s="455" t="str" cm="1">
        <f t="array" ref="BG35">IF(AS35="","",IF((IFERROR(_xlfn.IFS($BA35="Devis 1",(IFERROR(VALUE(TRIM(SUBSTITUTE(AS35,CHAR(160),""))),0)),$BA35="Devis 2",(IFERROR(VALUE(TRIM(SUBSTITUTE(AV35,CHAR(160),""))),0)),$BA35="Devis 3",(IFERROR(VALUE(TRIM(SUBSTITUTE(AY35,CHAR(160),""))),0))),0))=0,"",(IFERROR(_xlfn.IFS($BA35="Devis 1",(IFERROR(VALUE(TRIM(SUBSTITUTE(AS35,CHAR(160),""))),0)),$BA35="Devis 2",(IFERROR(VALUE(TRIM(SUBSTITUTE(AV35,CHAR(160),""))),0)),$BA35="Devis 3",(IFERROR(VALUE(TRIM(SUBSTITUTE(AY35,CHAR(160),""))),0))),0))))</f>
        <v/>
      </c>
      <c r="BH35" s="826" t="str" cm="1">
        <f t="array" ref="BH35">IF(AT35="","",IF(IFERROR(_xlfn.IFS($BA35="Devis 1",IFERROR(VALUE(TRIM(SUBSTITUTE(AT35,CHAR(160),""))),0),$BA35="Devis 2",IFERROR(VALUE(TRIM(SUBSTITUTE(AW35,CHAR(160),""))),0),$BA35="Devis 3",IFERROR(VALUE(TRIM(SUBSTITUTE(AZ35,CHAR(160),""))),0)),0)=0,"",IFERROR(_xlfn.IFS($BA35="Devis 1",IFERROR(VALUE(TRIM(SUBSTITUTE(AT35,CHAR(160),""))),0),$BA35="Devis 2",IFERROR(VALUE(TRIM(SUBSTITUTE(AW35,CHAR(160),""))),0),$BA35="Devis 3",IFERROR(VALUE(TRIM(SUBSTITUTE(AZ35,CHAR(160),""))),0)),0)))</f>
        <v/>
      </c>
      <c r="BI35" s="832" t="str">
        <f t="shared" si="28"/>
        <v/>
      </c>
      <c r="BJ35" s="455"/>
      <c r="BK35" s="831"/>
      <c r="BL35" s="455"/>
      <c r="BM35" s="831"/>
      <c r="BN35" s="830">
        <f t="shared" si="31"/>
        <v>0</v>
      </c>
      <c r="BO35" s="676" t="str">
        <f t="shared" si="17"/>
        <v/>
      </c>
      <c r="BP35" s="1330"/>
      <c r="BQ35" s="216" t="str" cm="1">
        <f t="array" ref="BQ35">IF(OR(BH35="",BE35="",BF35="",BC35="",BG35="",BD35=""),"",_xlfn.IFS(
ROUND(IFERROR(VALUE(TRIM(SUBSTITUTE(BH35,CHAR(160),""))),0),2)&gt;
ROUND(IFERROR(VALUE(TRIM(SUBSTITUTE(BE35,CHAR(160),""))),0),2),
"KO : Le montant retenu TTC est supérieur au montant raisonnable TTC. Merci de revoir la ligne de dépense ou plafonner son montant.",
ROUND(IFERROR(VALUE(TRIM(SUBSTITUTE(BF35,CHAR(160),""))),0),2)&gt;
ROUND(IFERROR(VALUE(TRIM(SUBSTITUTE(BC35,CHAR(160),""))),0),2),
"Attention : Le montant retenu HT est supérieur au montant HT raisonnable. Merci de revoir la ligne de dépense, plafonner son montant, ou justifier la reventillation HT / TVA.",
ROUND(IFERROR(VALUE(TRIM(SUBSTITUTE(BG35,CHAR(160),""))),0),2)&gt;
ROUND(IFERROR(VALUE(TRIM(SUBSTITUTE(BD35,CHAR(160),""))),0),2),
"Attention : Le montant TVA retenu est supérieur au montant TVA raisonnable. Merci de revoir la ligne de dépense, plafonner son montant, ou justifier la reventillation HT / TVA.",
ROUND(IFERROR(VALUE(TRIM(SUBSTITUTE(BH35,CHAR(160),""))),0),2)&gt;
ROUND(IFERROR(VALUE(TRIM(SUBSTITUTE(MIN(O35,R35,U35),CHAR(160),""))),0),2),
"Attention : Le devis retenu n'est pas le moins cher. Une justification de la part du porteur est nécessaire.",
ROUND(IFERROR(VALUE(TRIM(SUBSTITUTE(BH35,CHAR(160),""))),0),2)=0,
"Attention : montant présenté entièrement écarté",
ROUND(IFERROR(VALUE(TRIM(SUBSTITUTE(BE35,CHAR(160),""))),0),2)=
ROUND(IFERROR(VALUE(TRIM(SUBSTITUTE(BH35,CHAR(160),""))),0),2),
"OK",
ROUND(IFERROR(VALUE(TRIM(SUBSTITUTE(BE35,CHAR(160),""))),0),2)&gt;
ROUND(IFERROR(VALUE(TRIM(SUBSTITUTE(BH35,CHAR(160),""))),0),2),
" OK : Montant instruit inférieur au montant raisonnable.",
TRUE,""
))</f>
        <v/>
      </c>
      <c r="BR35" s="216" t="str" cm="1">
        <f t="array" ref="BR35">IF(OR(BH35="",Y35="",BF35="",W35="",BG35="",X35=""),"",_xlfn.IFS(
ROUND(IFERROR(VALUE(TRIM(SUBSTITUTE(BH35,CHAR(160),""))),0),2)&gt;
ROUND(IFERROR(VALUE(TRIM(SUBSTITUTE(Y35,CHAR(160),""))),0),2),
"KO : Le montant retenu TTC est supérieur au montant présenté TTC. Merci de revoir la ligne de dépense ou plafonner son montant.",
ROUND(IFERROR(VALUE(TRIM(SUBSTITUTE(BF35,CHAR(160),""))),0),2)&gt;
ROUND(IFERROR(VALUE(TRIM(SUBSTITUTE(W35,CHAR(160),""))),0),2),
"Attention : Le montant retenu HT est supérieur au montant HT présenté. Merci de revoir la ligne de dépense, plafonner son montant, ou justifier la reventillation HT / TVA.",
ROUND(IFERROR(VALUE(TRIM(SUBSTITUTE(BG35,CHAR(160),""))),0),2)&gt;
ROUND(IFERROR(VALUE(TRIM(SUBSTITUTE(X35,CHAR(160),""))),0),2),
"Attention : Le montant TVA retenu est supérieur au montant TVA présenté. Merci de revoir la ligne de dépense, plafonner son montant, ou justifier la reventillation HT / TVA.",
ROUND(IFERROR(VALUE(TRIM(SUBSTITUTE(Y35,CHAR(160),""))),0),2)=0,
"",
ROUND(IFERROR(VALUE(TRIM(SUBSTITUTE(BH35,CHAR(160),""))),0),2)=
ROUND(IFERROR(VALUE(TRIM(SUBSTITUTE(Y35,CHAR(160),""))),0),2),
"OK",
ROUND(IFERROR(VALUE(TRIM(SUBSTITUTE(BH35,CHAR(160),""))),0),2)=0,
"Attention : Montant présenté entièrement rejeté.",
ROUND(IFERROR(VALUE(TRIM(SUBSTITUTE(BH35,CHAR(160),""))),0),2)&lt;
ROUND(IFERROR(VALUE(TRIM(SUBSTITUTE(Y35,CHAR(160),""))),0),2),
"Attention : Montant présenté partiellement rejeté.",
TRUE,""
))</f>
        <v/>
      </c>
      <c r="BS35" s="1331" t="str" cm="1">
        <f t="array" ref="BS35">IF(OR(BN35="",AE35=""),"",_xlfn.IFS(
ROUND(IFERROR(VALUE(TRIM(SUBSTITUTE(BN35,CHAR(160),""))),0),2)&gt;
ROUND(IFERROR(VALUE(TRIM(SUBSTITUTE(AE35,CHAR(160),""))),0),2),
"KO : Le montant retenu est supérieur au montant présenté. Merci de revoir la ligne de contributions ou plafonner son montant.",
ROUND(IFERROR(VALUE(TRIM(SUBSTITUTE(AE35,CHAR(160),""))),0),2)=0,
"",
ROUND(IFERROR(VALUE(TRIM(SUBSTITUTE(BN35,CHAR(160),""))),0),2)=
ROUND(IFERROR(VALUE(TRIM(SUBSTITUTE(AE35,CHAR(160),""))),0),2),
"OK",
ROUND(IFERROR(VALUE(TRIM(SUBSTITUTE(BN35,CHAR(160),""))),0),2)=0,
"Attention : Montant présenté entièrement rejeté.",
ROUND(IFERROR(VALUE(TRIM(SUBSTITUTE(BN35,CHAR(160),""))),0),2)&lt;
ROUND(IFERROR(VALUE(TRIM(SUBSTITUTE(AE35,CHAR(160),""))),0),2),
"Attention : Montant présenté partiellement rejeté.",
TRUE,""
))</f>
        <v/>
      </c>
      <c r="BT35" s="674" t="str">
        <f t="shared" si="18"/>
        <v/>
      </c>
      <c r="BU35" s="673" t="str">
        <f t="shared" si="19"/>
        <v/>
      </c>
      <c r="BV35" s="1351" t="str">
        <f t="shared" si="20"/>
        <v/>
      </c>
    </row>
    <row r="36" spans="2:74" ht="14.1" customHeight="1">
      <c r="B36" s="498">
        <v>27</v>
      </c>
      <c r="C36" s="119"/>
      <c r="D36" s="11"/>
      <c r="E36" s="6"/>
      <c r="F36" s="28"/>
      <c r="G36" s="6"/>
      <c r="H36" s="6"/>
      <c r="I36" s="30"/>
      <c r="J36" s="30"/>
      <c r="K36" s="30"/>
      <c r="L36" s="31"/>
      <c r="M36" s="440"/>
      <c r="N36" s="33"/>
      <c r="O36" s="321" t="str">
        <f t="shared" si="32"/>
        <v/>
      </c>
      <c r="P36" s="32"/>
      <c r="Q36" s="33"/>
      <c r="R36" s="299" t="str">
        <f t="shared" si="33"/>
        <v/>
      </c>
      <c r="S36" s="34"/>
      <c r="T36" s="33"/>
      <c r="U36" s="299" t="str">
        <f t="shared" si="1"/>
        <v/>
      </c>
      <c r="V36" s="439"/>
      <c r="W36" s="441" t="str" cm="1">
        <f t="array" ref="W36">IF((_xlfn.IFS(TRIM(SUBSTITUTE(V36,CHAR(160),""))="Devis 1",IFERROR(VALUE(TRIM(SUBSTITUTE(M36,CHAR(160),""))),0),TRIM(SUBSTITUTE(V36,CHAR(160),""))="Devis 2",IFERROR(VALUE(TRIM(SUBSTITUTE(P36,CHAR(160),""))),0),TRIM(SUBSTITUTE(V36,CHAR(160),""))="Devis 3",IFERROR(VALUE(TRIM(SUBSTITUTE(S36,CHAR(160),""))),0),TRUE,0))=0,"",_xlfn.IFS(TRIM(SUBSTITUTE(V36,CHAR(160),""))="Devis 1",IFERROR(VALUE(TRIM(SUBSTITUTE(M36,CHAR(160),""))),0),TRIM(SUBSTITUTE(V36,CHAR(160),""))="Devis 2",IFERROR(VALUE(TRIM(SUBSTITUTE(P36,CHAR(160),""))),0),TRIM(SUBSTITUTE(V36,CHAR(160),""))="Devis 3",IFERROR(VALUE(TRIM(SUBSTITUTE(S36,CHAR(160),""))),0),TRUE,0))</f>
        <v/>
      </c>
      <c r="X36" s="441" t="str" cm="1">
        <f t="array" ref="X36">IF((_xlfn.IFS(TRIM(SUBSTITUTE(V36,CHAR(160),""))="Devis 1",IFERROR(VALUE(TRIM(SUBSTITUTE(N36,CHAR(160),""))),0),TRIM(SUBSTITUTE(V36,CHAR(160),""))="Devis 2",IFERROR(VALUE(TRIM(SUBSTITUTE(Q36,CHAR(160),""))),0),TRIM(SUBSTITUTE(V36,CHAR(160),""))="Devis 3",IFERROR(VALUE(TRIM(SUBSTITUTE(T36,CHAR(160),""))),0),TRUE,0))=0,"",_xlfn.IFS(TRIM(SUBSTITUTE(V36,CHAR(160),""))="Devis 1",IFERROR(VALUE(TRIM(SUBSTITUTE(N36,CHAR(160),""))),0),TRIM(SUBSTITUTE(V36,CHAR(160),""))="Devis 2",IFERROR(VALUE(TRIM(SUBSTITUTE(Q36,CHAR(160),""))),0),TRIM(SUBSTITUTE(V36,CHAR(160),""))="Devis 3",IFERROR(VALUE(TRIM(SUBSTITUTE(T36,CHAR(160),""))),0),TRUE,0))</f>
        <v/>
      </c>
      <c r="Y36" s="815" t="str" cm="1">
        <f t="array" ref="Y36">IF((_xlfn.IFS(TRIM(SUBSTITUTE(V36,CHAR(160),""))="Devis 1",IFERROR(VALUE(TRIM(SUBSTITUTE(O36,CHAR(160),""))),0),TRIM(SUBSTITUTE(V36,CHAR(160),""))="Devis 2",IFERROR(VALUE(TRIM(SUBSTITUTE(R36,CHAR(160),""))),0),TRIM(SUBSTITUTE(V36,CHAR(160),""))="Devis 3",IFERROR(VALUE(TRIM(SUBSTITUTE(U36,CHAR(160),""))),0),TRUE,0))=0,"",_xlfn.IFS(TRIM(SUBSTITUTE(V36,CHAR(160),""))="Devis 1",IFERROR(VALUE(TRIM(SUBSTITUTE(O36,CHAR(160),""))),0),TRIM(SUBSTITUTE(V36,CHAR(160),""))="Devis 2",IFERROR(VALUE(TRIM(SUBSTITUTE(R36,CHAR(160),""))),0),TRIM(SUBSTITUTE(V36,CHAR(160),""))="Devis 3",IFERROR(VALUE(TRIM(SUBSTITUTE(U36,CHAR(160),""))),0),TRUE,0))</f>
        <v/>
      </c>
      <c r="Z36" s="850"/>
      <c r="AA36" s="817" t="str" cm="1">
        <f t="array" ref="AA36">IF(Z36="","",_xlfn.IFS(Z36=$BZ$5,70,Z36=$BZ$6,90,Z36=$BZ$7,70,Z36=$BZ$8,90,Z36=$BZ$9,110))</f>
        <v/>
      </c>
      <c r="AB36" s="627"/>
      <c r="AC36" s="817" t="str" cm="1">
        <f t="array" ref="AC36">IF(Z36="","",_xlfn.IFS(Z36=$BZ$5,15.75,Z36=$BZ$6,21,Z36=$BZ$7,15.25,Z36=$BZ$8,15.25,Z36=$BZ$9,15.25))</f>
        <v/>
      </c>
      <c r="AD36" s="818"/>
      <c r="AE36" s="830">
        <f t="shared" si="34"/>
        <v>0</v>
      </c>
      <c r="AF36" s="819" t="str">
        <f t="shared" si="35"/>
        <v/>
      </c>
      <c r="AG36" s="26"/>
      <c r="AH36" s="466" t="str">
        <f t="shared" si="2"/>
        <v/>
      </c>
      <c r="AI36" s="1414" t="str">
        <f t="shared" si="21"/>
        <v/>
      </c>
      <c r="AJ36" s="452" t="str">
        <f t="shared" si="4"/>
        <v/>
      </c>
      <c r="AK36" s="28"/>
      <c r="AL36" s="664" t="str">
        <f t="shared" si="5"/>
        <v/>
      </c>
      <c r="AM36" s="452" t="str">
        <f t="shared" si="6"/>
        <v/>
      </c>
      <c r="AN36" s="452" t="str">
        <f t="shared" si="22"/>
        <v/>
      </c>
      <c r="AO36" s="452" t="str">
        <f t="shared" si="23"/>
        <v/>
      </c>
      <c r="AP36" s="452" t="str">
        <f t="shared" si="24"/>
        <v/>
      </c>
      <c r="AQ36" s="452" t="str">
        <f t="shared" si="7"/>
        <v/>
      </c>
      <c r="AR36" s="478" t="str">
        <f t="shared" si="8"/>
        <v/>
      </c>
      <c r="AS36" s="453" t="str">
        <f t="shared" si="9"/>
        <v/>
      </c>
      <c r="AT36" s="479" t="str">
        <f t="shared" si="29"/>
        <v/>
      </c>
      <c r="AU36" s="453" t="str">
        <f t="shared" si="10"/>
        <v/>
      </c>
      <c r="AV36" s="453" t="str">
        <f t="shared" si="30"/>
        <v/>
      </c>
      <c r="AW36" s="480" t="str">
        <f t="shared" si="25"/>
        <v/>
      </c>
      <c r="AX36" s="453" t="str">
        <f t="shared" si="11"/>
        <v/>
      </c>
      <c r="AY36" s="453" t="str">
        <f t="shared" si="12"/>
        <v/>
      </c>
      <c r="AZ36" s="480" t="str">
        <f t="shared" si="26"/>
        <v/>
      </c>
      <c r="BA36" s="424" t="str">
        <f t="shared" si="13"/>
        <v/>
      </c>
      <c r="BB36" s="454"/>
      <c r="BC36" s="424" t="str">
        <f t="shared" si="14"/>
        <v/>
      </c>
      <c r="BD36" s="424" t="str">
        <f t="shared" si="15"/>
        <v/>
      </c>
      <c r="BE36" s="424" t="str">
        <f t="shared" si="27"/>
        <v/>
      </c>
      <c r="BF36" s="455" t="str" cm="1">
        <f t="array" ref="BF36">IF(AR36="","",IF((IFERROR(_xlfn.IFS($BA36="Devis 1",(IFERROR(VALUE(TRIM(SUBSTITUTE(AR36,CHAR(160),""))),0)),$BA36="Devis 2",(IFERROR(VALUE(TRIM(SUBSTITUTE(AU36,CHAR(160),""))),0)),$BA36="Devis 3",(IFERROR(VALUE(TRIM(SUBSTITUTE(AX36,CHAR(160),""))),0))),0))=0,"",(IFERROR(_xlfn.IFS($BA36="Devis 1",(IFERROR(VALUE(TRIM(SUBSTITUTE(AR36,CHAR(160),""))),0)),$BA36="Devis 2",(IFERROR(VALUE(TRIM(SUBSTITUTE(AU36,CHAR(160),""))),0)),$BA36="Devis 3",(IFERROR(VALUE(TRIM(SUBSTITUTE(AX36,CHAR(160),""))),0))),0))))</f>
        <v/>
      </c>
      <c r="BG36" s="455" t="str" cm="1">
        <f t="array" ref="BG36">IF(AS36="","",IF((IFERROR(_xlfn.IFS($BA36="Devis 1",(IFERROR(VALUE(TRIM(SUBSTITUTE(AS36,CHAR(160),""))),0)),$BA36="Devis 2",(IFERROR(VALUE(TRIM(SUBSTITUTE(AV36,CHAR(160),""))),0)),$BA36="Devis 3",(IFERROR(VALUE(TRIM(SUBSTITUTE(AY36,CHAR(160),""))),0))),0))=0,"",(IFERROR(_xlfn.IFS($BA36="Devis 1",(IFERROR(VALUE(TRIM(SUBSTITUTE(AS36,CHAR(160),""))),0)),$BA36="Devis 2",(IFERROR(VALUE(TRIM(SUBSTITUTE(AV36,CHAR(160),""))),0)),$BA36="Devis 3",(IFERROR(VALUE(TRIM(SUBSTITUTE(AY36,CHAR(160),""))),0))),0))))</f>
        <v/>
      </c>
      <c r="BH36" s="826" t="str" cm="1">
        <f t="array" ref="BH36">IF(AT36="","",IF(IFERROR(_xlfn.IFS($BA36="Devis 1",IFERROR(VALUE(TRIM(SUBSTITUTE(AT36,CHAR(160),""))),0),$BA36="Devis 2",IFERROR(VALUE(TRIM(SUBSTITUTE(AW36,CHAR(160),""))),0),$BA36="Devis 3",IFERROR(VALUE(TRIM(SUBSTITUTE(AZ36,CHAR(160),""))),0)),0)=0,"",IFERROR(_xlfn.IFS($BA36="Devis 1",IFERROR(VALUE(TRIM(SUBSTITUTE(AT36,CHAR(160),""))),0),$BA36="Devis 2",IFERROR(VALUE(TRIM(SUBSTITUTE(AW36,CHAR(160),""))),0),$BA36="Devis 3",IFERROR(VALUE(TRIM(SUBSTITUTE(AZ36,CHAR(160),""))),0)),0)))</f>
        <v/>
      </c>
      <c r="BI36" s="832" t="str">
        <f t="shared" si="28"/>
        <v/>
      </c>
      <c r="BJ36" s="455"/>
      <c r="BK36" s="831"/>
      <c r="BL36" s="455"/>
      <c r="BM36" s="831"/>
      <c r="BN36" s="830">
        <f t="shared" si="31"/>
        <v>0</v>
      </c>
      <c r="BO36" s="676" t="str">
        <f t="shared" si="17"/>
        <v/>
      </c>
      <c r="BP36" s="1330"/>
      <c r="BQ36" s="216" t="str" cm="1">
        <f t="array" ref="BQ36">IF(OR(BH36="",BE36="",BF36="",BC36="",BG36="",BD36=""),"",_xlfn.IFS(
ROUND(IFERROR(VALUE(TRIM(SUBSTITUTE(BH36,CHAR(160),""))),0),2)&gt;
ROUND(IFERROR(VALUE(TRIM(SUBSTITUTE(BE36,CHAR(160),""))),0),2),
"KO : Le montant retenu TTC est supérieur au montant raisonnable TTC. Merci de revoir la ligne de dépense ou plafonner son montant.",
ROUND(IFERROR(VALUE(TRIM(SUBSTITUTE(BF36,CHAR(160),""))),0),2)&gt;
ROUND(IFERROR(VALUE(TRIM(SUBSTITUTE(BC36,CHAR(160),""))),0),2),
"Attention : Le montant retenu HT est supérieur au montant HT raisonnable. Merci de revoir la ligne de dépense, plafonner son montant, ou justifier la reventillation HT / TVA.",
ROUND(IFERROR(VALUE(TRIM(SUBSTITUTE(BG36,CHAR(160),""))),0),2)&gt;
ROUND(IFERROR(VALUE(TRIM(SUBSTITUTE(BD36,CHAR(160),""))),0),2),
"Attention : Le montant TVA retenu est supérieur au montant TVA raisonnable. Merci de revoir la ligne de dépense, plafonner son montant, ou justifier la reventillation HT / TVA.",
ROUND(IFERROR(VALUE(TRIM(SUBSTITUTE(BH36,CHAR(160),""))),0),2)&gt;
ROUND(IFERROR(VALUE(TRIM(SUBSTITUTE(MIN(O36,R36,U36),CHAR(160),""))),0),2),
"Attention : Le devis retenu n'est pas le moins cher. Une justification de la part du porteur est nécessaire.",
ROUND(IFERROR(VALUE(TRIM(SUBSTITUTE(BH36,CHAR(160),""))),0),2)=0,
"Attention : montant présenté entièrement écarté",
ROUND(IFERROR(VALUE(TRIM(SUBSTITUTE(BE36,CHAR(160),""))),0),2)=
ROUND(IFERROR(VALUE(TRIM(SUBSTITUTE(BH36,CHAR(160),""))),0),2),
"OK",
ROUND(IFERROR(VALUE(TRIM(SUBSTITUTE(BE36,CHAR(160),""))),0),2)&gt;
ROUND(IFERROR(VALUE(TRIM(SUBSTITUTE(BH36,CHAR(160),""))),0),2),
" OK : Montant instruit inférieur au montant raisonnable.",
TRUE,""
))</f>
        <v/>
      </c>
      <c r="BR36" s="216" t="str" cm="1">
        <f t="array" ref="BR36">IF(OR(BH36="",Y36="",BF36="",W36="",BG36="",X36=""),"",_xlfn.IFS(
ROUND(IFERROR(VALUE(TRIM(SUBSTITUTE(BH36,CHAR(160),""))),0),2)&gt;
ROUND(IFERROR(VALUE(TRIM(SUBSTITUTE(Y36,CHAR(160),""))),0),2),
"KO : Le montant retenu TTC est supérieur au montant présenté TTC. Merci de revoir la ligne de dépense ou plafonner son montant.",
ROUND(IFERROR(VALUE(TRIM(SUBSTITUTE(BF36,CHAR(160),""))),0),2)&gt;
ROUND(IFERROR(VALUE(TRIM(SUBSTITUTE(W36,CHAR(160),""))),0),2),
"Attention : Le montant retenu HT est supérieur au montant HT présenté. Merci de revoir la ligne de dépense, plafonner son montant, ou justifier la reventillation HT / TVA.",
ROUND(IFERROR(VALUE(TRIM(SUBSTITUTE(BG36,CHAR(160),""))),0),2)&gt;
ROUND(IFERROR(VALUE(TRIM(SUBSTITUTE(X36,CHAR(160),""))),0),2),
"Attention : Le montant TVA retenu est supérieur au montant TVA présenté. Merci de revoir la ligne de dépense, plafonner son montant, ou justifier la reventillation HT / TVA.",
ROUND(IFERROR(VALUE(TRIM(SUBSTITUTE(Y36,CHAR(160),""))),0),2)=0,
"",
ROUND(IFERROR(VALUE(TRIM(SUBSTITUTE(BH36,CHAR(160),""))),0),2)=
ROUND(IFERROR(VALUE(TRIM(SUBSTITUTE(Y36,CHAR(160),""))),0),2),
"OK",
ROUND(IFERROR(VALUE(TRIM(SUBSTITUTE(BH36,CHAR(160),""))),0),2)=0,
"Attention : Montant présenté entièrement rejeté.",
ROUND(IFERROR(VALUE(TRIM(SUBSTITUTE(BH36,CHAR(160),""))),0),2)&lt;
ROUND(IFERROR(VALUE(TRIM(SUBSTITUTE(Y36,CHAR(160),""))),0),2),
"Attention : Montant présenté partiellement rejeté.",
TRUE,""
))</f>
        <v/>
      </c>
      <c r="BS36" s="1331" t="str" cm="1">
        <f t="array" ref="BS36">IF(OR(BN36="",AE36=""),"",_xlfn.IFS(
ROUND(IFERROR(VALUE(TRIM(SUBSTITUTE(BN36,CHAR(160),""))),0),2)&gt;
ROUND(IFERROR(VALUE(TRIM(SUBSTITUTE(AE36,CHAR(160),""))),0),2),
"KO : Le montant retenu est supérieur au montant présenté. Merci de revoir la ligne de contributions ou plafonner son montant.",
ROUND(IFERROR(VALUE(TRIM(SUBSTITUTE(AE36,CHAR(160),""))),0),2)=0,
"",
ROUND(IFERROR(VALUE(TRIM(SUBSTITUTE(BN36,CHAR(160),""))),0),2)=
ROUND(IFERROR(VALUE(TRIM(SUBSTITUTE(AE36,CHAR(160),""))),0),2),
"OK",
ROUND(IFERROR(VALUE(TRIM(SUBSTITUTE(BN36,CHAR(160),""))),0),2)=0,
"Attention : Montant présenté entièrement rejeté.",
ROUND(IFERROR(VALUE(TRIM(SUBSTITUTE(BN36,CHAR(160),""))),0),2)&lt;
ROUND(IFERROR(VALUE(TRIM(SUBSTITUTE(AE36,CHAR(160),""))),0),2),
"Attention : Montant présenté partiellement rejeté.",
TRUE,""
))</f>
        <v/>
      </c>
      <c r="BT36" s="674" t="str">
        <f t="shared" si="18"/>
        <v/>
      </c>
      <c r="BU36" s="673" t="str">
        <f t="shared" si="19"/>
        <v/>
      </c>
      <c r="BV36" s="1351" t="str">
        <f t="shared" si="20"/>
        <v/>
      </c>
    </row>
    <row r="37" spans="2:74" ht="14.1" customHeight="1">
      <c r="B37" s="498">
        <v>28</v>
      </c>
      <c r="C37" s="119"/>
      <c r="D37" s="11"/>
      <c r="E37" s="6"/>
      <c r="F37" s="28"/>
      <c r="G37" s="6"/>
      <c r="H37" s="6"/>
      <c r="I37" s="30"/>
      <c r="J37" s="30"/>
      <c r="K37" s="30"/>
      <c r="L37" s="31"/>
      <c r="M37" s="440"/>
      <c r="N37" s="33"/>
      <c r="O37" s="321" t="str">
        <f t="shared" si="32"/>
        <v/>
      </c>
      <c r="P37" s="32"/>
      <c r="Q37" s="33"/>
      <c r="R37" s="299" t="str">
        <f t="shared" si="33"/>
        <v/>
      </c>
      <c r="S37" s="34"/>
      <c r="T37" s="33"/>
      <c r="U37" s="299" t="str">
        <f t="shared" si="1"/>
        <v/>
      </c>
      <c r="V37" s="439"/>
      <c r="W37" s="441" t="str" cm="1">
        <f t="array" ref="W37">IF((_xlfn.IFS(TRIM(SUBSTITUTE(V37,CHAR(160),""))="Devis 1",IFERROR(VALUE(TRIM(SUBSTITUTE(M37,CHAR(160),""))),0),TRIM(SUBSTITUTE(V37,CHAR(160),""))="Devis 2",IFERROR(VALUE(TRIM(SUBSTITUTE(P37,CHAR(160),""))),0),TRIM(SUBSTITUTE(V37,CHAR(160),""))="Devis 3",IFERROR(VALUE(TRIM(SUBSTITUTE(S37,CHAR(160),""))),0),TRUE,0))=0,"",_xlfn.IFS(TRIM(SUBSTITUTE(V37,CHAR(160),""))="Devis 1",IFERROR(VALUE(TRIM(SUBSTITUTE(M37,CHAR(160),""))),0),TRIM(SUBSTITUTE(V37,CHAR(160),""))="Devis 2",IFERROR(VALUE(TRIM(SUBSTITUTE(P37,CHAR(160),""))),0),TRIM(SUBSTITUTE(V37,CHAR(160),""))="Devis 3",IFERROR(VALUE(TRIM(SUBSTITUTE(S37,CHAR(160),""))),0),TRUE,0))</f>
        <v/>
      </c>
      <c r="X37" s="441" t="str" cm="1">
        <f t="array" ref="X37">IF((_xlfn.IFS(TRIM(SUBSTITUTE(V37,CHAR(160),""))="Devis 1",IFERROR(VALUE(TRIM(SUBSTITUTE(N37,CHAR(160),""))),0),TRIM(SUBSTITUTE(V37,CHAR(160),""))="Devis 2",IFERROR(VALUE(TRIM(SUBSTITUTE(Q37,CHAR(160),""))),0),TRIM(SUBSTITUTE(V37,CHAR(160),""))="Devis 3",IFERROR(VALUE(TRIM(SUBSTITUTE(T37,CHAR(160),""))),0),TRUE,0))=0,"",_xlfn.IFS(TRIM(SUBSTITUTE(V37,CHAR(160),""))="Devis 1",IFERROR(VALUE(TRIM(SUBSTITUTE(N37,CHAR(160),""))),0),TRIM(SUBSTITUTE(V37,CHAR(160),""))="Devis 2",IFERROR(VALUE(TRIM(SUBSTITUTE(Q37,CHAR(160),""))),0),TRIM(SUBSTITUTE(V37,CHAR(160),""))="Devis 3",IFERROR(VALUE(TRIM(SUBSTITUTE(T37,CHAR(160),""))),0),TRUE,0))</f>
        <v/>
      </c>
      <c r="Y37" s="815" t="str" cm="1">
        <f t="array" ref="Y37">IF((_xlfn.IFS(TRIM(SUBSTITUTE(V37,CHAR(160),""))="Devis 1",IFERROR(VALUE(TRIM(SUBSTITUTE(O37,CHAR(160),""))),0),TRIM(SUBSTITUTE(V37,CHAR(160),""))="Devis 2",IFERROR(VALUE(TRIM(SUBSTITUTE(R37,CHAR(160),""))),0),TRIM(SUBSTITUTE(V37,CHAR(160),""))="Devis 3",IFERROR(VALUE(TRIM(SUBSTITUTE(U37,CHAR(160),""))),0),TRUE,0))=0,"",_xlfn.IFS(TRIM(SUBSTITUTE(V37,CHAR(160),""))="Devis 1",IFERROR(VALUE(TRIM(SUBSTITUTE(O37,CHAR(160),""))),0),TRIM(SUBSTITUTE(V37,CHAR(160),""))="Devis 2",IFERROR(VALUE(TRIM(SUBSTITUTE(R37,CHAR(160),""))),0),TRIM(SUBSTITUTE(V37,CHAR(160),""))="Devis 3",IFERROR(VALUE(TRIM(SUBSTITUTE(U37,CHAR(160),""))),0),TRUE,0))</f>
        <v/>
      </c>
      <c r="Z37" s="850"/>
      <c r="AA37" s="817" t="str" cm="1">
        <f t="array" ref="AA37">IF(Z37="","",_xlfn.IFS(Z37=$BZ$5,70,Z37=$BZ$6,90,Z37=$BZ$7,70,Z37=$BZ$8,90,Z37=$BZ$9,110))</f>
        <v/>
      </c>
      <c r="AB37" s="627"/>
      <c r="AC37" s="817" t="str" cm="1">
        <f t="array" ref="AC37">IF(Z37="","",_xlfn.IFS(Z37=$BZ$5,15.75,Z37=$BZ$6,21,Z37=$BZ$7,15.25,Z37=$BZ$8,15.25,Z37=$BZ$9,15.25))</f>
        <v/>
      </c>
      <c r="AD37" s="818"/>
      <c r="AE37" s="830">
        <f t="shared" si="34"/>
        <v>0</v>
      </c>
      <c r="AF37" s="819" t="str">
        <f t="shared" si="35"/>
        <v/>
      </c>
      <c r="AG37" s="26"/>
      <c r="AH37" s="466" t="str">
        <f t="shared" si="2"/>
        <v/>
      </c>
      <c r="AI37" s="1414" t="str">
        <f t="shared" si="21"/>
        <v/>
      </c>
      <c r="AJ37" s="452" t="str">
        <f t="shared" si="4"/>
        <v/>
      </c>
      <c r="AK37" s="28"/>
      <c r="AL37" s="664" t="str">
        <f t="shared" si="5"/>
        <v/>
      </c>
      <c r="AM37" s="452" t="str">
        <f t="shared" si="6"/>
        <v/>
      </c>
      <c r="AN37" s="452" t="str">
        <f t="shared" si="22"/>
        <v/>
      </c>
      <c r="AO37" s="452" t="str">
        <f t="shared" si="23"/>
        <v/>
      </c>
      <c r="AP37" s="452" t="str">
        <f t="shared" si="24"/>
        <v/>
      </c>
      <c r="AQ37" s="452" t="str">
        <f t="shared" si="7"/>
        <v/>
      </c>
      <c r="AR37" s="478" t="str">
        <f t="shared" si="8"/>
        <v/>
      </c>
      <c r="AS37" s="453" t="str">
        <f t="shared" si="9"/>
        <v/>
      </c>
      <c r="AT37" s="479" t="str">
        <f t="shared" si="29"/>
        <v/>
      </c>
      <c r="AU37" s="453" t="str">
        <f t="shared" si="10"/>
        <v/>
      </c>
      <c r="AV37" s="453" t="str">
        <f t="shared" si="30"/>
        <v/>
      </c>
      <c r="AW37" s="480" t="str">
        <f t="shared" si="25"/>
        <v/>
      </c>
      <c r="AX37" s="453" t="str">
        <f t="shared" si="11"/>
        <v/>
      </c>
      <c r="AY37" s="453" t="str">
        <f t="shared" si="12"/>
        <v/>
      </c>
      <c r="AZ37" s="480" t="str">
        <f t="shared" si="26"/>
        <v/>
      </c>
      <c r="BA37" s="424" t="str">
        <f t="shared" si="13"/>
        <v/>
      </c>
      <c r="BB37" s="454"/>
      <c r="BC37" s="424" t="str">
        <f t="shared" si="14"/>
        <v/>
      </c>
      <c r="BD37" s="424" t="str">
        <f t="shared" si="15"/>
        <v/>
      </c>
      <c r="BE37" s="424" t="str">
        <f t="shared" si="27"/>
        <v/>
      </c>
      <c r="BF37" s="455" t="str" cm="1">
        <f t="array" ref="BF37">IF(AR37="","",IF((IFERROR(_xlfn.IFS($BA37="Devis 1",(IFERROR(VALUE(TRIM(SUBSTITUTE(AR37,CHAR(160),""))),0)),$BA37="Devis 2",(IFERROR(VALUE(TRIM(SUBSTITUTE(AU37,CHAR(160),""))),0)),$BA37="Devis 3",(IFERROR(VALUE(TRIM(SUBSTITUTE(AX37,CHAR(160),""))),0))),0))=0,"",(IFERROR(_xlfn.IFS($BA37="Devis 1",(IFERROR(VALUE(TRIM(SUBSTITUTE(AR37,CHAR(160),""))),0)),$BA37="Devis 2",(IFERROR(VALUE(TRIM(SUBSTITUTE(AU37,CHAR(160),""))),0)),$BA37="Devis 3",(IFERROR(VALUE(TRIM(SUBSTITUTE(AX37,CHAR(160),""))),0))),0))))</f>
        <v/>
      </c>
      <c r="BG37" s="455" t="str" cm="1">
        <f t="array" ref="BG37">IF(AS37="","",IF((IFERROR(_xlfn.IFS($BA37="Devis 1",(IFERROR(VALUE(TRIM(SUBSTITUTE(AS37,CHAR(160),""))),0)),$BA37="Devis 2",(IFERROR(VALUE(TRIM(SUBSTITUTE(AV37,CHAR(160),""))),0)),$BA37="Devis 3",(IFERROR(VALUE(TRIM(SUBSTITUTE(AY37,CHAR(160),""))),0))),0))=0,"",(IFERROR(_xlfn.IFS($BA37="Devis 1",(IFERROR(VALUE(TRIM(SUBSTITUTE(AS37,CHAR(160),""))),0)),$BA37="Devis 2",(IFERROR(VALUE(TRIM(SUBSTITUTE(AV37,CHAR(160),""))),0)),$BA37="Devis 3",(IFERROR(VALUE(TRIM(SUBSTITUTE(AY37,CHAR(160),""))),0))),0))))</f>
        <v/>
      </c>
      <c r="BH37" s="826" t="str" cm="1">
        <f t="array" ref="BH37">IF(AT37="","",IF(IFERROR(_xlfn.IFS($BA37="Devis 1",IFERROR(VALUE(TRIM(SUBSTITUTE(AT37,CHAR(160),""))),0),$BA37="Devis 2",IFERROR(VALUE(TRIM(SUBSTITUTE(AW37,CHAR(160),""))),0),$BA37="Devis 3",IFERROR(VALUE(TRIM(SUBSTITUTE(AZ37,CHAR(160),""))),0)),0)=0,"",IFERROR(_xlfn.IFS($BA37="Devis 1",IFERROR(VALUE(TRIM(SUBSTITUTE(AT37,CHAR(160),""))),0),$BA37="Devis 2",IFERROR(VALUE(TRIM(SUBSTITUTE(AW37,CHAR(160),""))),0),$BA37="Devis 3",IFERROR(VALUE(TRIM(SUBSTITUTE(AZ37,CHAR(160),""))),0)),0)))</f>
        <v/>
      </c>
      <c r="BI37" s="832" t="str">
        <f t="shared" si="28"/>
        <v/>
      </c>
      <c r="BJ37" s="455"/>
      <c r="BK37" s="831"/>
      <c r="BL37" s="455"/>
      <c r="BM37" s="831"/>
      <c r="BN37" s="830">
        <f t="shared" si="31"/>
        <v>0</v>
      </c>
      <c r="BO37" s="676" t="str">
        <f t="shared" si="17"/>
        <v/>
      </c>
      <c r="BP37" s="1330"/>
      <c r="BQ37" s="216" t="str" cm="1">
        <f t="array" ref="BQ37">IF(OR(BH37="",BE37="",BF37="",BC37="",BG37="",BD37=""),"",_xlfn.IFS(
ROUND(IFERROR(VALUE(TRIM(SUBSTITUTE(BH37,CHAR(160),""))),0),2)&gt;
ROUND(IFERROR(VALUE(TRIM(SUBSTITUTE(BE37,CHAR(160),""))),0),2),
"KO : Le montant retenu TTC est supérieur au montant raisonnable TTC. Merci de revoir la ligne de dépense ou plafonner son montant.",
ROUND(IFERROR(VALUE(TRIM(SUBSTITUTE(BF37,CHAR(160),""))),0),2)&gt;
ROUND(IFERROR(VALUE(TRIM(SUBSTITUTE(BC37,CHAR(160),""))),0),2),
"Attention : Le montant retenu HT est supérieur au montant HT raisonnable. Merci de revoir la ligne de dépense, plafonner son montant, ou justifier la reventillation HT / TVA.",
ROUND(IFERROR(VALUE(TRIM(SUBSTITUTE(BG37,CHAR(160),""))),0),2)&gt;
ROUND(IFERROR(VALUE(TRIM(SUBSTITUTE(BD37,CHAR(160),""))),0),2),
"Attention : Le montant TVA retenu est supérieur au montant TVA raisonnable. Merci de revoir la ligne de dépense, plafonner son montant, ou justifier la reventillation HT / TVA.",
ROUND(IFERROR(VALUE(TRIM(SUBSTITUTE(BH37,CHAR(160),""))),0),2)&gt;
ROUND(IFERROR(VALUE(TRIM(SUBSTITUTE(MIN(O37,R37,U37),CHAR(160),""))),0),2),
"Attention : Le devis retenu n'est pas le moins cher. Une justification de la part du porteur est nécessaire.",
ROUND(IFERROR(VALUE(TRIM(SUBSTITUTE(BH37,CHAR(160),""))),0),2)=0,
"Attention : montant présenté entièrement écarté",
ROUND(IFERROR(VALUE(TRIM(SUBSTITUTE(BE37,CHAR(160),""))),0),2)=
ROUND(IFERROR(VALUE(TRIM(SUBSTITUTE(BH37,CHAR(160),""))),0),2),
"OK",
ROUND(IFERROR(VALUE(TRIM(SUBSTITUTE(BE37,CHAR(160),""))),0),2)&gt;
ROUND(IFERROR(VALUE(TRIM(SUBSTITUTE(BH37,CHAR(160),""))),0),2),
" OK : Montant instruit inférieur au montant raisonnable.",
TRUE,""
))</f>
        <v/>
      </c>
      <c r="BR37" s="216" t="str" cm="1">
        <f t="array" ref="BR37">IF(OR(BH37="",Y37="",BF37="",W37="",BG37="",X37=""),"",_xlfn.IFS(
ROUND(IFERROR(VALUE(TRIM(SUBSTITUTE(BH37,CHAR(160),""))),0),2)&gt;
ROUND(IFERROR(VALUE(TRIM(SUBSTITUTE(Y37,CHAR(160),""))),0),2),
"KO : Le montant retenu TTC est supérieur au montant présenté TTC. Merci de revoir la ligne de dépense ou plafonner son montant.",
ROUND(IFERROR(VALUE(TRIM(SUBSTITUTE(BF37,CHAR(160),""))),0),2)&gt;
ROUND(IFERROR(VALUE(TRIM(SUBSTITUTE(W37,CHAR(160),""))),0),2),
"Attention : Le montant retenu HT est supérieur au montant HT présenté. Merci de revoir la ligne de dépense, plafonner son montant, ou justifier la reventillation HT / TVA.",
ROUND(IFERROR(VALUE(TRIM(SUBSTITUTE(BG37,CHAR(160),""))),0),2)&gt;
ROUND(IFERROR(VALUE(TRIM(SUBSTITUTE(X37,CHAR(160),""))),0),2),
"Attention : Le montant TVA retenu est supérieur au montant TVA présenté. Merci de revoir la ligne de dépense, plafonner son montant, ou justifier la reventillation HT / TVA.",
ROUND(IFERROR(VALUE(TRIM(SUBSTITUTE(Y37,CHAR(160),""))),0),2)=0,
"",
ROUND(IFERROR(VALUE(TRIM(SUBSTITUTE(BH37,CHAR(160),""))),0),2)=
ROUND(IFERROR(VALUE(TRIM(SUBSTITUTE(Y37,CHAR(160),""))),0),2),
"OK",
ROUND(IFERROR(VALUE(TRIM(SUBSTITUTE(BH37,CHAR(160),""))),0),2)=0,
"Attention : Montant présenté entièrement rejeté.",
ROUND(IFERROR(VALUE(TRIM(SUBSTITUTE(BH37,CHAR(160),""))),0),2)&lt;
ROUND(IFERROR(VALUE(TRIM(SUBSTITUTE(Y37,CHAR(160),""))),0),2),
"Attention : Montant présenté partiellement rejeté.",
TRUE,""
))</f>
        <v/>
      </c>
      <c r="BS37" s="1331" t="str" cm="1">
        <f t="array" ref="BS37">IF(OR(BN37="",AE37=""),"",_xlfn.IFS(
ROUND(IFERROR(VALUE(TRIM(SUBSTITUTE(BN37,CHAR(160),""))),0),2)&gt;
ROUND(IFERROR(VALUE(TRIM(SUBSTITUTE(AE37,CHAR(160),""))),0),2),
"KO : Le montant retenu est supérieur au montant présenté. Merci de revoir la ligne de contributions ou plafonner son montant.",
ROUND(IFERROR(VALUE(TRIM(SUBSTITUTE(AE37,CHAR(160),""))),0),2)=0,
"",
ROUND(IFERROR(VALUE(TRIM(SUBSTITUTE(BN37,CHAR(160),""))),0),2)=
ROUND(IFERROR(VALUE(TRIM(SUBSTITUTE(AE37,CHAR(160),""))),0),2),
"OK",
ROUND(IFERROR(VALUE(TRIM(SUBSTITUTE(BN37,CHAR(160),""))),0),2)=0,
"Attention : Montant présenté entièrement rejeté.",
ROUND(IFERROR(VALUE(TRIM(SUBSTITUTE(BN37,CHAR(160),""))),0),2)&lt;
ROUND(IFERROR(VALUE(TRIM(SUBSTITUTE(AE37,CHAR(160),""))),0),2),
"Attention : Montant présenté partiellement rejeté.",
TRUE,""
))</f>
        <v/>
      </c>
      <c r="BT37" s="674" t="str">
        <f t="shared" si="18"/>
        <v/>
      </c>
      <c r="BU37" s="673" t="str">
        <f t="shared" si="19"/>
        <v/>
      </c>
      <c r="BV37" s="1351" t="str">
        <f t="shared" si="20"/>
        <v/>
      </c>
    </row>
    <row r="38" spans="2:74" ht="14.1" customHeight="1">
      <c r="B38" s="498">
        <v>29</v>
      </c>
      <c r="C38" s="119"/>
      <c r="D38" s="11"/>
      <c r="E38" s="6"/>
      <c r="F38" s="28"/>
      <c r="G38" s="6"/>
      <c r="H38" s="6"/>
      <c r="I38" s="30"/>
      <c r="J38" s="30"/>
      <c r="K38" s="30"/>
      <c r="L38" s="31"/>
      <c r="M38" s="440"/>
      <c r="N38" s="33"/>
      <c r="O38" s="321" t="str">
        <f t="shared" si="32"/>
        <v/>
      </c>
      <c r="P38" s="32"/>
      <c r="Q38" s="33"/>
      <c r="R38" s="299" t="str">
        <f t="shared" si="33"/>
        <v/>
      </c>
      <c r="S38" s="34"/>
      <c r="T38" s="33"/>
      <c r="U38" s="299" t="str">
        <f t="shared" si="1"/>
        <v/>
      </c>
      <c r="V38" s="439"/>
      <c r="W38" s="441" t="str" cm="1">
        <f t="array" ref="W38">IF((_xlfn.IFS(TRIM(SUBSTITUTE(V38,CHAR(160),""))="Devis 1",IFERROR(VALUE(TRIM(SUBSTITUTE(M38,CHAR(160),""))),0),TRIM(SUBSTITUTE(V38,CHAR(160),""))="Devis 2",IFERROR(VALUE(TRIM(SUBSTITUTE(P38,CHAR(160),""))),0),TRIM(SUBSTITUTE(V38,CHAR(160),""))="Devis 3",IFERROR(VALUE(TRIM(SUBSTITUTE(S38,CHAR(160),""))),0),TRUE,0))=0,"",_xlfn.IFS(TRIM(SUBSTITUTE(V38,CHAR(160),""))="Devis 1",IFERROR(VALUE(TRIM(SUBSTITUTE(M38,CHAR(160),""))),0),TRIM(SUBSTITUTE(V38,CHAR(160),""))="Devis 2",IFERROR(VALUE(TRIM(SUBSTITUTE(P38,CHAR(160),""))),0),TRIM(SUBSTITUTE(V38,CHAR(160),""))="Devis 3",IFERROR(VALUE(TRIM(SUBSTITUTE(S38,CHAR(160),""))),0),TRUE,0))</f>
        <v/>
      </c>
      <c r="X38" s="441" t="str" cm="1">
        <f t="array" ref="X38">IF((_xlfn.IFS(TRIM(SUBSTITUTE(V38,CHAR(160),""))="Devis 1",IFERROR(VALUE(TRIM(SUBSTITUTE(N38,CHAR(160),""))),0),TRIM(SUBSTITUTE(V38,CHAR(160),""))="Devis 2",IFERROR(VALUE(TRIM(SUBSTITUTE(Q38,CHAR(160),""))),0),TRIM(SUBSTITUTE(V38,CHAR(160),""))="Devis 3",IFERROR(VALUE(TRIM(SUBSTITUTE(T38,CHAR(160),""))),0),TRUE,0))=0,"",_xlfn.IFS(TRIM(SUBSTITUTE(V38,CHAR(160),""))="Devis 1",IFERROR(VALUE(TRIM(SUBSTITUTE(N38,CHAR(160),""))),0),TRIM(SUBSTITUTE(V38,CHAR(160),""))="Devis 2",IFERROR(VALUE(TRIM(SUBSTITUTE(Q38,CHAR(160),""))),0),TRIM(SUBSTITUTE(V38,CHAR(160),""))="Devis 3",IFERROR(VALUE(TRIM(SUBSTITUTE(T38,CHAR(160),""))),0),TRUE,0))</f>
        <v/>
      </c>
      <c r="Y38" s="815" t="str" cm="1">
        <f t="array" ref="Y38">IF((_xlfn.IFS(TRIM(SUBSTITUTE(V38,CHAR(160),""))="Devis 1",IFERROR(VALUE(TRIM(SUBSTITUTE(O38,CHAR(160),""))),0),TRIM(SUBSTITUTE(V38,CHAR(160),""))="Devis 2",IFERROR(VALUE(TRIM(SUBSTITUTE(R38,CHAR(160),""))),0),TRIM(SUBSTITUTE(V38,CHAR(160),""))="Devis 3",IFERROR(VALUE(TRIM(SUBSTITUTE(U38,CHAR(160),""))),0),TRUE,0))=0,"",_xlfn.IFS(TRIM(SUBSTITUTE(V38,CHAR(160),""))="Devis 1",IFERROR(VALUE(TRIM(SUBSTITUTE(O38,CHAR(160),""))),0),TRIM(SUBSTITUTE(V38,CHAR(160),""))="Devis 2",IFERROR(VALUE(TRIM(SUBSTITUTE(R38,CHAR(160),""))),0),TRIM(SUBSTITUTE(V38,CHAR(160),""))="Devis 3",IFERROR(VALUE(TRIM(SUBSTITUTE(U38,CHAR(160),""))),0),TRUE,0))</f>
        <v/>
      </c>
      <c r="Z38" s="850"/>
      <c r="AA38" s="817" t="str" cm="1">
        <f t="array" ref="AA38">IF(Z38="","",_xlfn.IFS(Z38=$BZ$5,70,Z38=$BZ$6,90,Z38=$BZ$7,70,Z38=$BZ$8,90,Z38=$BZ$9,110))</f>
        <v/>
      </c>
      <c r="AB38" s="627"/>
      <c r="AC38" s="817" t="str" cm="1">
        <f t="array" ref="AC38">IF(Z38="","",_xlfn.IFS(Z38=$BZ$5,15.75,Z38=$BZ$6,21,Z38=$BZ$7,15.25,Z38=$BZ$8,15.25,Z38=$BZ$9,15.25))</f>
        <v/>
      </c>
      <c r="AD38" s="818"/>
      <c r="AE38" s="830">
        <f t="shared" si="34"/>
        <v>0</v>
      </c>
      <c r="AF38" s="819" t="str">
        <f t="shared" si="35"/>
        <v/>
      </c>
      <c r="AG38" s="26"/>
      <c r="AH38" s="466" t="str">
        <f t="shared" si="2"/>
        <v/>
      </c>
      <c r="AI38" s="1414" t="str">
        <f t="shared" si="21"/>
        <v/>
      </c>
      <c r="AJ38" s="452" t="str">
        <f t="shared" si="4"/>
        <v/>
      </c>
      <c r="AK38" s="28"/>
      <c r="AL38" s="664" t="str">
        <f t="shared" si="5"/>
        <v/>
      </c>
      <c r="AM38" s="452" t="str">
        <f t="shared" si="6"/>
        <v/>
      </c>
      <c r="AN38" s="452" t="str">
        <f t="shared" si="22"/>
        <v/>
      </c>
      <c r="AO38" s="452" t="str">
        <f t="shared" si="23"/>
        <v/>
      </c>
      <c r="AP38" s="452" t="str">
        <f t="shared" si="24"/>
        <v/>
      </c>
      <c r="AQ38" s="452" t="str">
        <f t="shared" si="7"/>
        <v/>
      </c>
      <c r="AR38" s="478" t="str">
        <f t="shared" si="8"/>
        <v/>
      </c>
      <c r="AS38" s="453" t="str">
        <f t="shared" si="9"/>
        <v/>
      </c>
      <c r="AT38" s="479" t="str">
        <f t="shared" si="29"/>
        <v/>
      </c>
      <c r="AU38" s="453" t="str">
        <f t="shared" si="10"/>
        <v/>
      </c>
      <c r="AV38" s="453" t="str">
        <f t="shared" si="30"/>
        <v/>
      </c>
      <c r="AW38" s="480" t="str">
        <f t="shared" si="25"/>
        <v/>
      </c>
      <c r="AX38" s="453" t="str">
        <f t="shared" si="11"/>
        <v/>
      </c>
      <c r="AY38" s="453" t="str">
        <f t="shared" si="12"/>
        <v/>
      </c>
      <c r="AZ38" s="480" t="str">
        <f t="shared" si="26"/>
        <v/>
      </c>
      <c r="BA38" s="424" t="str">
        <f t="shared" si="13"/>
        <v/>
      </c>
      <c r="BB38" s="454"/>
      <c r="BC38" s="424" t="str">
        <f t="shared" si="14"/>
        <v/>
      </c>
      <c r="BD38" s="424" t="str">
        <f t="shared" si="15"/>
        <v/>
      </c>
      <c r="BE38" s="424" t="str">
        <f t="shared" si="27"/>
        <v/>
      </c>
      <c r="BF38" s="455" t="str" cm="1">
        <f t="array" ref="BF38">IF(AR38="","",IF((IFERROR(_xlfn.IFS($BA38="Devis 1",(IFERROR(VALUE(TRIM(SUBSTITUTE(AR38,CHAR(160),""))),0)),$BA38="Devis 2",(IFERROR(VALUE(TRIM(SUBSTITUTE(AU38,CHAR(160),""))),0)),$BA38="Devis 3",(IFERROR(VALUE(TRIM(SUBSTITUTE(AX38,CHAR(160),""))),0))),0))=0,"",(IFERROR(_xlfn.IFS($BA38="Devis 1",(IFERROR(VALUE(TRIM(SUBSTITUTE(AR38,CHAR(160),""))),0)),$BA38="Devis 2",(IFERROR(VALUE(TRIM(SUBSTITUTE(AU38,CHAR(160),""))),0)),$BA38="Devis 3",(IFERROR(VALUE(TRIM(SUBSTITUTE(AX38,CHAR(160),""))),0))),0))))</f>
        <v/>
      </c>
      <c r="BG38" s="455" t="str" cm="1">
        <f t="array" ref="BG38">IF(AS38="","",IF((IFERROR(_xlfn.IFS($BA38="Devis 1",(IFERROR(VALUE(TRIM(SUBSTITUTE(AS38,CHAR(160),""))),0)),$BA38="Devis 2",(IFERROR(VALUE(TRIM(SUBSTITUTE(AV38,CHAR(160),""))),0)),$BA38="Devis 3",(IFERROR(VALUE(TRIM(SUBSTITUTE(AY38,CHAR(160),""))),0))),0))=0,"",(IFERROR(_xlfn.IFS($BA38="Devis 1",(IFERROR(VALUE(TRIM(SUBSTITUTE(AS38,CHAR(160),""))),0)),$BA38="Devis 2",(IFERROR(VALUE(TRIM(SUBSTITUTE(AV38,CHAR(160),""))),0)),$BA38="Devis 3",(IFERROR(VALUE(TRIM(SUBSTITUTE(AY38,CHAR(160),""))),0))),0))))</f>
        <v/>
      </c>
      <c r="BH38" s="826" t="str" cm="1">
        <f t="array" ref="BH38">IF(AT38="","",IF(IFERROR(_xlfn.IFS($BA38="Devis 1",IFERROR(VALUE(TRIM(SUBSTITUTE(AT38,CHAR(160),""))),0),$BA38="Devis 2",IFERROR(VALUE(TRIM(SUBSTITUTE(AW38,CHAR(160),""))),0),$BA38="Devis 3",IFERROR(VALUE(TRIM(SUBSTITUTE(AZ38,CHAR(160),""))),0)),0)=0,"",IFERROR(_xlfn.IFS($BA38="Devis 1",IFERROR(VALUE(TRIM(SUBSTITUTE(AT38,CHAR(160),""))),0),$BA38="Devis 2",IFERROR(VALUE(TRIM(SUBSTITUTE(AW38,CHAR(160),""))),0),$BA38="Devis 3",IFERROR(VALUE(TRIM(SUBSTITUTE(AZ38,CHAR(160),""))),0)),0)))</f>
        <v/>
      </c>
      <c r="BI38" s="832" t="str">
        <f t="shared" si="28"/>
        <v/>
      </c>
      <c r="BJ38" s="455"/>
      <c r="BK38" s="831"/>
      <c r="BL38" s="455"/>
      <c r="BM38" s="831"/>
      <c r="BN38" s="830">
        <f t="shared" si="31"/>
        <v>0</v>
      </c>
      <c r="BO38" s="676" t="str">
        <f t="shared" si="17"/>
        <v/>
      </c>
      <c r="BP38" s="1330"/>
      <c r="BQ38" s="216" t="str" cm="1">
        <f t="array" ref="BQ38">IF(OR(BH38="",BE38="",BF38="",BC38="",BG38="",BD38=""),"",_xlfn.IFS(
ROUND(IFERROR(VALUE(TRIM(SUBSTITUTE(BH38,CHAR(160),""))),0),2)&gt;
ROUND(IFERROR(VALUE(TRIM(SUBSTITUTE(BE38,CHAR(160),""))),0),2),
"KO : Le montant retenu TTC est supérieur au montant raisonnable TTC. Merci de revoir la ligne de dépense ou plafonner son montant.",
ROUND(IFERROR(VALUE(TRIM(SUBSTITUTE(BF38,CHAR(160),""))),0),2)&gt;
ROUND(IFERROR(VALUE(TRIM(SUBSTITUTE(BC38,CHAR(160),""))),0),2),
"Attention : Le montant retenu HT est supérieur au montant HT raisonnable. Merci de revoir la ligne de dépense, plafonner son montant, ou justifier la reventillation HT / TVA.",
ROUND(IFERROR(VALUE(TRIM(SUBSTITUTE(BG38,CHAR(160),""))),0),2)&gt;
ROUND(IFERROR(VALUE(TRIM(SUBSTITUTE(BD38,CHAR(160),""))),0),2),
"Attention : Le montant TVA retenu est supérieur au montant TVA raisonnable. Merci de revoir la ligne de dépense, plafonner son montant, ou justifier la reventillation HT / TVA.",
ROUND(IFERROR(VALUE(TRIM(SUBSTITUTE(BH38,CHAR(160),""))),0),2)&gt;
ROUND(IFERROR(VALUE(TRIM(SUBSTITUTE(MIN(O38,R38,U38),CHAR(160),""))),0),2),
"Attention : Le devis retenu n'est pas le moins cher. Une justification de la part du porteur est nécessaire.",
ROUND(IFERROR(VALUE(TRIM(SUBSTITUTE(BH38,CHAR(160),""))),0),2)=0,
"Attention : montant présenté entièrement écarté",
ROUND(IFERROR(VALUE(TRIM(SUBSTITUTE(BE38,CHAR(160),""))),0),2)=
ROUND(IFERROR(VALUE(TRIM(SUBSTITUTE(BH38,CHAR(160),""))),0),2),
"OK",
ROUND(IFERROR(VALUE(TRIM(SUBSTITUTE(BE38,CHAR(160),""))),0),2)&gt;
ROUND(IFERROR(VALUE(TRIM(SUBSTITUTE(BH38,CHAR(160),""))),0),2),
" OK : Montant instruit inférieur au montant raisonnable.",
TRUE,""
))</f>
        <v/>
      </c>
      <c r="BR38" s="216" t="str" cm="1">
        <f t="array" ref="BR38">IF(OR(BH38="",Y38="",BF38="",W38="",BG38="",X38=""),"",_xlfn.IFS(
ROUND(IFERROR(VALUE(TRIM(SUBSTITUTE(BH38,CHAR(160),""))),0),2)&gt;
ROUND(IFERROR(VALUE(TRIM(SUBSTITUTE(Y38,CHAR(160),""))),0),2),
"KO : Le montant retenu TTC est supérieur au montant présenté TTC. Merci de revoir la ligne de dépense ou plafonner son montant.",
ROUND(IFERROR(VALUE(TRIM(SUBSTITUTE(BF38,CHAR(160),""))),0),2)&gt;
ROUND(IFERROR(VALUE(TRIM(SUBSTITUTE(W38,CHAR(160),""))),0),2),
"Attention : Le montant retenu HT est supérieur au montant HT présenté. Merci de revoir la ligne de dépense, plafonner son montant, ou justifier la reventillation HT / TVA.",
ROUND(IFERROR(VALUE(TRIM(SUBSTITUTE(BG38,CHAR(160),""))),0),2)&gt;
ROUND(IFERROR(VALUE(TRIM(SUBSTITUTE(X38,CHAR(160),""))),0),2),
"Attention : Le montant TVA retenu est supérieur au montant TVA présenté. Merci de revoir la ligne de dépense, plafonner son montant, ou justifier la reventillation HT / TVA.",
ROUND(IFERROR(VALUE(TRIM(SUBSTITUTE(Y38,CHAR(160),""))),0),2)=0,
"",
ROUND(IFERROR(VALUE(TRIM(SUBSTITUTE(BH38,CHAR(160),""))),0),2)=
ROUND(IFERROR(VALUE(TRIM(SUBSTITUTE(Y38,CHAR(160),""))),0),2),
"OK",
ROUND(IFERROR(VALUE(TRIM(SUBSTITUTE(BH38,CHAR(160),""))),0),2)=0,
"Attention : Montant présenté entièrement rejeté.",
ROUND(IFERROR(VALUE(TRIM(SUBSTITUTE(BH38,CHAR(160),""))),0),2)&lt;
ROUND(IFERROR(VALUE(TRIM(SUBSTITUTE(Y38,CHAR(160),""))),0),2),
"Attention : Montant présenté partiellement rejeté.",
TRUE,""
))</f>
        <v/>
      </c>
      <c r="BS38" s="1331" t="str" cm="1">
        <f t="array" ref="BS38">IF(OR(BN38="",AE38=""),"",_xlfn.IFS(
ROUND(IFERROR(VALUE(TRIM(SUBSTITUTE(BN38,CHAR(160),""))),0),2)&gt;
ROUND(IFERROR(VALUE(TRIM(SUBSTITUTE(AE38,CHAR(160),""))),0),2),
"KO : Le montant retenu est supérieur au montant présenté. Merci de revoir la ligne de contributions ou plafonner son montant.",
ROUND(IFERROR(VALUE(TRIM(SUBSTITUTE(AE38,CHAR(160),""))),0),2)=0,
"",
ROUND(IFERROR(VALUE(TRIM(SUBSTITUTE(BN38,CHAR(160),""))),0),2)=
ROUND(IFERROR(VALUE(TRIM(SUBSTITUTE(AE38,CHAR(160),""))),0),2),
"OK",
ROUND(IFERROR(VALUE(TRIM(SUBSTITUTE(BN38,CHAR(160),""))),0),2)=0,
"Attention : Montant présenté entièrement rejeté.",
ROUND(IFERROR(VALUE(TRIM(SUBSTITUTE(BN38,CHAR(160),""))),0),2)&lt;
ROUND(IFERROR(VALUE(TRIM(SUBSTITUTE(AE38,CHAR(160),""))),0),2),
"Attention : Montant présenté partiellement rejeté.",
TRUE,""
))</f>
        <v/>
      </c>
      <c r="BT38" s="674" t="str">
        <f t="shared" si="18"/>
        <v/>
      </c>
      <c r="BU38" s="673" t="str">
        <f t="shared" si="19"/>
        <v/>
      </c>
      <c r="BV38" s="1351" t="str">
        <f t="shared" si="20"/>
        <v/>
      </c>
    </row>
    <row r="39" spans="2:74" ht="14.1" customHeight="1">
      <c r="B39" s="498">
        <v>30</v>
      </c>
      <c r="C39" s="119"/>
      <c r="D39" s="11"/>
      <c r="E39" s="6"/>
      <c r="F39" s="28"/>
      <c r="G39" s="6"/>
      <c r="H39" s="6"/>
      <c r="I39" s="30"/>
      <c r="J39" s="30"/>
      <c r="K39" s="30"/>
      <c r="L39" s="31"/>
      <c r="M39" s="440"/>
      <c r="N39" s="33"/>
      <c r="O39" s="321" t="str">
        <f t="shared" si="32"/>
        <v/>
      </c>
      <c r="P39" s="32"/>
      <c r="Q39" s="33"/>
      <c r="R39" s="299" t="str">
        <f t="shared" si="33"/>
        <v/>
      </c>
      <c r="S39" s="34"/>
      <c r="T39" s="33"/>
      <c r="U39" s="299" t="str">
        <f t="shared" si="1"/>
        <v/>
      </c>
      <c r="V39" s="439"/>
      <c r="W39" s="441" t="str" cm="1">
        <f t="array" ref="W39">IF((_xlfn.IFS(TRIM(SUBSTITUTE(V39,CHAR(160),""))="Devis 1",IFERROR(VALUE(TRIM(SUBSTITUTE(M39,CHAR(160),""))),0),TRIM(SUBSTITUTE(V39,CHAR(160),""))="Devis 2",IFERROR(VALUE(TRIM(SUBSTITUTE(P39,CHAR(160),""))),0),TRIM(SUBSTITUTE(V39,CHAR(160),""))="Devis 3",IFERROR(VALUE(TRIM(SUBSTITUTE(S39,CHAR(160),""))),0),TRUE,0))=0,"",_xlfn.IFS(TRIM(SUBSTITUTE(V39,CHAR(160),""))="Devis 1",IFERROR(VALUE(TRIM(SUBSTITUTE(M39,CHAR(160),""))),0),TRIM(SUBSTITUTE(V39,CHAR(160),""))="Devis 2",IFERROR(VALUE(TRIM(SUBSTITUTE(P39,CHAR(160),""))),0),TRIM(SUBSTITUTE(V39,CHAR(160),""))="Devis 3",IFERROR(VALUE(TRIM(SUBSTITUTE(S39,CHAR(160),""))),0),TRUE,0))</f>
        <v/>
      </c>
      <c r="X39" s="441" t="str" cm="1">
        <f t="array" ref="X39">IF((_xlfn.IFS(TRIM(SUBSTITUTE(V39,CHAR(160),""))="Devis 1",IFERROR(VALUE(TRIM(SUBSTITUTE(N39,CHAR(160),""))),0),TRIM(SUBSTITUTE(V39,CHAR(160),""))="Devis 2",IFERROR(VALUE(TRIM(SUBSTITUTE(Q39,CHAR(160),""))),0),TRIM(SUBSTITUTE(V39,CHAR(160),""))="Devis 3",IFERROR(VALUE(TRIM(SUBSTITUTE(T39,CHAR(160),""))),0),TRUE,0))=0,"",_xlfn.IFS(TRIM(SUBSTITUTE(V39,CHAR(160),""))="Devis 1",IFERROR(VALUE(TRIM(SUBSTITUTE(N39,CHAR(160),""))),0),TRIM(SUBSTITUTE(V39,CHAR(160),""))="Devis 2",IFERROR(VALUE(TRIM(SUBSTITUTE(Q39,CHAR(160),""))),0),TRIM(SUBSTITUTE(V39,CHAR(160),""))="Devis 3",IFERROR(VALUE(TRIM(SUBSTITUTE(T39,CHAR(160),""))),0),TRUE,0))</f>
        <v/>
      </c>
      <c r="Y39" s="815" t="str" cm="1">
        <f t="array" ref="Y39">IF((_xlfn.IFS(TRIM(SUBSTITUTE(V39,CHAR(160),""))="Devis 1",IFERROR(VALUE(TRIM(SUBSTITUTE(O39,CHAR(160),""))),0),TRIM(SUBSTITUTE(V39,CHAR(160),""))="Devis 2",IFERROR(VALUE(TRIM(SUBSTITUTE(R39,CHAR(160),""))),0),TRIM(SUBSTITUTE(V39,CHAR(160),""))="Devis 3",IFERROR(VALUE(TRIM(SUBSTITUTE(U39,CHAR(160),""))),0),TRUE,0))=0,"",_xlfn.IFS(TRIM(SUBSTITUTE(V39,CHAR(160),""))="Devis 1",IFERROR(VALUE(TRIM(SUBSTITUTE(O39,CHAR(160),""))),0),TRIM(SUBSTITUTE(V39,CHAR(160),""))="Devis 2",IFERROR(VALUE(TRIM(SUBSTITUTE(R39,CHAR(160),""))),0),TRIM(SUBSTITUTE(V39,CHAR(160),""))="Devis 3",IFERROR(VALUE(TRIM(SUBSTITUTE(U39,CHAR(160),""))),0),TRUE,0))</f>
        <v/>
      </c>
      <c r="Z39" s="850"/>
      <c r="AA39" s="817" t="str" cm="1">
        <f t="array" ref="AA39">IF(Z39="","",_xlfn.IFS(Z39=$BZ$5,70,Z39=$BZ$6,90,Z39=$BZ$7,70,Z39=$BZ$8,90,Z39=$BZ$9,110))</f>
        <v/>
      </c>
      <c r="AB39" s="627"/>
      <c r="AC39" s="817" t="str" cm="1">
        <f t="array" ref="AC39">IF(Z39="","",_xlfn.IFS(Z39=$BZ$5,15.75,Z39=$BZ$6,21,Z39=$BZ$7,15.25,Z39=$BZ$8,15.25,Z39=$BZ$9,15.25))</f>
        <v/>
      </c>
      <c r="AD39" s="818"/>
      <c r="AE39" s="830">
        <f t="shared" si="34"/>
        <v>0</v>
      </c>
      <c r="AF39" s="819" t="str">
        <f t="shared" si="35"/>
        <v/>
      </c>
      <c r="AG39" s="26"/>
      <c r="AH39" s="466" t="str">
        <f t="shared" si="2"/>
        <v/>
      </c>
      <c r="AI39" s="1414" t="str">
        <f t="shared" si="21"/>
        <v/>
      </c>
      <c r="AJ39" s="452" t="str">
        <f t="shared" si="4"/>
        <v/>
      </c>
      <c r="AK39" s="28"/>
      <c r="AL39" s="664" t="str">
        <f t="shared" si="5"/>
        <v/>
      </c>
      <c r="AM39" s="452" t="str">
        <f t="shared" si="6"/>
        <v/>
      </c>
      <c r="AN39" s="452" t="str">
        <f t="shared" si="22"/>
        <v/>
      </c>
      <c r="AO39" s="452" t="str">
        <f t="shared" si="23"/>
        <v/>
      </c>
      <c r="AP39" s="452" t="str">
        <f t="shared" si="24"/>
        <v/>
      </c>
      <c r="AQ39" s="452" t="str">
        <f t="shared" si="7"/>
        <v/>
      </c>
      <c r="AR39" s="478" t="str">
        <f t="shared" si="8"/>
        <v/>
      </c>
      <c r="AS39" s="453" t="str">
        <f t="shared" si="9"/>
        <v/>
      </c>
      <c r="AT39" s="479" t="str">
        <f t="shared" si="29"/>
        <v/>
      </c>
      <c r="AU39" s="453" t="str">
        <f t="shared" si="10"/>
        <v/>
      </c>
      <c r="AV39" s="453" t="str">
        <f t="shared" si="30"/>
        <v/>
      </c>
      <c r="AW39" s="480" t="str">
        <f t="shared" si="25"/>
        <v/>
      </c>
      <c r="AX39" s="453" t="str">
        <f t="shared" si="11"/>
        <v/>
      </c>
      <c r="AY39" s="453" t="str">
        <f t="shared" si="12"/>
        <v/>
      </c>
      <c r="AZ39" s="480" t="str">
        <f t="shared" si="26"/>
        <v/>
      </c>
      <c r="BA39" s="424" t="str">
        <f t="shared" si="13"/>
        <v/>
      </c>
      <c r="BB39" s="454"/>
      <c r="BC39" s="424" t="str">
        <f t="shared" si="14"/>
        <v/>
      </c>
      <c r="BD39" s="424" t="str">
        <f t="shared" si="15"/>
        <v/>
      </c>
      <c r="BE39" s="424" t="str">
        <f t="shared" si="27"/>
        <v/>
      </c>
      <c r="BF39" s="455" t="str" cm="1">
        <f t="array" ref="BF39">IF(AR39="","",IF((IFERROR(_xlfn.IFS($BA39="Devis 1",(IFERROR(VALUE(TRIM(SUBSTITUTE(AR39,CHAR(160),""))),0)),$BA39="Devis 2",(IFERROR(VALUE(TRIM(SUBSTITUTE(AU39,CHAR(160),""))),0)),$BA39="Devis 3",(IFERROR(VALUE(TRIM(SUBSTITUTE(AX39,CHAR(160),""))),0))),0))=0,"",(IFERROR(_xlfn.IFS($BA39="Devis 1",(IFERROR(VALUE(TRIM(SUBSTITUTE(AR39,CHAR(160),""))),0)),$BA39="Devis 2",(IFERROR(VALUE(TRIM(SUBSTITUTE(AU39,CHAR(160),""))),0)),$BA39="Devis 3",(IFERROR(VALUE(TRIM(SUBSTITUTE(AX39,CHAR(160),""))),0))),0))))</f>
        <v/>
      </c>
      <c r="BG39" s="455" t="str" cm="1">
        <f t="array" ref="BG39">IF(AS39="","",IF((IFERROR(_xlfn.IFS($BA39="Devis 1",(IFERROR(VALUE(TRIM(SUBSTITUTE(AS39,CHAR(160),""))),0)),$BA39="Devis 2",(IFERROR(VALUE(TRIM(SUBSTITUTE(AV39,CHAR(160),""))),0)),$BA39="Devis 3",(IFERROR(VALUE(TRIM(SUBSTITUTE(AY39,CHAR(160),""))),0))),0))=0,"",(IFERROR(_xlfn.IFS($BA39="Devis 1",(IFERROR(VALUE(TRIM(SUBSTITUTE(AS39,CHAR(160),""))),0)),$BA39="Devis 2",(IFERROR(VALUE(TRIM(SUBSTITUTE(AV39,CHAR(160),""))),0)),$BA39="Devis 3",(IFERROR(VALUE(TRIM(SUBSTITUTE(AY39,CHAR(160),""))),0))),0))))</f>
        <v/>
      </c>
      <c r="BH39" s="826" t="str" cm="1">
        <f t="array" ref="BH39">IF(AT39="","",IF(IFERROR(_xlfn.IFS($BA39="Devis 1",IFERROR(VALUE(TRIM(SUBSTITUTE(AT39,CHAR(160),""))),0),$BA39="Devis 2",IFERROR(VALUE(TRIM(SUBSTITUTE(AW39,CHAR(160),""))),0),$BA39="Devis 3",IFERROR(VALUE(TRIM(SUBSTITUTE(AZ39,CHAR(160),""))),0)),0)=0,"",IFERROR(_xlfn.IFS($BA39="Devis 1",IFERROR(VALUE(TRIM(SUBSTITUTE(AT39,CHAR(160),""))),0),$BA39="Devis 2",IFERROR(VALUE(TRIM(SUBSTITUTE(AW39,CHAR(160),""))),0),$BA39="Devis 3",IFERROR(VALUE(TRIM(SUBSTITUTE(AZ39,CHAR(160),""))),0)),0)))</f>
        <v/>
      </c>
      <c r="BI39" s="832" t="str">
        <f t="shared" si="28"/>
        <v/>
      </c>
      <c r="BJ39" s="455"/>
      <c r="BK39" s="831"/>
      <c r="BL39" s="455"/>
      <c r="BM39" s="831"/>
      <c r="BN39" s="830">
        <f t="shared" si="31"/>
        <v>0</v>
      </c>
      <c r="BO39" s="676" t="str">
        <f t="shared" si="17"/>
        <v/>
      </c>
      <c r="BP39" s="1330"/>
      <c r="BQ39" s="216" t="str" cm="1">
        <f t="array" ref="BQ39">IF(OR(BH39="",BE39="",BF39="",BC39="",BG39="",BD39=""),"",_xlfn.IFS(
ROUND(IFERROR(VALUE(TRIM(SUBSTITUTE(BH39,CHAR(160),""))),0),2)&gt;
ROUND(IFERROR(VALUE(TRIM(SUBSTITUTE(BE39,CHAR(160),""))),0),2),
"KO : Le montant retenu TTC est supérieur au montant raisonnable TTC. Merci de revoir la ligne de dépense ou plafonner son montant.",
ROUND(IFERROR(VALUE(TRIM(SUBSTITUTE(BF39,CHAR(160),""))),0),2)&gt;
ROUND(IFERROR(VALUE(TRIM(SUBSTITUTE(BC39,CHAR(160),""))),0),2),
"Attention : Le montant retenu HT est supérieur au montant HT raisonnable. Merci de revoir la ligne de dépense, plafonner son montant, ou justifier la reventillation HT / TVA.",
ROUND(IFERROR(VALUE(TRIM(SUBSTITUTE(BG39,CHAR(160),""))),0),2)&gt;
ROUND(IFERROR(VALUE(TRIM(SUBSTITUTE(BD39,CHAR(160),""))),0),2),
"Attention : Le montant TVA retenu est supérieur au montant TVA raisonnable. Merci de revoir la ligne de dépense, plafonner son montant, ou justifier la reventillation HT / TVA.",
ROUND(IFERROR(VALUE(TRIM(SUBSTITUTE(BH39,CHAR(160),""))),0),2)&gt;
ROUND(IFERROR(VALUE(TRIM(SUBSTITUTE(MIN(O39,R39,U39),CHAR(160),""))),0),2),
"Attention : Le devis retenu n'est pas le moins cher. Une justification de la part du porteur est nécessaire.",
ROUND(IFERROR(VALUE(TRIM(SUBSTITUTE(BH39,CHAR(160),""))),0),2)=0,
"Attention : montant présenté entièrement écarté",
ROUND(IFERROR(VALUE(TRIM(SUBSTITUTE(BE39,CHAR(160),""))),0),2)=
ROUND(IFERROR(VALUE(TRIM(SUBSTITUTE(BH39,CHAR(160),""))),0),2),
"OK",
ROUND(IFERROR(VALUE(TRIM(SUBSTITUTE(BE39,CHAR(160),""))),0),2)&gt;
ROUND(IFERROR(VALUE(TRIM(SUBSTITUTE(BH39,CHAR(160),""))),0),2),
" OK : Montant instruit inférieur au montant raisonnable.",
TRUE,""
))</f>
        <v/>
      </c>
      <c r="BR39" s="216" t="str" cm="1">
        <f t="array" ref="BR39">IF(OR(BH39="",Y39="",BF39="",W39="",BG39="",X39=""),"",_xlfn.IFS(
ROUND(IFERROR(VALUE(TRIM(SUBSTITUTE(BH39,CHAR(160),""))),0),2)&gt;
ROUND(IFERROR(VALUE(TRIM(SUBSTITUTE(Y39,CHAR(160),""))),0),2),
"KO : Le montant retenu TTC est supérieur au montant présenté TTC. Merci de revoir la ligne de dépense ou plafonner son montant.",
ROUND(IFERROR(VALUE(TRIM(SUBSTITUTE(BF39,CHAR(160),""))),0),2)&gt;
ROUND(IFERROR(VALUE(TRIM(SUBSTITUTE(W39,CHAR(160),""))),0),2),
"Attention : Le montant retenu HT est supérieur au montant HT présenté. Merci de revoir la ligne de dépense, plafonner son montant, ou justifier la reventillation HT / TVA.",
ROUND(IFERROR(VALUE(TRIM(SUBSTITUTE(BG39,CHAR(160),""))),0),2)&gt;
ROUND(IFERROR(VALUE(TRIM(SUBSTITUTE(X39,CHAR(160),""))),0),2),
"Attention : Le montant TVA retenu est supérieur au montant TVA présenté. Merci de revoir la ligne de dépense, plafonner son montant, ou justifier la reventillation HT / TVA.",
ROUND(IFERROR(VALUE(TRIM(SUBSTITUTE(Y39,CHAR(160),""))),0),2)=0,
"",
ROUND(IFERROR(VALUE(TRIM(SUBSTITUTE(BH39,CHAR(160),""))),0),2)=
ROUND(IFERROR(VALUE(TRIM(SUBSTITUTE(Y39,CHAR(160),""))),0),2),
"OK",
ROUND(IFERROR(VALUE(TRIM(SUBSTITUTE(BH39,CHAR(160),""))),0),2)=0,
"Attention : Montant présenté entièrement rejeté.",
ROUND(IFERROR(VALUE(TRIM(SUBSTITUTE(BH39,CHAR(160),""))),0),2)&lt;
ROUND(IFERROR(VALUE(TRIM(SUBSTITUTE(Y39,CHAR(160),""))),0),2),
"Attention : Montant présenté partiellement rejeté.",
TRUE,""
))</f>
        <v/>
      </c>
      <c r="BS39" s="1331" t="str" cm="1">
        <f t="array" ref="BS39">IF(OR(BN39="",AE39=""),"",_xlfn.IFS(
ROUND(IFERROR(VALUE(TRIM(SUBSTITUTE(BN39,CHAR(160),""))),0),2)&gt;
ROUND(IFERROR(VALUE(TRIM(SUBSTITUTE(AE39,CHAR(160),""))),0),2),
"KO : Le montant retenu est supérieur au montant présenté. Merci de revoir la ligne de contributions ou plafonner son montant.",
ROUND(IFERROR(VALUE(TRIM(SUBSTITUTE(AE39,CHAR(160),""))),0),2)=0,
"",
ROUND(IFERROR(VALUE(TRIM(SUBSTITUTE(BN39,CHAR(160),""))),0),2)=
ROUND(IFERROR(VALUE(TRIM(SUBSTITUTE(AE39,CHAR(160),""))),0),2),
"OK",
ROUND(IFERROR(VALUE(TRIM(SUBSTITUTE(BN39,CHAR(160),""))),0),2)=0,
"Attention : Montant présenté entièrement rejeté.",
ROUND(IFERROR(VALUE(TRIM(SUBSTITUTE(BN39,CHAR(160),""))),0),2)&lt;
ROUND(IFERROR(VALUE(TRIM(SUBSTITUTE(AE39,CHAR(160),""))),0),2),
"Attention : Montant présenté partiellement rejeté.",
TRUE,""
))</f>
        <v/>
      </c>
      <c r="BT39" s="674" t="str">
        <f t="shared" si="18"/>
        <v/>
      </c>
      <c r="BU39" s="673" t="str">
        <f t="shared" si="19"/>
        <v/>
      </c>
      <c r="BV39" s="1351" t="str">
        <f t="shared" si="20"/>
        <v/>
      </c>
    </row>
    <row r="40" spans="2:74" ht="14.1" customHeight="1">
      <c r="B40" s="498">
        <v>31</v>
      </c>
      <c r="C40" s="119"/>
      <c r="D40" s="11"/>
      <c r="E40" s="6"/>
      <c r="F40" s="28"/>
      <c r="G40" s="6"/>
      <c r="H40" s="6"/>
      <c r="I40" s="30"/>
      <c r="J40" s="30"/>
      <c r="K40" s="30"/>
      <c r="L40" s="31"/>
      <c r="M40" s="440"/>
      <c r="N40" s="33"/>
      <c r="O40" s="321" t="str">
        <f t="shared" si="32"/>
        <v/>
      </c>
      <c r="P40" s="32"/>
      <c r="Q40" s="33"/>
      <c r="R40" s="299" t="str">
        <f t="shared" si="33"/>
        <v/>
      </c>
      <c r="S40" s="34"/>
      <c r="T40" s="33"/>
      <c r="U40" s="299" t="str">
        <f t="shared" si="1"/>
        <v/>
      </c>
      <c r="V40" s="439"/>
      <c r="W40" s="441" t="str" cm="1">
        <f t="array" ref="W40">IF((_xlfn.IFS(TRIM(SUBSTITUTE(V40,CHAR(160),""))="Devis 1",IFERROR(VALUE(TRIM(SUBSTITUTE(M40,CHAR(160),""))),0),TRIM(SUBSTITUTE(V40,CHAR(160),""))="Devis 2",IFERROR(VALUE(TRIM(SUBSTITUTE(P40,CHAR(160),""))),0),TRIM(SUBSTITUTE(V40,CHAR(160),""))="Devis 3",IFERROR(VALUE(TRIM(SUBSTITUTE(S40,CHAR(160),""))),0),TRUE,0))=0,"",_xlfn.IFS(TRIM(SUBSTITUTE(V40,CHAR(160),""))="Devis 1",IFERROR(VALUE(TRIM(SUBSTITUTE(M40,CHAR(160),""))),0),TRIM(SUBSTITUTE(V40,CHAR(160),""))="Devis 2",IFERROR(VALUE(TRIM(SUBSTITUTE(P40,CHAR(160),""))),0),TRIM(SUBSTITUTE(V40,CHAR(160),""))="Devis 3",IFERROR(VALUE(TRIM(SUBSTITUTE(S40,CHAR(160),""))),0),TRUE,0))</f>
        <v/>
      </c>
      <c r="X40" s="441" t="str" cm="1">
        <f t="array" ref="X40">IF((_xlfn.IFS(TRIM(SUBSTITUTE(V40,CHAR(160),""))="Devis 1",IFERROR(VALUE(TRIM(SUBSTITUTE(N40,CHAR(160),""))),0),TRIM(SUBSTITUTE(V40,CHAR(160),""))="Devis 2",IFERROR(VALUE(TRIM(SUBSTITUTE(Q40,CHAR(160),""))),0),TRIM(SUBSTITUTE(V40,CHAR(160),""))="Devis 3",IFERROR(VALUE(TRIM(SUBSTITUTE(T40,CHAR(160),""))),0),TRUE,0))=0,"",_xlfn.IFS(TRIM(SUBSTITUTE(V40,CHAR(160),""))="Devis 1",IFERROR(VALUE(TRIM(SUBSTITUTE(N40,CHAR(160),""))),0),TRIM(SUBSTITUTE(V40,CHAR(160),""))="Devis 2",IFERROR(VALUE(TRIM(SUBSTITUTE(Q40,CHAR(160),""))),0),TRIM(SUBSTITUTE(V40,CHAR(160),""))="Devis 3",IFERROR(VALUE(TRIM(SUBSTITUTE(T40,CHAR(160),""))),0),TRUE,0))</f>
        <v/>
      </c>
      <c r="Y40" s="815" t="str" cm="1">
        <f t="array" ref="Y40">IF((_xlfn.IFS(TRIM(SUBSTITUTE(V40,CHAR(160),""))="Devis 1",IFERROR(VALUE(TRIM(SUBSTITUTE(O40,CHAR(160),""))),0),TRIM(SUBSTITUTE(V40,CHAR(160),""))="Devis 2",IFERROR(VALUE(TRIM(SUBSTITUTE(R40,CHAR(160),""))),0),TRIM(SUBSTITUTE(V40,CHAR(160),""))="Devis 3",IFERROR(VALUE(TRIM(SUBSTITUTE(U40,CHAR(160),""))),0),TRUE,0))=0,"",_xlfn.IFS(TRIM(SUBSTITUTE(V40,CHAR(160),""))="Devis 1",IFERROR(VALUE(TRIM(SUBSTITUTE(O40,CHAR(160),""))),0),TRIM(SUBSTITUTE(V40,CHAR(160),""))="Devis 2",IFERROR(VALUE(TRIM(SUBSTITUTE(R40,CHAR(160),""))),0),TRIM(SUBSTITUTE(V40,CHAR(160),""))="Devis 3",IFERROR(VALUE(TRIM(SUBSTITUTE(U40,CHAR(160),""))),0),TRUE,0))</f>
        <v/>
      </c>
      <c r="Z40" s="850"/>
      <c r="AA40" s="817" t="str" cm="1">
        <f t="array" ref="AA40">IF(Z40="","",_xlfn.IFS(Z40=$BZ$5,70,Z40=$BZ$6,90,Z40=$BZ$7,70,Z40=$BZ$8,90,Z40=$BZ$9,110))</f>
        <v/>
      </c>
      <c r="AB40" s="627"/>
      <c r="AC40" s="817" t="str" cm="1">
        <f t="array" ref="AC40">IF(Z40="","",_xlfn.IFS(Z40=$BZ$5,15.75,Z40=$BZ$6,21,Z40=$BZ$7,15.25,Z40=$BZ$8,15.25,Z40=$BZ$9,15.25))</f>
        <v/>
      </c>
      <c r="AD40" s="818"/>
      <c r="AE40" s="830">
        <f t="shared" si="34"/>
        <v>0</v>
      </c>
      <c r="AF40" s="819" t="str">
        <f t="shared" si="35"/>
        <v/>
      </c>
      <c r="AG40" s="26"/>
      <c r="AH40" s="466" t="str">
        <f t="shared" si="2"/>
        <v/>
      </c>
      <c r="AI40" s="1414" t="str">
        <f t="shared" si="21"/>
        <v/>
      </c>
      <c r="AJ40" s="452" t="str">
        <f t="shared" si="4"/>
        <v/>
      </c>
      <c r="AK40" s="28"/>
      <c r="AL40" s="664" t="str">
        <f t="shared" si="5"/>
        <v/>
      </c>
      <c r="AM40" s="452" t="str">
        <f t="shared" si="6"/>
        <v/>
      </c>
      <c r="AN40" s="452" t="str">
        <f t="shared" si="22"/>
        <v/>
      </c>
      <c r="AO40" s="452" t="str">
        <f t="shared" si="23"/>
        <v/>
      </c>
      <c r="AP40" s="452" t="str">
        <f t="shared" si="24"/>
        <v/>
      </c>
      <c r="AQ40" s="452" t="str">
        <f t="shared" si="7"/>
        <v/>
      </c>
      <c r="AR40" s="478" t="str">
        <f t="shared" si="8"/>
        <v/>
      </c>
      <c r="AS40" s="453" t="str">
        <f t="shared" si="9"/>
        <v/>
      </c>
      <c r="AT40" s="479" t="str">
        <f t="shared" si="29"/>
        <v/>
      </c>
      <c r="AU40" s="453" t="str">
        <f t="shared" si="10"/>
        <v/>
      </c>
      <c r="AV40" s="453" t="str">
        <f t="shared" si="30"/>
        <v/>
      </c>
      <c r="AW40" s="480" t="str">
        <f t="shared" si="25"/>
        <v/>
      </c>
      <c r="AX40" s="453" t="str">
        <f t="shared" si="11"/>
        <v/>
      </c>
      <c r="AY40" s="453" t="str">
        <f t="shared" si="12"/>
        <v/>
      </c>
      <c r="AZ40" s="480" t="str">
        <f t="shared" si="26"/>
        <v/>
      </c>
      <c r="BA40" s="424" t="str">
        <f t="shared" si="13"/>
        <v/>
      </c>
      <c r="BB40" s="454"/>
      <c r="BC40" s="424" t="str">
        <f t="shared" si="14"/>
        <v/>
      </c>
      <c r="BD40" s="424" t="str">
        <f t="shared" si="15"/>
        <v/>
      </c>
      <c r="BE40" s="424" t="str">
        <f t="shared" si="27"/>
        <v/>
      </c>
      <c r="BF40" s="455" t="str" cm="1">
        <f t="array" ref="BF40">IF(AR40="","",IF((IFERROR(_xlfn.IFS($BA40="Devis 1",(IFERROR(VALUE(TRIM(SUBSTITUTE(AR40,CHAR(160),""))),0)),$BA40="Devis 2",(IFERROR(VALUE(TRIM(SUBSTITUTE(AU40,CHAR(160),""))),0)),$BA40="Devis 3",(IFERROR(VALUE(TRIM(SUBSTITUTE(AX40,CHAR(160),""))),0))),0))=0,"",(IFERROR(_xlfn.IFS($BA40="Devis 1",(IFERROR(VALUE(TRIM(SUBSTITUTE(AR40,CHAR(160),""))),0)),$BA40="Devis 2",(IFERROR(VALUE(TRIM(SUBSTITUTE(AU40,CHAR(160),""))),0)),$BA40="Devis 3",(IFERROR(VALUE(TRIM(SUBSTITUTE(AX40,CHAR(160),""))),0))),0))))</f>
        <v/>
      </c>
      <c r="BG40" s="455" t="str" cm="1">
        <f t="array" ref="BG40">IF(AS40="","",IF((IFERROR(_xlfn.IFS($BA40="Devis 1",(IFERROR(VALUE(TRIM(SUBSTITUTE(AS40,CHAR(160),""))),0)),$BA40="Devis 2",(IFERROR(VALUE(TRIM(SUBSTITUTE(AV40,CHAR(160),""))),0)),$BA40="Devis 3",(IFERROR(VALUE(TRIM(SUBSTITUTE(AY40,CHAR(160),""))),0))),0))=0,"",(IFERROR(_xlfn.IFS($BA40="Devis 1",(IFERROR(VALUE(TRIM(SUBSTITUTE(AS40,CHAR(160),""))),0)),$BA40="Devis 2",(IFERROR(VALUE(TRIM(SUBSTITUTE(AV40,CHAR(160),""))),0)),$BA40="Devis 3",(IFERROR(VALUE(TRIM(SUBSTITUTE(AY40,CHAR(160),""))),0))),0))))</f>
        <v/>
      </c>
      <c r="BH40" s="826" t="str" cm="1">
        <f t="array" ref="BH40">IF(AT40="","",IF(IFERROR(_xlfn.IFS($BA40="Devis 1",IFERROR(VALUE(TRIM(SUBSTITUTE(AT40,CHAR(160),""))),0),$BA40="Devis 2",IFERROR(VALUE(TRIM(SUBSTITUTE(AW40,CHAR(160),""))),0),$BA40="Devis 3",IFERROR(VALUE(TRIM(SUBSTITUTE(AZ40,CHAR(160),""))),0)),0)=0,"",IFERROR(_xlfn.IFS($BA40="Devis 1",IFERROR(VALUE(TRIM(SUBSTITUTE(AT40,CHAR(160),""))),0),$BA40="Devis 2",IFERROR(VALUE(TRIM(SUBSTITUTE(AW40,CHAR(160),""))),0),$BA40="Devis 3",IFERROR(VALUE(TRIM(SUBSTITUTE(AZ40,CHAR(160),""))),0)),0)))</f>
        <v/>
      </c>
      <c r="BI40" s="832" t="str">
        <f t="shared" si="28"/>
        <v/>
      </c>
      <c r="BJ40" s="455"/>
      <c r="BK40" s="831"/>
      <c r="BL40" s="455"/>
      <c r="BM40" s="831"/>
      <c r="BN40" s="830">
        <f t="shared" si="31"/>
        <v>0</v>
      </c>
      <c r="BO40" s="676" t="str">
        <f t="shared" si="17"/>
        <v/>
      </c>
      <c r="BP40" s="1330"/>
      <c r="BQ40" s="216" t="str" cm="1">
        <f t="array" ref="BQ40">IF(OR(BH40="",BE40="",BF40="",BC40="",BG40="",BD40=""),"",_xlfn.IFS(
ROUND(IFERROR(VALUE(TRIM(SUBSTITUTE(BH40,CHAR(160),""))),0),2)&gt;
ROUND(IFERROR(VALUE(TRIM(SUBSTITUTE(BE40,CHAR(160),""))),0),2),
"KO : Le montant retenu TTC est supérieur au montant raisonnable TTC. Merci de revoir la ligne de dépense ou plafonner son montant.",
ROUND(IFERROR(VALUE(TRIM(SUBSTITUTE(BF40,CHAR(160),""))),0),2)&gt;
ROUND(IFERROR(VALUE(TRIM(SUBSTITUTE(BC40,CHAR(160),""))),0),2),
"Attention : Le montant retenu HT est supérieur au montant HT raisonnable. Merci de revoir la ligne de dépense, plafonner son montant, ou justifier la reventillation HT / TVA.",
ROUND(IFERROR(VALUE(TRIM(SUBSTITUTE(BG40,CHAR(160),""))),0),2)&gt;
ROUND(IFERROR(VALUE(TRIM(SUBSTITUTE(BD40,CHAR(160),""))),0),2),
"Attention : Le montant TVA retenu est supérieur au montant TVA raisonnable. Merci de revoir la ligne de dépense, plafonner son montant, ou justifier la reventillation HT / TVA.",
ROUND(IFERROR(VALUE(TRIM(SUBSTITUTE(BH40,CHAR(160),""))),0),2)&gt;
ROUND(IFERROR(VALUE(TRIM(SUBSTITUTE(MIN(O40,R40,U40),CHAR(160),""))),0),2),
"Attention : Le devis retenu n'est pas le moins cher. Une justification de la part du porteur est nécessaire.",
ROUND(IFERROR(VALUE(TRIM(SUBSTITUTE(BH40,CHAR(160),""))),0),2)=0,
"Attention : montant présenté entièrement écarté",
ROUND(IFERROR(VALUE(TRIM(SUBSTITUTE(BE40,CHAR(160),""))),0),2)=
ROUND(IFERROR(VALUE(TRIM(SUBSTITUTE(BH40,CHAR(160),""))),0),2),
"OK",
ROUND(IFERROR(VALUE(TRIM(SUBSTITUTE(BE40,CHAR(160),""))),0),2)&gt;
ROUND(IFERROR(VALUE(TRIM(SUBSTITUTE(BH40,CHAR(160),""))),0),2),
" OK : Montant instruit inférieur au montant raisonnable.",
TRUE,""
))</f>
        <v/>
      </c>
      <c r="BR40" s="216" t="str" cm="1">
        <f t="array" ref="BR40">IF(OR(BH40="",Y40="",BF40="",W40="",BG40="",X40=""),"",_xlfn.IFS(
ROUND(IFERROR(VALUE(TRIM(SUBSTITUTE(BH40,CHAR(160),""))),0),2)&gt;
ROUND(IFERROR(VALUE(TRIM(SUBSTITUTE(Y40,CHAR(160),""))),0),2),
"KO : Le montant retenu TTC est supérieur au montant présenté TTC. Merci de revoir la ligne de dépense ou plafonner son montant.",
ROUND(IFERROR(VALUE(TRIM(SUBSTITUTE(BF40,CHAR(160),""))),0),2)&gt;
ROUND(IFERROR(VALUE(TRIM(SUBSTITUTE(W40,CHAR(160),""))),0),2),
"Attention : Le montant retenu HT est supérieur au montant HT présenté. Merci de revoir la ligne de dépense, plafonner son montant, ou justifier la reventillation HT / TVA.",
ROUND(IFERROR(VALUE(TRIM(SUBSTITUTE(BG40,CHAR(160),""))),0),2)&gt;
ROUND(IFERROR(VALUE(TRIM(SUBSTITUTE(X40,CHAR(160),""))),0),2),
"Attention : Le montant TVA retenu est supérieur au montant TVA présenté. Merci de revoir la ligne de dépense, plafonner son montant, ou justifier la reventillation HT / TVA.",
ROUND(IFERROR(VALUE(TRIM(SUBSTITUTE(Y40,CHAR(160),""))),0),2)=0,
"",
ROUND(IFERROR(VALUE(TRIM(SUBSTITUTE(BH40,CHAR(160),""))),0),2)=
ROUND(IFERROR(VALUE(TRIM(SUBSTITUTE(Y40,CHAR(160),""))),0),2),
"OK",
ROUND(IFERROR(VALUE(TRIM(SUBSTITUTE(BH40,CHAR(160),""))),0),2)=0,
"Attention : Montant présenté entièrement rejeté.",
ROUND(IFERROR(VALUE(TRIM(SUBSTITUTE(BH40,CHAR(160),""))),0),2)&lt;
ROUND(IFERROR(VALUE(TRIM(SUBSTITUTE(Y40,CHAR(160),""))),0),2),
"Attention : Montant présenté partiellement rejeté.",
TRUE,""
))</f>
        <v/>
      </c>
      <c r="BS40" s="1331" t="str" cm="1">
        <f t="array" ref="BS40">IF(OR(BN40="",AE40=""),"",_xlfn.IFS(
ROUND(IFERROR(VALUE(TRIM(SUBSTITUTE(BN40,CHAR(160),""))),0),2)&gt;
ROUND(IFERROR(VALUE(TRIM(SUBSTITUTE(AE40,CHAR(160),""))),0),2),
"KO : Le montant retenu est supérieur au montant présenté. Merci de revoir la ligne de contributions ou plafonner son montant.",
ROUND(IFERROR(VALUE(TRIM(SUBSTITUTE(AE40,CHAR(160),""))),0),2)=0,
"",
ROUND(IFERROR(VALUE(TRIM(SUBSTITUTE(BN40,CHAR(160),""))),0),2)=
ROUND(IFERROR(VALUE(TRIM(SUBSTITUTE(AE40,CHAR(160),""))),0),2),
"OK",
ROUND(IFERROR(VALUE(TRIM(SUBSTITUTE(BN40,CHAR(160),""))),0),2)=0,
"Attention : Montant présenté entièrement rejeté.",
ROUND(IFERROR(VALUE(TRIM(SUBSTITUTE(BN40,CHAR(160),""))),0),2)&lt;
ROUND(IFERROR(VALUE(TRIM(SUBSTITUTE(AE40,CHAR(160),""))),0),2),
"Attention : Montant présenté partiellement rejeté.",
TRUE,""
))</f>
        <v/>
      </c>
      <c r="BT40" s="674" t="str">
        <f t="shared" si="18"/>
        <v/>
      </c>
      <c r="BU40" s="673" t="str">
        <f t="shared" si="19"/>
        <v/>
      </c>
      <c r="BV40" s="1351" t="str">
        <f t="shared" si="20"/>
        <v/>
      </c>
    </row>
    <row r="41" spans="2:74" ht="14.1" customHeight="1">
      <c r="B41" s="498">
        <v>32</v>
      </c>
      <c r="C41" s="119"/>
      <c r="D41" s="11"/>
      <c r="E41" s="6"/>
      <c r="F41" s="28"/>
      <c r="G41" s="6"/>
      <c r="H41" s="6"/>
      <c r="I41" s="30"/>
      <c r="J41" s="30"/>
      <c r="K41" s="30"/>
      <c r="L41" s="31"/>
      <c r="M41" s="440"/>
      <c r="N41" s="33"/>
      <c r="O41" s="321" t="str">
        <f t="shared" si="32"/>
        <v/>
      </c>
      <c r="P41" s="32"/>
      <c r="Q41" s="33"/>
      <c r="R41" s="299" t="str">
        <f t="shared" si="33"/>
        <v/>
      </c>
      <c r="S41" s="34"/>
      <c r="T41" s="33"/>
      <c r="U41" s="299" t="str">
        <f t="shared" si="1"/>
        <v/>
      </c>
      <c r="V41" s="439"/>
      <c r="W41" s="441" t="str" cm="1">
        <f t="array" ref="W41">IF((_xlfn.IFS(TRIM(SUBSTITUTE(V41,CHAR(160),""))="Devis 1",IFERROR(VALUE(TRIM(SUBSTITUTE(M41,CHAR(160),""))),0),TRIM(SUBSTITUTE(V41,CHAR(160),""))="Devis 2",IFERROR(VALUE(TRIM(SUBSTITUTE(P41,CHAR(160),""))),0),TRIM(SUBSTITUTE(V41,CHAR(160),""))="Devis 3",IFERROR(VALUE(TRIM(SUBSTITUTE(S41,CHAR(160),""))),0),TRUE,0))=0,"",_xlfn.IFS(TRIM(SUBSTITUTE(V41,CHAR(160),""))="Devis 1",IFERROR(VALUE(TRIM(SUBSTITUTE(M41,CHAR(160),""))),0),TRIM(SUBSTITUTE(V41,CHAR(160),""))="Devis 2",IFERROR(VALUE(TRIM(SUBSTITUTE(P41,CHAR(160),""))),0),TRIM(SUBSTITUTE(V41,CHAR(160),""))="Devis 3",IFERROR(VALUE(TRIM(SUBSTITUTE(S41,CHAR(160),""))),0),TRUE,0))</f>
        <v/>
      </c>
      <c r="X41" s="441" t="str" cm="1">
        <f t="array" ref="X41">IF((_xlfn.IFS(TRIM(SUBSTITUTE(V41,CHAR(160),""))="Devis 1",IFERROR(VALUE(TRIM(SUBSTITUTE(N41,CHAR(160),""))),0),TRIM(SUBSTITUTE(V41,CHAR(160),""))="Devis 2",IFERROR(VALUE(TRIM(SUBSTITUTE(Q41,CHAR(160),""))),0),TRIM(SUBSTITUTE(V41,CHAR(160),""))="Devis 3",IFERROR(VALUE(TRIM(SUBSTITUTE(T41,CHAR(160),""))),0),TRUE,0))=0,"",_xlfn.IFS(TRIM(SUBSTITUTE(V41,CHAR(160),""))="Devis 1",IFERROR(VALUE(TRIM(SUBSTITUTE(N41,CHAR(160),""))),0),TRIM(SUBSTITUTE(V41,CHAR(160),""))="Devis 2",IFERROR(VALUE(TRIM(SUBSTITUTE(Q41,CHAR(160),""))),0),TRIM(SUBSTITUTE(V41,CHAR(160),""))="Devis 3",IFERROR(VALUE(TRIM(SUBSTITUTE(T41,CHAR(160),""))),0),TRUE,0))</f>
        <v/>
      </c>
      <c r="Y41" s="815" t="str" cm="1">
        <f t="array" ref="Y41">IF((_xlfn.IFS(TRIM(SUBSTITUTE(V41,CHAR(160),""))="Devis 1",IFERROR(VALUE(TRIM(SUBSTITUTE(O41,CHAR(160),""))),0),TRIM(SUBSTITUTE(V41,CHAR(160),""))="Devis 2",IFERROR(VALUE(TRIM(SUBSTITUTE(R41,CHAR(160),""))),0),TRIM(SUBSTITUTE(V41,CHAR(160),""))="Devis 3",IFERROR(VALUE(TRIM(SUBSTITUTE(U41,CHAR(160),""))),0),TRUE,0))=0,"",_xlfn.IFS(TRIM(SUBSTITUTE(V41,CHAR(160),""))="Devis 1",IFERROR(VALUE(TRIM(SUBSTITUTE(O41,CHAR(160),""))),0),TRIM(SUBSTITUTE(V41,CHAR(160),""))="Devis 2",IFERROR(VALUE(TRIM(SUBSTITUTE(R41,CHAR(160),""))),0),TRIM(SUBSTITUTE(V41,CHAR(160),""))="Devis 3",IFERROR(VALUE(TRIM(SUBSTITUTE(U41,CHAR(160),""))),0),TRUE,0))</f>
        <v/>
      </c>
      <c r="Z41" s="850"/>
      <c r="AA41" s="817" t="str" cm="1">
        <f t="array" ref="AA41">IF(Z41="","",_xlfn.IFS(Z41=$BZ$5,70,Z41=$BZ$6,90,Z41=$BZ$7,70,Z41=$BZ$8,90,Z41=$BZ$9,110))</f>
        <v/>
      </c>
      <c r="AB41" s="627"/>
      <c r="AC41" s="817" t="str" cm="1">
        <f t="array" ref="AC41">IF(Z41="","",_xlfn.IFS(Z41=$BZ$5,15.75,Z41=$BZ$6,21,Z41=$BZ$7,15.25,Z41=$BZ$8,15.25,Z41=$BZ$9,15.25))</f>
        <v/>
      </c>
      <c r="AD41" s="818"/>
      <c r="AE41" s="830">
        <f t="shared" si="34"/>
        <v>0</v>
      </c>
      <c r="AF41" s="819" t="str">
        <f t="shared" si="35"/>
        <v/>
      </c>
      <c r="AG41" s="26"/>
      <c r="AH41" s="466" t="str">
        <f t="shared" si="2"/>
        <v/>
      </c>
      <c r="AI41" s="1414" t="str">
        <f t="shared" si="21"/>
        <v/>
      </c>
      <c r="AJ41" s="452" t="str">
        <f t="shared" si="4"/>
        <v/>
      </c>
      <c r="AK41" s="28"/>
      <c r="AL41" s="664" t="str">
        <f t="shared" si="5"/>
        <v/>
      </c>
      <c r="AM41" s="452" t="str">
        <f t="shared" si="6"/>
        <v/>
      </c>
      <c r="AN41" s="452" t="str">
        <f t="shared" si="22"/>
        <v/>
      </c>
      <c r="AO41" s="452" t="str">
        <f t="shared" si="23"/>
        <v/>
      </c>
      <c r="AP41" s="452" t="str">
        <f t="shared" si="24"/>
        <v/>
      </c>
      <c r="AQ41" s="452" t="str">
        <f t="shared" si="7"/>
        <v/>
      </c>
      <c r="AR41" s="478" t="str">
        <f t="shared" si="8"/>
        <v/>
      </c>
      <c r="AS41" s="453" t="str">
        <f t="shared" si="9"/>
        <v/>
      </c>
      <c r="AT41" s="479" t="str">
        <f t="shared" si="29"/>
        <v/>
      </c>
      <c r="AU41" s="453" t="str">
        <f t="shared" si="10"/>
        <v/>
      </c>
      <c r="AV41" s="453" t="str">
        <f t="shared" si="30"/>
        <v/>
      </c>
      <c r="AW41" s="480" t="str">
        <f t="shared" si="25"/>
        <v/>
      </c>
      <c r="AX41" s="453" t="str">
        <f t="shared" si="11"/>
        <v/>
      </c>
      <c r="AY41" s="453" t="str">
        <f t="shared" si="12"/>
        <v/>
      </c>
      <c r="AZ41" s="480" t="str">
        <f t="shared" si="26"/>
        <v/>
      </c>
      <c r="BA41" s="424" t="str">
        <f t="shared" si="13"/>
        <v/>
      </c>
      <c r="BB41" s="454"/>
      <c r="BC41" s="424" t="str">
        <f t="shared" si="14"/>
        <v/>
      </c>
      <c r="BD41" s="424" t="str">
        <f t="shared" si="15"/>
        <v/>
      </c>
      <c r="BE41" s="424" t="str">
        <f t="shared" si="27"/>
        <v/>
      </c>
      <c r="BF41" s="455" t="str" cm="1">
        <f t="array" ref="BF41">IF(AR41="","",IF((IFERROR(_xlfn.IFS($BA41="Devis 1",(IFERROR(VALUE(TRIM(SUBSTITUTE(AR41,CHAR(160),""))),0)),$BA41="Devis 2",(IFERROR(VALUE(TRIM(SUBSTITUTE(AU41,CHAR(160),""))),0)),$BA41="Devis 3",(IFERROR(VALUE(TRIM(SUBSTITUTE(AX41,CHAR(160),""))),0))),0))=0,"",(IFERROR(_xlfn.IFS($BA41="Devis 1",(IFERROR(VALUE(TRIM(SUBSTITUTE(AR41,CHAR(160),""))),0)),$BA41="Devis 2",(IFERROR(VALUE(TRIM(SUBSTITUTE(AU41,CHAR(160),""))),0)),$BA41="Devis 3",(IFERROR(VALUE(TRIM(SUBSTITUTE(AX41,CHAR(160),""))),0))),0))))</f>
        <v/>
      </c>
      <c r="BG41" s="455" t="str" cm="1">
        <f t="array" ref="BG41">IF(AS41="","",IF((IFERROR(_xlfn.IFS($BA41="Devis 1",(IFERROR(VALUE(TRIM(SUBSTITUTE(AS41,CHAR(160),""))),0)),$BA41="Devis 2",(IFERROR(VALUE(TRIM(SUBSTITUTE(AV41,CHAR(160),""))),0)),$BA41="Devis 3",(IFERROR(VALUE(TRIM(SUBSTITUTE(AY41,CHAR(160),""))),0))),0))=0,"",(IFERROR(_xlfn.IFS($BA41="Devis 1",(IFERROR(VALUE(TRIM(SUBSTITUTE(AS41,CHAR(160),""))),0)),$BA41="Devis 2",(IFERROR(VALUE(TRIM(SUBSTITUTE(AV41,CHAR(160),""))),0)),$BA41="Devis 3",(IFERROR(VALUE(TRIM(SUBSTITUTE(AY41,CHAR(160),""))),0))),0))))</f>
        <v/>
      </c>
      <c r="BH41" s="826" t="str" cm="1">
        <f t="array" ref="BH41">IF(AT41="","",IF(IFERROR(_xlfn.IFS($BA41="Devis 1",IFERROR(VALUE(TRIM(SUBSTITUTE(AT41,CHAR(160),""))),0),$BA41="Devis 2",IFERROR(VALUE(TRIM(SUBSTITUTE(AW41,CHAR(160),""))),0),$BA41="Devis 3",IFERROR(VALUE(TRIM(SUBSTITUTE(AZ41,CHAR(160),""))),0)),0)=0,"",IFERROR(_xlfn.IFS($BA41="Devis 1",IFERROR(VALUE(TRIM(SUBSTITUTE(AT41,CHAR(160),""))),0),$BA41="Devis 2",IFERROR(VALUE(TRIM(SUBSTITUTE(AW41,CHAR(160),""))),0),$BA41="Devis 3",IFERROR(VALUE(TRIM(SUBSTITUTE(AZ41,CHAR(160),""))),0)),0)))</f>
        <v/>
      </c>
      <c r="BI41" s="832" t="str">
        <f t="shared" si="28"/>
        <v/>
      </c>
      <c r="BJ41" s="455"/>
      <c r="BK41" s="831"/>
      <c r="BL41" s="455"/>
      <c r="BM41" s="831"/>
      <c r="BN41" s="830">
        <f t="shared" si="31"/>
        <v>0</v>
      </c>
      <c r="BO41" s="676" t="str">
        <f t="shared" si="17"/>
        <v/>
      </c>
      <c r="BP41" s="1330"/>
      <c r="BQ41" s="216" t="str" cm="1">
        <f t="array" ref="BQ41">IF(OR(BH41="",BE41="",BF41="",BC41="",BG41="",BD41=""),"",_xlfn.IFS(
ROUND(IFERROR(VALUE(TRIM(SUBSTITUTE(BH41,CHAR(160),""))),0),2)&gt;
ROUND(IFERROR(VALUE(TRIM(SUBSTITUTE(BE41,CHAR(160),""))),0),2),
"KO : Le montant retenu TTC est supérieur au montant raisonnable TTC. Merci de revoir la ligne de dépense ou plafonner son montant.",
ROUND(IFERROR(VALUE(TRIM(SUBSTITUTE(BF41,CHAR(160),""))),0),2)&gt;
ROUND(IFERROR(VALUE(TRIM(SUBSTITUTE(BC41,CHAR(160),""))),0),2),
"Attention : Le montant retenu HT est supérieur au montant HT raisonnable. Merci de revoir la ligne de dépense, plafonner son montant, ou justifier la reventillation HT / TVA.",
ROUND(IFERROR(VALUE(TRIM(SUBSTITUTE(BG41,CHAR(160),""))),0),2)&gt;
ROUND(IFERROR(VALUE(TRIM(SUBSTITUTE(BD41,CHAR(160),""))),0),2),
"Attention : Le montant TVA retenu est supérieur au montant TVA raisonnable. Merci de revoir la ligne de dépense, plafonner son montant, ou justifier la reventillation HT / TVA.",
ROUND(IFERROR(VALUE(TRIM(SUBSTITUTE(BH41,CHAR(160),""))),0),2)&gt;
ROUND(IFERROR(VALUE(TRIM(SUBSTITUTE(MIN(O41,R41,U41),CHAR(160),""))),0),2),
"Attention : Le devis retenu n'est pas le moins cher. Une justification de la part du porteur est nécessaire.",
ROUND(IFERROR(VALUE(TRIM(SUBSTITUTE(BH41,CHAR(160),""))),0),2)=0,
"Attention : montant présenté entièrement écarté",
ROUND(IFERROR(VALUE(TRIM(SUBSTITUTE(BE41,CHAR(160),""))),0),2)=
ROUND(IFERROR(VALUE(TRIM(SUBSTITUTE(BH41,CHAR(160),""))),0),2),
"OK",
ROUND(IFERROR(VALUE(TRIM(SUBSTITUTE(BE41,CHAR(160),""))),0),2)&gt;
ROUND(IFERROR(VALUE(TRIM(SUBSTITUTE(BH41,CHAR(160),""))),0),2),
" OK : Montant instruit inférieur au montant raisonnable.",
TRUE,""
))</f>
        <v/>
      </c>
      <c r="BR41" s="216" t="str" cm="1">
        <f t="array" ref="BR41">IF(OR(BH41="",Y41="",BF41="",W41="",BG41="",X41=""),"",_xlfn.IFS(
ROUND(IFERROR(VALUE(TRIM(SUBSTITUTE(BH41,CHAR(160),""))),0),2)&gt;
ROUND(IFERROR(VALUE(TRIM(SUBSTITUTE(Y41,CHAR(160),""))),0),2),
"KO : Le montant retenu TTC est supérieur au montant présenté TTC. Merci de revoir la ligne de dépense ou plafonner son montant.",
ROUND(IFERROR(VALUE(TRIM(SUBSTITUTE(BF41,CHAR(160),""))),0),2)&gt;
ROUND(IFERROR(VALUE(TRIM(SUBSTITUTE(W41,CHAR(160),""))),0),2),
"Attention : Le montant retenu HT est supérieur au montant HT présenté. Merci de revoir la ligne de dépense, plafonner son montant, ou justifier la reventillation HT / TVA.",
ROUND(IFERROR(VALUE(TRIM(SUBSTITUTE(BG41,CHAR(160),""))),0),2)&gt;
ROUND(IFERROR(VALUE(TRIM(SUBSTITUTE(X41,CHAR(160),""))),0),2),
"Attention : Le montant TVA retenu est supérieur au montant TVA présenté. Merci de revoir la ligne de dépense, plafonner son montant, ou justifier la reventillation HT / TVA.",
ROUND(IFERROR(VALUE(TRIM(SUBSTITUTE(Y41,CHAR(160),""))),0),2)=0,
"",
ROUND(IFERROR(VALUE(TRIM(SUBSTITUTE(BH41,CHAR(160),""))),0),2)=
ROUND(IFERROR(VALUE(TRIM(SUBSTITUTE(Y41,CHAR(160),""))),0),2),
"OK",
ROUND(IFERROR(VALUE(TRIM(SUBSTITUTE(BH41,CHAR(160),""))),0),2)=0,
"Attention : Montant présenté entièrement rejeté.",
ROUND(IFERROR(VALUE(TRIM(SUBSTITUTE(BH41,CHAR(160),""))),0),2)&lt;
ROUND(IFERROR(VALUE(TRIM(SUBSTITUTE(Y41,CHAR(160),""))),0),2),
"Attention : Montant présenté partiellement rejeté.",
TRUE,""
))</f>
        <v/>
      </c>
      <c r="BS41" s="1331" t="str" cm="1">
        <f t="array" ref="BS41">IF(OR(BN41="",AE41=""),"",_xlfn.IFS(
ROUND(IFERROR(VALUE(TRIM(SUBSTITUTE(BN41,CHAR(160),""))),0),2)&gt;
ROUND(IFERROR(VALUE(TRIM(SUBSTITUTE(AE41,CHAR(160),""))),0),2),
"KO : Le montant retenu est supérieur au montant présenté. Merci de revoir la ligne de contributions ou plafonner son montant.",
ROUND(IFERROR(VALUE(TRIM(SUBSTITUTE(AE41,CHAR(160),""))),0),2)=0,
"",
ROUND(IFERROR(VALUE(TRIM(SUBSTITUTE(BN41,CHAR(160),""))),0),2)=
ROUND(IFERROR(VALUE(TRIM(SUBSTITUTE(AE41,CHAR(160),""))),0),2),
"OK",
ROUND(IFERROR(VALUE(TRIM(SUBSTITUTE(BN41,CHAR(160),""))),0),2)=0,
"Attention : Montant présenté entièrement rejeté.",
ROUND(IFERROR(VALUE(TRIM(SUBSTITUTE(BN41,CHAR(160),""))),0),2)&lt;
ROUND(IFERROR(VALUE(TRIM(SUBSTITUTE(AE41,CHAR(160),""))),0),2),
"Attention : Montant présenté partiellement rejeté.",
TRUE,""
))</f>
        <v/>
      </c>
      <c r="BT41" s="674" t="str">
        <f t="shared" si="18"/>
        <v/>
      </c>
      <c r="BU41" s="673" t="str">
        <f t="shared" si="19"/>
        <v/>
      </c>
      <c r="BV41" s="1351" t="str">
        <f t="shared" si="20"/>
        <v/>
      </c>
    </row>
    <row r="42" spans="2:74" ht="14.1" customHeight="1">
      <c r="B42" s="498">
        <v>33</v>
      </c>
      <c r="C42" s="119"/>
      <c r="D42" s="11"/>
      <c r="E42" s="6"/>
      <c r="F42" s="28"/>
      <c r="G42" s="6"/>
      <c r="H42" s="6"/>
      <c r="I42" s="30"/>
      <c r="J42" s="30"/>
      <c r="K42" s="30"/>
      <c r="L42" s="31"/>
      <c r="M42" s="440"/>
      <c r="N42" s="33"/>
      <c r="O42" s="321" t="str">
        <f t="shared" si="32"/>
        <v/>
      </c>
      <c r="P42" s="32"/>
      <c r="Q42" s="33"/>
      <c r="R42" s="299" t="str">
        <f t="shared" si="33"/>
        <v/>
      </c>
      <c r="S42" s="34"/>
      <c r="T42" s="33"/>
      <c r="U42" s="299" t="str">
        <f t="shared" si="1"/>
        <v/>
      </c>
      <c r="V42" s="439"/>
      <c r="W42" s="441" t="str" cm="1">
        <f t="array" ref="W42">IF((_xlfn.IFS(TRIM(SUBSTITUTE(V42,CHAR(160),""))="Devis 1",IFERROR(VALUE(TRIM(SUBSTITUTE(M42,CHAR(160),""))),0),TRIM(SUBSTITUTE(V42,CHAR(160),""))="Devis 2",IFERROR(VALUE(TRIM(SUBSTITUTE(P42,CHAR(160),""))),0),TRIM(SUBSTITUTE(V42,CHAR(160),""))="Devis 3",IFERROR(VALUE(TRIM(SUBSTITUTE(S42,CHAR(160),""))),0),TRUE,0))=0,"",_xlfn.IFS(TRIM(SUBSTITUTE(V42,CHAR(160),""))="Devis 1",IFERROR(VALUE(TRIM(SUBSTITUTE(M42,CHAR(160),""))),0),TRIM(SUBSTITUTE(V42,CHAR(160),""))="Devis 2",IFERROR(VALUE(TRIM(SUBSTITUTE(P42,CHAR(160),""))),0),TRIM(SUBSTITUTE(V42,CHAR(160),""))="Devis 3",IFERROR(VALUE(TRIM(SUBSTITUTE(S42,CHAR(160),""))),0),TRUE,0))</f>
        <v/>
      </c>
      <c r="X42" s="441" t="str" cm="1">
        <f t="array" ref="X42">IF((_xlfn.IFS(TRIM(SUBSTITUTE(V42,CHAR(160),""))="Devis 1",IFERROR(VALUE(TRIM(SUBSTITUTE(N42,CHAR(160),""))),0),TRIM(SUBSTITUTE(V42,CHAR(160),""))="Devis 2",IFERROR(VALUE(TRIM(SUBSTITUTE(Q42,CHAR(160),""))),0),TRIM(SUBSTITUTE(V42,CHAR(160),""))="Devis 3",IFERROR(VALUE(TRIM(SUBSTITUTE(T42,CHAR(160),""))),0),TRUE,0))=0,"",_xlfn.IFS(TRIM(SUBSTITUTE(V42,CHAR(160),""))="Devis 1",IFERROR(VALUE(TRIM(SUBSTITUTE(N42,CHAR(160),""))),0),TRIM(SUBSTITUTE(V42,CHAR(160),""))="Devis 2",IFERROR(VALUE(TRIM(SUBSTITUTE(Q42,CHAR(160),""))),0),TRIM(SUBSTITUTE(V42,CHAR(160),""))="Devis 3",IFERROR(VALUE(TRIM(SUBSTITUTE(T42,CHAR(160),""))),0),TRUE,0))</f>
        <v/>
      </c>
      <c r="Y42" s="815" t="str" cm="1">
        <f t="array" ref="Y42">IF((_xlfn.IFS(TRIM(SUBSTITUTE(V42,CHAR(160),""))="Devis 1",IFERROR(VALUE(TRIM(SUBSTITUTE(O42,CHAR(160),""))),0),TRIM(SUBSTITUTE(V42,CHAR(160),""))="Devis 2",IFERROR(VALUE(TRIM(SUBSTITUTE(R42,CHAR(160),""))),0),TRIM(SUBSTITUTE(V42,CHAR(160),""))="Devis 3",IFERROR(VALUE(TRIM(SUBSTITUTE(U42,CHAR(160),""))),0),TRUE,0))=0,"",_xlfn.IFS(TRIM(SUBSTITUTE(V42,CHAR(160),""))="Devis 1",IFERROR(VALUE(TRIM(SUBSTITUTE(O42,CHAR(160),""))),0),TRIM(SUBSTITUTE(V42,CHAR(160),""))="Devis 2",IFERROR(VALUE(TRIM(SUBSTITUTE(R42,CHAR(160),""))),0),TRIM(SUBSTITUTE(V42,CHAR(160),""))="Devis 3",IFERROR(VALUE(TRIM(SUBSTITUTE(U42,CHAR(160),""))),0),TRUE,0))</f>
        <v/>
      </c>
      <c r="Z42" s="850"/>
      <c r="AA42" s="817" t="str" cm="1">
        <f t="array" ref="AA42">IF(Z42="","",_xlfn.IFS(Z42=$BZ$5,70,Z42=$BZ$6,90,Z42=$BZ$7,70,Z42=$BZ$8,90,Z42=$BZ$9,110))</f>
        <v/>
      </c>
      <c r="AB42" s="627"/>
      <c r="AC42" s="817" t="str" cm="1">
        <f t="array" ref="AC42">IF(Z42="","",_xlfn.IFS(Z42=$BZ$5,15.75,Z42=$BZ$6,21,Z42=$BZ$7,15.25,Z42=$BZ$8,15.25,Z42=$BZ$9,15.25))</f>
        <v/>
      </c>
      <c r="AD42" s="818"/>
      <c r="AE42" s="830">
        <f t="shared" si="34"/>
        <v>0</v>
      </c>
      <c r="AF42" s="819" t="str">
        <f t="shared" si="35"/>
        <v/>
      </c>
      <c r="AG42" s="26"/>
      <c r="AH42" s="466" t="str">
        <f t="shared" si="2"/>
        <v/>
      </c>
      <c r="AI42" s="1414" t="str">
        <f t="shared" si="21"/>
        <v/>
      </c>
      <c r="AJ42" s="452" t="str">
        <f t="shared" si="4"/>
        <v/>
      </c>
      <c r="AK42" s="28"/>
      <c r="AL42" s="664" t="str">
        <f t="shared" si="5"/>
        <v/>
      </c>
      <c r="AM42" s="452" t="str">
        <f t="shared" si="6"/>
        <v/>
      </c>
      <c r="AN42" s="452" t="str">
        <f t="shared" si="22"/>
        <v/>
      </c>
      <c r="AO42" s="452" t="str">
        <f t="shared" si="23"/>
        <v/>
      </c>
      <c r="AP42" s="452" t="str">
        <f t="shared" si="24"/>
        <v/>
      </c>
      <c r="AQ42" s="452" t="str">
        <f t="shared" si="7"/>
        <v/>
      </c>
      <c r="AR42" s="478" t="str">
        <f t="shared" si="8"/>
        <v/>
      </c>
      <c r="AS42" s="453" t="str">
        <f t="shared" si="9"/>
        <v/>
      </c>
      <c r="AT42" s="479" t="str">
        <f t="shared" si="29"/>
        <v/>
      </c>
      <c r="AU42" s="453" t="str">
        <f t="shared" si="10"/>
        <v/>
      </c>
      <c r="AV42" s="453" t="str">
        <f t="shared" si="30"/>
        <v/>
      </c>
      <c r="AW42" s="480" t="str">
        <f t="shared" si="25"/>
        <v/>
      </c>
      <c r="AX42" s="453" t="str">
        <f t="shared" si="11"/>
        <v/>
      </c>
      <c r="AY42" s="453" t="str">
        <f t="shared" si="12"/>
        <v/>
      </c>
      <c r="AZ42" s="480" t="str">
        <f t="shared" si="26"/>
        <v/>
      </c>
      <c r="BA42" s="424" t="str">
        <f t="shared" si="13"/>
        <v/>
      </c>
      <c r="BB42" s="454"/>
      <c r="BC42" s="424" t="str">
        <f t="shared" si="14"/>
        <v/>
      </c>
      <c r="BD42" s="424" t="str">
        <f t="shared" si="15"/>
        <v/>
      </c>
      <c r="BE42" s="424" t="str">
        <f t="shared" si="27"/>
        <v/>
      </c>
      <c r="BF42" s="455" t="str" cm="1">
        <f t="array" ref="BF42">IF(AR42="","",IF((IFERROR(_xlfn.IFS($BA42="Devis 1",(IFERROR(VALUE(TRIM(SUBSTITUTE(AR42,CHAR(160),""))),0)),$BA42="Devis 2",(IFERROR(VALUE(TRIM(SUBSTITUTE(AU42,CHAR(160),""))),0)),$BA42="Devis 3",(IFERROR(VALUE(TRIM(SUBSTITUTE(AX42,CHAR(160),""))),0))),0))=0,"",(IFERROR(_xlfn.IFS($BA42="Devis 1",(IFERROR(VALUE(TRIM(SUBSTITUTE(AR42,CHAR(160),""))),0)),$BA42="Devis 2",(IFERROR(VALUE(TRIM(SUBSTITUTE(AU42,CHAR(160),""))),0)),$BA42="Devis 3",(IFERROR(VALUE(TRIM(SUBSTITUTE(AX42,CHAR(160),""))),0))),0))))</f>
        <v/>
      </c>
      <c r="BG42" s="455" t="str" cm="1">
        <f t="array" ref="BG42">IF(AS42="","",IF((IFERROR(_xlfn.IFS($BA42="Devis 1",(IFERROR(VALUE(TRIM(SUBSTITUTE(AS42,CHAR(160),""))),0)),$BA42="Devis 2",(IFERROR(VALUE(TRIM(SUBSTITUTE(AV42,CHAR(160),""))),0)),$BA42="Devis 3",(IFERROR(VALUE(TRIM(SUBSTITUTE(AY42,CHAR(160),""))),0))),0))=0,"",(IFERROR(_xlfn.IFS($BA42="Devis 1",(IFERROR(VALUE(TRIM(SUBSTITUTE(AS42,CHAR(160),""))),0)),$BA42="Devis 2",(IFERROR(VALUE(TRIM(SUBSTITUTE(AV42,CHAR(160),""))),0)),$BA42="Devis 3",(IFERROR(VALUE(TRIM(SUBSTITUTE(AY42,CHAR(160),""))),0))),0))))</f>
        <v/>
      </c>
      <c r="BH42" s="826" t="str" cm="1">
        <f t="array" ref="BH42">IF(AT42="","",IF(IFERROR(_xlfn.IFS($BA42="Devis 1",IFERROR(VALUE(TRIM(SUBSTITUTE(AT42,CHAR(160),""))),0),$BA42="Devis 2",IFERROR(VALUE(TRIM(SUBSTITUTE(AW42,CHAR(160),""))),0),$BA42="Devis 3",IFERROR(VALUE(TRIM(SUBSTITUTE(AZ42,CHAR(160),""))),0)),0)=0,"",IFERROR(_xlfn.IFS($BA42="Devis 1",IFERROR(VALUE(TRIM(SUBSTITUTE(AT42,CHAR(160),""))),0),$BA42="Devis 2",IFERROR(VALUE(TRIM(SUBSTITUTE(AW42,CHAR(160),""))),0),$BA42="Devis 3",IFERROR(VALUE(TRIM(SUBSTITUTE(AZ42,CHAR(160),""))),0)),0)))</f>
        <v/>
      </c>
      <c r="BI42" s="832" t="str">
        <f t="shared" si="28"/>
        <v/>
      </c>
      <c r="BJ42" s="455"/>
      <c r="BK42" s="831"/>
      <c r="BL42" s="455"/>
      <c r="BM42" s="831"/>
      <c r="BN42" s="830">
        <f t="shared" si="31"/>
        <v>0</v>
      </c>
      <c r="BO42" s="676" t="str">
        <f t="shared" si="17"/>
        <v/>
      </c>
      <c r="BP42" s="1330"/>
      <c r="BQ42" s="216" t="str" cm="1">
        <f t="array" ref="BQ42">IF(OR(BH42="",BE42="",BF42="",BC42="",BG42="",BD42=""),"",_xlfn.IFS(
ROUND(IFERROR(VALUE(TRIM(SUBSTITUTE(BH42,CHAR(160),""))),0),2)&gt;
ROUND(IFERROR(VALUE(TRIM(SUBSTITUTE(BE42,CHAR(160),""))),0),2),
"KO : Le montant retenu TTC est supérieur au montant raisonnable TTC. Merci de revoir la ligne de dépense ou plafonner son montant.",
ROUND(IFERROR(VALUE(TRIM(SUBSTITUTE(BF42,CHAR(160),""))),0),2)&gt;
ROUND(IFERROR(VALUE(TRIM(SUBSTITUTE(BC42,CHAR(160),""))),0),2),
"Attention : Le montant retenu HT est supérieur au montant HT raisonnable. Merci de revoir la ligne de dépense, plafonner son montant, ou justifier la reventillation HT / TVA.",
ROUND(IFERROR(VALUE(TRIM(SUBSTITUTE(BG42,CHAR(160),""))),0),2)&gt;
ROUND(IFERROR(VALUE(TRIM(SUBSTITUTE(BD42,CHAR(160),""))),0),2),
"Attention : Le montant TVA retenu est supérieur au montant TVA raisonnable. Merci de revoir la ligne de dépense, plafonner son montant, ou justifier la reventillation HT / TVA.",
ROUND(IFERROR(VALUE(TRIM(SUBSTITUTE(BH42,CHAR(160),""))),0),2)&gt;
ROUND(IFERROR(VALUE(TRIM(SUBSTITUTE(MIN(O42,R42,U42),CHAR(160),""))),0),2),
"Attention : Le devis retenu n'est pas le moins cher. Une justification de la part du porteur est nécessaire.",
ROUND(IFERROR(VALUE(TRIM(SUBSTITUTE(BH42,CHAR(160),""))),0),2)=0,
"Attention : montant présenté entièrement écarté",
ROUND(IFERROR(VALUE(TRIM(SUBSTITUTE(BE42,CHAR(160),""))),0),2)=
ROUND(IFERROR(VALUE(TRIM(SUBSTITUTE(BH42,CHAR(160),""))),0),2),
"OK",
ROUND(IFERROR(VALUE(TRIM(SUBSTITUTE(BE42,CHAR(160),""))),0),2)&gt;
ROUND(IFERROR(VALUE(TRIM(SUBSTITUTE(BH42,CHAR(160),""))),0),2),
" OK : Montant instruit inférieur au montant raisonnable.",
TRUE,""
))</f>
        <v/>
      </c>
      <c r="BR42" s="216" t="str" cm="1">
        <f t="array" ref="BR42">IF(OR(BH42="",Y42="",BF42="",W42="",BG42="",X42=""),"",_xlfn.IFS(
ROUND(IFERROR(VALUE(TRIM(SUBSTITUTE(BH42,CHAR(160),""))),0),2)&gt;
ROUND(IFERROR(VALUE(TRIM(SUBSTITUTE(Y42,CHAR(160),""))),0),2),
"KO : Le montant retenu TTC est supérieur au montant présenté TTC. Merci de revoir la ligne de dépense ou plafonner son montant.",
ROUND(IFERROR(VALUE(TRIM(SUBSTITUTE(BF42,CHAR(160),""))),0),2)&gt;
ROUND(IFERROR(VALUE(TRIM(SUBSTITUTE(W42,CHAR(160),""))),0),2),
"Attention : Le montant retenu HT est supérieur au montant HT présenté. Merci de revoir la ligne de dépense, plafonner son montant, ou justifier la reventillation HT / TVA.",
ROUND(IFERROR(VALUE(TRIM(SUBSTITUTE(BG42,CHAR(160),""))),0),2)&gt;
ROUND(IFERROR(VALUE(TRIM(SUBSTITUTE(X42,CHAR(160),""))),0),2),
"Attention : Le montant TVA retenu est supérieur au montant TVA présenté. Merci de revoir la ligne de dépense, plafonner son montant, ou justifier la reventillation HT / TVA.",
ROUND(IFERROR(VALUE(TRIM(SUBSTITUTE(Y42,CHAR(160),""))),0),2)=0,
"",
ROUND(IFERROR(VALUE(TRIM(SUBSTITUTE(BH42,CHAR(160),""))),0),2)=
ROUND(IFERROR(VALUE(TRIM(SUBSTITUTE(Y42,CHAR(160),""))),0),2),
"OK",
ROUND(IFERROR(VALUE(TRIM(SUBSTITUTE(BH42,CHAR(160),""))),0),2)=0,
"Attention : Montant présenté entièrement rejeté.",
ROUND(IFERROR(VALUE(TRIM(SUBSTITUTE(BH42,CHAR(160),""))),0),2)&lt;
ROUND(IFERROR(VALUE(TRIM(SUBSTITUTE(Y42,CHAR(160),""))),0),2),
"Attention : Montant présenté partiellement rejeté.",
TRUE,""
))</f>
        <v/>
      </c>
      <c r="BS42" s="1331" t="str" cm="1">
        <f t="array" ref="BS42">IF(OR(BN42="",AE42=""),"",_xlfn.IFS(
ROUND(IFERROR(VALUE(TRIM(SUBSTITUTE(BN42,CHAR(160),""))),0),2)&gt;
ROUND(IFERROR(VALUE(TRIM(SUBSTITUTE(AE42,CHAR(160),""))),0),2),
"KO : Le montant retenu est supérieur au montant présenté. Merci de revoir la ligne de contributions ou plafonner son montant.",
ROUND(IFERROR(VALUE(TRIM(SUBSTITUTE(AE42,CHAR(160),""))),0),2)=0,
"",
ROUND(IFERROR(VALUE(TRIM(SUBSTITUTE(BN42,CHAR(160),""))),0),2)=
ROUND(IFERROR(VALUE(TRIM(SUBSTITUTE(AE42,CHAR(160),""))),0),2),
"OK",
ROUND(IFERROR(VALUE(TRIM(SUBSTITUTE(BN42,CHAR(160),""))),0),2)=0,
"Attention : Montant présenté entièrement rejeté.",
ROUND(IFERROR(VALUE(TRIM(SUBSTITUTE(BN42,CHAR(160),""))),0),2)&lt;
ROUND(IFERROR(VALUE(TRIM(SUBSTITUTE(AE42,CHAR(160),""))),0),2),
"Attention : Montant présenté partiellement rejeté.",
TRUE,""
))</f>
        <v/>
      </c>
      <c r="BT42" s="674" t="str">
        <f t="shared" si="18"/>
        <v/>
      </c>
      <c r="BU42" s="673" t="str">
        <f t="shared" si="19"/>
        <v/>
      </c>
      <c r="BV42" s="1351" t="str">
        <f t="shared" si="20"/>
        <v/>
      </c>
    </row>
    <row r="43" spans="2:74" ht="14.1" customHeight="1">
      <c r="B43" s="498">
        <v>34</v>
      </c>
      <c r="C43" s="119"/>
      <c r="D43" s="11"/>
      <c r="E43" s="6"/>
      <c r="F43" s="28"/>
      <c r="G43" s="6"/>
      <c r="H43" s="6"/>
      <c r="I43" s="30"/>
      <c r="J43" s="30"/>
      <c r="K43" s="30"/>
      <c r="L43" s="31"/>
      <c r="M43" s="440"/>
      <c r="N43" s="33"/>
      <c r="O43" s="321" t="str">
        <f t="shared" si="32"/>
        <v/>
      </c>
      <c r="P43" s="32"/>
      <c r="Q43" s="33"/>
      <c r="R43" s="299" t="str">
        <f t="shared" si="33"/>
        <v/>
      </c>
      <c r="S43" s="34"/>
      <c r="T43" s="33"/>
      <c r="U43" s="299" t="str">
        <f t="shared" si="1"/>
        <v/>
      </c>
      <c r="V43" s="439"/>
      <c r="W43" s="441" t="str" cm="1">
        <f t="array" ref="W43">IF((_xlfn.IFS(TRIM(SUBSTITUTE(V43,CHAR(160),""))="Devis 1",IFERROR(VALUE(TRIM(SUBSTITUTE(M43,CHAR(160),""))),0),TRIM(SUBSTITUTE(V43,CHAR(160),""))="Devis 2",IFERROR(VALUE(TRIM(SUBSTITUTE(P43,CHAR(160),""))),0),TRIM(SUBSTITUTE(V43,CHAR(160),""))="Devis 3",IFERROR(VALUE(TRIM(SUBSTITUTE(S43,CHAR(160),""))),0),TRUE,0))=0,"",_xlfn.IFS(TRIM(SUBSTITUTE(V43,CHAR(160),""))="Devis 1",IFERROR(VALUE(TRIM(SUBSTITUTE(M43,CHAR(160),""))),0),TRIM(SUBSTITUTE(V43,CHAR(160),""))="Devis 2",IFERROR(VALUE(TRIM(SUBSTITUTE(P43,CHAR(160),""))),0),TRIM(SUBSTITUTE(V43,CHAR(160),""))="Devis 3",IFERROR(VALUE(TRIM(SUBSTITUTE(S43,CHAR(160),""))),0),TRUE,0))</f>
        <v/>
      </c>
      <c r="X43" s="441" t="str" cm="1">
        <f t="array" ref="X43">IF((_xlfn.IFS(TRIM(SUBSTITUTE(V43,CHAR(160),""))="Devis 1",IFERROR(VALUE(TRIM(SUBSTITUTE(N43,CHAR(160),""))),0),TRIM(SUBSTITUTE(V43,CHAR(160),""))="Devis 2",IFERROR(VALUE(TRIM(SUBSTITUTE(Q43,CHAR(160),""))),0),TRIM(SUBSTITUTE(V43,CHAR(160),""))="Devis 3",IFERROR(VALUE(TRIM(SUBSTITUTE(T43,CHAR(160),""))),0),TRUE,0))=0,"",_xlfn.IFS(TRIM(SUBSTITUTE(V43,CHAR(160),""))="Devis 1",IFERROR(VALUE(TRIM(SUBSTITUTE(N43,CHAR(160),""))),0),TRIM(SUBSTITUTE(V43,CHAR(160),""))="Devis 2",IFERROR(VALUE(TRIM(SUBSTITUTE(Q43,CHAR(160),""))),0),TRIM(SUBSTITUTE(V43,CHAR(160),""))="Devis 3",IFERROR(VALUE(TRIM(SUBSTITUTE(T43,CHAR(160),""))),0),TRUE,0))</f>
        <v/>
      </c>
      <c r="Y43" s="815" t="str" cm="1">
        <f t="array" ref="Y43">IF((_xlfn.IFS(TRIM(SUBSTITUTE(V43,CHAR(160),""))="Devis 1",IFERROR(VALUE(TRIM(SUBSTITUTE(O43,CHAR(160),""))),0),TRIM(SUBSTITUTE(V43,CHAR(160),""))="Devis 2",IFERROR(VALUE(TRIM(SUBSTITUTE(R43,CHAR(160),""))),0),TRIM(SUBSTITUTE(V43,CHAR(160),""))="Devis 3",IFERROR(VALUE(TRIM(SUBSTITUTE(U43,CHAR(160),""))),0),TRUE,0))=0,"",_xlfn.IFS(TRIM(SUBSTITUTE(V43,CHAR(160),""))="Devis 1",IFERROR(VALUE(TRIM(SUBSTITUTE(O43,CHAR(160),""))),0),TRIM(SUBSTITUTE(V43,CHAR(160),""))="Devis 2",IFERROR(VALUE(TRIM(SUBSTITUTE(R43,CHAR(160),""))),0),TRIM(SUBSTITUTE(V43,CHAR(160),""))="Devis 3",IFERROR(VALUE(TRIM(SUBSTITUTE(U43,CHAR(160),""))),0),TRUE,0))</f>
        <v/>
      </c>
      <c r="Z43" s="850"/>
      <c r="AA43" s="817" t="str" cm="1">
        <f t="array" ref="AA43">IF(Z43="","",_xlfn.IFS(Z43=$BZ$5,70,Z43=$BZ$6,90,Z43=$BZ$7,70,Z43=$BZ$8,90,Z43=$BZ$9,110))</f>
        <v/>
      </c>
      <c r="AB43" s="627"/>
      <c r="AC43" s="817" t="str" cm="1">
        <f t="array" ref="AC43">IF(Z43="","",_xlfn.IFS(Z43=$BZ$5,15.75,Z43=$BZ$6,21,Z43=$BZ$7,15.25,Z43=$BZ$8,15.25,Z43=$BZ$9,15.25))</f>
        <v/>
      </c>
      <c r="AD43" s="818"/>
      <c r="AE43" s="830">
        <f t="shared" si="34"/>
        <v>0</v>
      </c>
      <c r="AF43" s="819" t="str">
        <f t="shared" si="35"/>
        <v/>
      </c>
      <c r="AG43" s="26"/>
      <c r="AH43" s="466" t="str">
        <f t="shared" si="2"/>
        <v/>
      </c>
      <c r="AI43" s="1414" t="str">
        <f t="shared" si="21"/>
        <v/>
      </c>
      <c r="AJ43" s="452" t="str">
        <f t="shared" si="4"/>
        <v/>
      </c>
      <c r="AK43" s="28"/>
      <c r="AL43" s="664" t="str">
        <f t="shared" si="5"/>
        <v/>
      </c>
      <c r="AM43" s="452" t="str">
        <f t="shared" si="6"/>
        <v/>
      </c>
      <c r="AN43" s="452" t="str">
        <f t="shared" si="22"/>
        <v/>
      </c>
      <c r="AO43" s="452" t="str">
        <f t="shared" si="23"/>
        <v/>
      </c>
      <c r="AP43" s="452" t="str">
        <f t="shared" si="24"/>
        <v/>
      </c>
      <c r="AQ43" s="452" t="str">
        <f t="shared" si="7"/>
        <v/>
      </c>
      <c r="AR43" s="478" t="str">
        <f t="shared" si="8"/>
        <v/>
      </c>
      <c r="AS43" s="453" t="str">
        <f t="shared" si="9"/>
        <v/>
      </c>
      <c r="AT43" s="479" t="str">
        <f t="shared" si="29"/>
        <v/>
      </c>
      <c r="AU43" s="453" t="str">
        <f t="shared" si="10"/>
        <v/>
      </c>
      <c r="AV43" s="453" t="str">
        <f t="shared" si="30"/>
        <v/>
      </c>
      <c r="AW43" s="480" t="str">
        <f t="shared" si="25"/>
        <v/>
      </c>
      <c r="AX43" s="453" t="str">
        <f t="shared" si="11"/>
        <v/>
      </c>
      <c r="AY43" s="453" t="str">
        <f t="shared" si="12"/>
        <v/>
      </c>
      <c r="AZ43" s="480" t="str">
        <f t="shared" si="26"/>
        <v/>
      </c>
      <c r="BA43" s="424" t="str">
        <f t="shared" si="13"/>
        <v/>
      </c>
      <c r="BB43" s="454"/>
      <c r="BC43" s="424" t="str">
        <f t="shared" si="14"/>
        <v/>
      </c>
      <c r="BD43" s="424" t="str">
        <f t="shared" si="15"/>
        <v/>
      </c>
      <c r="BE43" s="424" t="str">
        <f t="shared" si="27"/>
        <v/>
      </c>
      <c r="BF43" s="455" t="str" cm="1">
        <f t="array" ref="BF43">IF(AR43="","",IF((IFERROR(_xlfn.IFS($BA43="Devis 1",(IFERROR(VALUE(TRIM(SUBSTITUTE(AR43,CHAR(160),""))),0)),$BA43="Devis 2",(IFERROR(VALUE(TRIM(SUBSTITUTE(AU43,CHAR(160),""))),0)),$BA43="Devis 3",(IFERROR(VALUE(TRIM(SUBSTITUTE(AX43,CHAR(160),""))),0))),0))=0,"",(IFERROR(_xlfn.IFS($BA43="Devis 1",(IFERROR(VALUE(TRIM(SUBSTITUTE(AR43,CHAR(160),""))),0)),$BA43="Devis 2",(IFERROR(VALUE(TRIM(SUBSTITUTE(AU43,CHAR(160),""))),0)),$BA43="Devis 3",(IFERROR(VALUE(TRIM(SUBSTITUTE(AX43,CHAR(160),""))),0))),0))))</f>
        <v/>
      </c>
      <c r="BG43" s="455" t="str" cm="1">
        <f t="array" ref="BG43">IF(AS43="","",IF((IFERROR(_xlfn.IFS($BA43="Devis 1",(IFERROR(VALUE(TRIM(SUBSTITUTE(AS43,CHAR(160),""))),0)),$BA43="Devis 2",(IFERROR(VALUE(TRIM(SUBSTITUTE(AV43,CHAR(160),""))),0)),$BA43="Devis 3",(IFERROR(VALUE(TRIM(SUBSTITUTE(AY43,CHAR(160),""))),0))),0))=0,"",(IFERROR(_xlfn.IFS($BA43="Devis 1",(IFERROR(VALUE(TRIM(SUBSTITUTE(AS43,CHAR(160),""))),0)),$BA43="Devis 2",(IFERROR(VALUE(TRIM(SUBSTITUTE(AV43,CHAR(160),""))),0)),$BA43="Devis 3",(IFERROR(VALUE(TRIM(SUBSTITUTE(AY43,CHAR(160),""))),0))),0))))</f>
        <v/>
      </c>
      <c r="BH43" s="826" t="str" cm="1">
        <f t="array" ref="BH43">IF(AT43="","",IF(IFERROR(_xlfn.IFS($BA43="Devis 1",IFERROR(VALUE(TRIM(SUBSTITUTE(AT43,CHAR(160),""))),0),$BA43="Devis 2",IFERROR(VALUE(TRIM(SUBSTITUTE(AW43,CHAR(160),""))),0),$BA43="Devis 3",IFERROR(VALUE(TRIM(SUBSTITUTE(AZ43,CHAR(160),""))),0)),0)=0,"",IFERROR(_xlfn.IFS($BA43="Devis 1",IFERROR(VALUE(TRIM(SUBSTITUTE(AT43,CHAR(160),""))),0),$BA43="Devis 2",IFERROR(VALUE(TRIM(SUBSTITUTE(AW43,CHAR(160),""))),0),$BA43="Devis 3",IFERROR(VALUE(TRIM(SUBSTITUTE(AZ43,CHAR(160),""))),0)),0)))</f>
        <v/>
      </c>
      <c r="BI43" s="832" t="str">
        <f t="shared" si="28"/>
        <v/>
      </c>
      <c r="BJ43" s="455"/>
      <c r="BK43" s="831"/>
      <c r="BL43" s="455"/>
      <c r="BM43" s="831"/>
      <c r="BN43" s="830">
        <f t="shared" si="31"/>
        <v>0</v>
      </c>
      <c r="BO43" s="676" t="str">
        <f t="shared" si="17"/>
        <v/>
      </c>
      <c r="BP43" s="1330"/>
      <c r="BQ43" s="216" t="str" cm="1">
        <f t="array" ref="BQ43">IF(OR(BH43="",BE43="",BF43="",BC43="",BG43="",BD43=""),"",_xlfn.IFS(
ROUND(IFERROR(VALUE(TRIM(SUBSTITUTE(BH43,CHAR(160),""))),0),2)&gt;
ROUND(IFERROR(VALUE(TRIM(SUBSTITUTE(BE43,CHAR(160),""))),0),2),
"KO : Le montant retenu TTC est supérieur au montant raisonnable TTC. Merci de revoir la ligne de dépense ou plafonner son montant.",
ROUND(IFERROR(VALUE(TRIM(SUBSTITUTE(BF43,CHAR(160),""))),0),2)&gt;
ROUND(IFERROR(VALUE(TRIM(SUBSTITUTE(BC43,CHAR(160),""))),0),2),
"Attention : Le montant retenu HT est supérieur au montant HT raisonnable. Merci de revoir la ligne de dépense, plafonner son montant, ou justifier la reventillation HT / TVA.",
ROUND(IFERROR(VALUE(TRIM(SUBSTITUTE(BG43,CHAR(160),""))),0),2)&gt;
ROUND(IFERROR(VALUE(TRIM(SUBSTITUTE(BD43,CHAR(160),""))),0),2),
"Attention : Le montant TVA retenu est supérieur au montant TVA raisonnable. Merci de revoir la ligne de dépense, plafonner son montant, ou justifier la reventillation HT / TVA.",
ROUND(IFERROR(VALUE(TRIM(SUBSTITUTE(BH43,CHAR(160),""))),0),2)&gt;
ROUND(IFERROR(VALUE(TRIM(SUBSTITUTE(MIN(O43,R43,U43),CHAR(160),""))),0),2),
"Attention : Le devis retenu n'est pas le moins cher. Une justification de la part du porteur est nécessaire.",
ROUND(IFERROR(VALUE(TRIM(SUBSTITUTE(BH43,CHAR(160),""))),0),2)=0,
"Attention : montant présenté entièrement écarté",
ROUND(IFERROR(VALUE(TRIM(SUBSTITUTE(BE43,CHAR(160),""))),0),2)=
ROUND(IFERROR(VALUE(TRIM(SUBSTITUTE(BH43,CHAR(160),""))),0),2),
"OK",
ROUND(IFERROR(VALUE(TRIM(SUBSTITUTE(BE43,CHAR(160),""))),0),2)&gt;
ROUND(IFERROR(VALUE(TRIM(SUBSTITUTE(BH43,CHAR(160),""))),0),2),
" OK : Montant instruit inférieur au montant raisonnable.",
TRUE,""
))</f>
        <v/>
      </c>
      <c r="BR43" s="216" t="str" cm="1">
        <f t="array" ref="BR43">IF(OR(BH43="",Y43="",BF43="",W43="",BG43="",X43=""),"",_xlfn.IFS(
ROUND(IFERROR(VALUE(TRIM(SUBSTITUTE(BH43,CHAR(160),""))),0),2)&gt;
ROUND(IFERROR(VALUE(TRIM(SUBSTITUTE(Y43,CHAR(160),""))),0),2),
"KO : Le montant retenu TTC est supérieur au montant présenté TTC. Merci de revoir la ligne de dépense ou plafonner son montant.",
ROUND(IFERROR(VALUE(TRIM(SUBSTITUTE(BF43,CHAR(160),""))),0),2)&gt;
ROUND(IFERROR(VALUE(TRIM(SUBSTITUTE(W43,CHAR(160),""))),0),2),
"Attention : Le montant retenu HT est supérieur au montant HT présenté. Merci de revoir la ligne de dépense, plafonner son montant, ou justifier la reventillation HT / TVA.",
ROUND(IFERROR(VALUE(TRIM(SUBSTITUTE(BG43,CHAR(160),""))),0),2)&gt;
ROUND(IFERROR(VALUE(TRIM(SUBSTITUTE(X43,CHAR(160),""))),0),2),
"Attention : Le montant TVA retenu est supérieur au montant TVA présenté. Merci de revoir la ligne de dépense, plafonner son montant, ou justifier la reventillation HT / TVA.",
ROUND(IFERROR(VALUE(TRIM(SUBSTITUTE(Y43,CHAR(160),""))),0),2)=0,
"",
ROUND(IFERROR(VALUE(TRIM(SUBSTITUTE(BH43,CHAR(160),""))),0),2)=
ROUND(IFERROR(VALUE(TRIM(SUBSTITUTE(Y43,CHAR(160),""))),0),2),
"OK",
ROUND(IFERROR(VALUE(TRIM(SUBSTITUTE(BH43,CHAR(160),""))),0),2)=0,
"Attention : Montant présenté entièrement rejeté.",
ROUND(IFERROR(VALUE(TRIM(SUBSTITUTE(BH43,CHAR(160),""))),0),2)&lt;
ROUND(IFERROR(VALUE(TRIM(SUBSTITUTE(Y43,CHAR(160),""))),0),2),
"Attention : Montant présenté partiellement rejeté.",
TRUE,""
))</f>
        <v/>
      </c>
      <c r="BS43" s="1331" t="str" cm="1">
        <f t="array" ref="BS43">IF(OR(BN43="",AE43=""),"",_xlfn.IFS(
ROUND(IFERROR(VALUE(TRIM(SUBSTITUTE(BN43,CHAR(160),""))),0),2)&gt;
ROUND(IFERROR(VALUE(TRIM(SUBSTITUTE(AE43,CHAR(160),""))),0),2),
"KO : Le montant retenu est supérieur au montant présenté. Merci de revoir la ligne de contributions ou plafonner son montant.",
ROUND(IFERROR(VALUE(TRIM(SUBSTITUTE(AE43,CHAR(160),""))),0),2)=0,
"",
ROUND(IFERROR(VALUE(TRIM(SUBSTITUTE(BN43,CHAR(160),""))),0),2)=
ROUND(IFERROR(VALUE(TRIM(SUBSTITUTE(AE43,CHAR(160),""))),0),2),
"OK",
ROUND(IFERROR(VALUE(TRIM(SUBSTITUTE(BN43,CHAR(160),""))),0),2)=0,
"Attention : Montant présenté entièrement rejeté.",
ROUND(IFERROR(VALUE(TRIM(SUBSTITUTE(BN43,CHAR(160),""))),0),2)&lt;
ROUND(IFERROR(VALUE(TRIM(SUBSTITUTE(AE43,CHAR(160),""))),0),2),
"Attention : Montant présenté partiellement rejeté.",
TRUE,""
))</f>
        <v/>
      </c>
      <c r="BT43" s="674" t="str">
        <f t="shared" si="18"/>
        <v/>
      </c>
      <c r="BU43" s="673" t="str">
        <f t="shared" si="19"/>
        <v/>
      </c>
      <c r="BV43" s="1351" t="str">
        <f t="shared" si="20"/>
        <v/>
      </c>
    </row>
    <row r="44" spans="2:74" ht="14.1" customHeight="1">
      <c r="B44" s="498">
        <v>35</v>
      </c>
      <c r="C44" s="119"/>
      <c r="D44" s="11"/>
      <c r="E44" s="6"/>
      <c r="F44" s="28"/>
      <c r="G44" s="6"/>
      <c r="H44" s="6"/>
      <c r="I44" s="30"/>
      <c r="J44" s="30"/>
      <c r="K44" s="30"/>
      <c r="L44" s="31"/>
      <c r="M44" s="440"/>
      <c r="N44" s="33"/>
      <c r="O44" s="321" t="str">
        <f t="shared" si="32"/>
        <v/>
      </c>
      <c r="P44" s="32"/>
      <c r="Q44" s="33"/>
      <c r="R44" s="299" t="str">
        <f t="shared" si="33"/>
        <v/>
      </c>
      <c r="S44" s="34"/>
      <c r="T44" s="33"/>
      <c r="U44" s="299" t="str">
        <f t="shared" si="1"/>
        <v/>
      </c>
      <c r="V44" s="439"/>
      <c r="W44" s="441" t="str" cm="1">
        <f t="array" ref="W44">IF((_xlfn.IFS(TRIM(SUBSTITUTE(V44,CHAR(160),""))="Devis 1",IFERROR(VALUE(TRIM(SUBSTITUTE(M44,CHAR(160),""))),0),TRIM(SUBSTITUTE(V44,CHAR(160),""))="Devis 2",IFERROR(VALUE(TRIM(SUBSTITUTE(P44,CHAR(160),""))),0),TRIM(SUBSTITUTE(V44,CHAR(160),""))="Devis 3",IFERROR(VALUE(TRIM(SUBSTITUTE(S44,CHAR(160),""))),0),TRUE,0))=0,"",_xlfn.IFS(TRIM(SUBSTITUTE(V44,CHAR(160),""))="Devis 1",IFERROR(VALUE(TRIM(SUBSTITUTE(M44,CHAR(160),""))),0),TRIM(SUBSTITUTE(V44,CHAR(160),""))="Devis 2",IFERROR(VALUE(TRIM(SUBSTITUTE(P44,CHAR(160),""))),0),TRIM(SUBSTITUTE(V44,CHAR(160),""))="Devis 3",IFERROR(VALUE(TRIM(SUBSTITUTE(S44,CHAR(160),""))),0),TRUE,0))</f>
        <v/>
      </c>
      <c r="X44" s="441" t="str" cm="1">
        <f t="array" ref="X44">IF((_xlfn.IFS(TRIM(SUBSTITUTE(V44,CHAR(160),""))="Devis 1",IFERROR(VALUE(TRIM(SUBSTITUTE(N44,CHAR(160),""))),0),TRIM(SUBSTITUTE(V44,CHAR(160),""))="Devis 2",IFERROR(VALUE(TRIM(SUBSTITUTE(Q44,CHAR(160),""))),0),TRIM(SUBSTITUTE(V44,CHAR(160),""))="Devis 3",IFERROR(VALUE(TRIM(SUBSTITUTE(T44,CHAR(160),""))),0),TRUE,0))=0,"",_xlfn.IFS(TRIM(SUBSTITUTE(V44,CHAR(160),""))="Devis 1",IFERROR(VALUE(TRIM(SUBSTITUTE(N44,CHAR(160),""))),0),TRIM(SUBSTITUTE(V44,CHAR(160),""))="Devis 2",IFERROR(VALUE(TRIM(SUBSTITUTE(Q44,CHAR(160),""))),0),TRIM(SUBSTITUTE(V44,CHAR(160),""))="Devis 3",IFERROR(VALUE(TRIM(SUBSTITUTE(T44,CHAR(160),""))),0),TRUE,0))</f>
        <v/>
      </c>
      <c r="Y44" s="815" t="str" cm="1">
        <f t="array" ref="Y44">IF((_xlfn.IFS(TRIM(SUBSTITUTE(V44,CHAR(160),""))="Devis 1",IFERROR(VALUE(TRIM(SUBSTITUTE(O44,CHAR(160),""))),0),TRIM(SUBSTITUTE(V44,CHAR(160),""))="Devis 2",IFERROR(VALUE(TRIM(SUBSTITUTE(R44,CHAR(160),""))),0),TRIM(SUBSTITUTE(V44,CHAR(160),""))="Devis 3",IFERROR(VALUE(TRIM(SUBSTITUTE(U44,CHAR(160),""))),0),TRUE,0))=0,"",_xlfn.IFS(TRIM(SUBSTITUTE(V44,CHAR(160),""))="Devis 1",IFERROR(VALUE(TRIM(SUBSTITUTE(O44,CHAR(160),""))),0),TRIM(SUBSTITUTE(V44,CHAR(160),""))="Devis 2",IFERROR(VALUE(TRIM(SUBSTITUTE(R44,CHAR(160),""))),0),TRIM(SUBSTITUTE(V44,CHAR(160),""))="Devis 3",IFERROR(VALUE(TRIM(SUBSTITUTE(U44,CHAR(160),""))),0),TRUE,0))</f>
        <v/>
      </c>
      <c r="Z44" s="850"/>
      <c r="AA44" s="817" t="str" cm="1">
        <f t="array" ref="AA44">IF(Z44="","",_xlfn.IFS(Z44=$BZ$5,70,Z44=$BZ$6,90,Z44=$BZ$7,70,Z44=$BZ$8,90,Z44=$BZ$9,110))</f>
        <v/>
      </c>
      <c r="AB44" s="627"/>
      <c r="AC44" s="817" t="str" cm="1">
        <f t="array" ref="AC44">IF(Z44="","",_xlfn.IFS(Z44=$BZ$5,15.75,Z44=$BZ$6,21,Z44=$BZ$7,15.25,Z44=$BZ$8,15.25,Z44=$BZ$9,15.25))</f>
        <v/>
      </c>
      <c r="AD44" s="818"/>
      <c r="AE44" s="830">
        <f t="shared" si="34"/>
        <v>0</v>
      </c>
      <c r="AF44" s="819" t="str">
        <f t="shared" si="35"/>
        <v/>
      </c>
      <c r="AG44" s="26"/>
      <c r="AH44" s="466" t="str">
        <f t="shared" si="2"/>
        <v/>
      </c>
      <c r="AI44" s="1414" t="str">
        <f t="shared" si="21"/>
        <v/>
      </c>
      <c r="AJ44" s="452" t="str">
        <f t="shared" si="4"/>
        <v/>
      </c>
      <c r="AK44" s="28"/>
      <c r="AL44" s="664" t="str">
        <f t="shared" si="5"/>
        <v/>
      </c>
      <c r="AM44" s="452" t="str">
        <f t="shared" si="6"/>
        <v/>
      </c>
      <c r="AN44" s="452" t="str">
        <f t="shared" si="22"/>
        <v/>
      </c>
      <c r="AO44" s="452" t="str">
        <f t="shared" si="23"/>
        <v/>
      </c>
      <c r="AP44" s="452" t="str">
        <f t="shared" si="24"/>
        <v/>
      </c>
      <c r="AQ44" s="452" t="str">
        <f t="shared" si="7"/>
        <v/>
      </c>
      <c r="AR44" s="478" t="str">
        <f t="shared" si="8"/>
        <v/>
      </c>
      <c r="AS44" s="453" t="str">
        <f t="shared" si="9"/>
        <v/>
      </c>
      <c r="AT44" s="479" t="str">
        <f t="shared" si="29"/>
        <v/>
      </c>
      <c r="AU44" s="453" t="str">
        <f t="shared" si="10"/>
        <v/>
      </c>
      <c r="AV44" s="453" t="str">
        <f t="shared" si="30"/>
        <v/>
      </c>
      <c r="AW44" s="480" t="str">
        <f t="shared" si="25"/>
        <v/>
      </c>
      <c r="AX44" s="453" t="str">
        <f t="shared" si="11"/>
        <v/>
      </c>
      <c r="AY44" s="453" t="str">
        <f t="shared" si="12"/>
        <v/>
      </c>
      <c r="AZ44" s="480" t="str">
        <f t="shared" si="26"/>
        <v/>
      </c>
      <c r="BA44" s="424" t="str">
        <f t="shared" si="13"/>
        <v/>
      </c>
      <c r="BB44" s="454"/>
      <c r="BC44" s="424" t="str">
        <f t="shared" si="14"/>
        <v/>
      </c>
      <c r="BD44" s="424" t="str">
        <f t="shared" si="15"/>
        <v/>
      </c>
      <c r="BE44" s="424" t="str">
        <f t="shared" si="27"/>
        <v/>
      </c>
      <c r="BF44" s="455" t="str" cm="1">
        <f t="array" ref="BF44">IF(AR44="","",IF((IFERROR(_xlfn.IFS($BA44="Devis 1",(IFERROR(VALUE(TRIM(SUBSTITUTE(AR44,CHAR(160),""))),0)),$BA44="Devis 2",(IFERROR(VALUE(TRIM(SUBSTITUTE(AU44,CHAR(160),""))),0)),$BA44="Devis 3",(IFERROR(VALUE(TRIM(SUBSTITUTE(AX44,CHAR(160),""))),0))),0))=0,"",(IFERROR(_xlfn.IFS($BA44="Devis 1",(IFERROR(VALUE(TRIM(SUBSTITUTE(AR44,CHAR(160),""))),0)),$BA44="Devis 2",(IFERROR(VALUE(TRIM(SUBSTITUTE(AU44,CHAR(160),""))),0)),$BA44="Devis 3",(IFERROR(VALUE(TRIM(SUBSTITUTE(AX44,CHAR(160),""))),0))),0))))</f>
        <v/>
      </c>
      <c r="BG44" s="455" t="str" cm="1">
        <f t="array" ref="BG44">IF(AS44="","",IF((IFERROR(_xlfn.IFS($BA44="Devis 1",(IFERROR(VALUE(TRIM(SUBSTITUTE(AS44,CHAR(160),""))),0)),$BA44="Devis 2",(IFERROR(VALUE(TRIM(SUBSTITUTE(AV44,CHAR(160),""))),0)),$BA44="Devis 3",(IFERROR(VALUE(TRIM(SUBSTITUTE(AY44,CHAR(160),""))),0))),0))=0,"",(IFERROR(_xlfn.IFS($BA44="Devis 1",(IFERROR(VALUE(TRIM(SUBSTITUTE(AS44,CHAR(160),""))),0)),$BA44="Devis 2",(IFERROR(VALUE(TRIM(SUBSTITUTE(AV44,CHAR(160),""))),0)),$BA44="Devis 3",(IFERROR(VALUE(TRIM(SUBSTITUTE(AY44,CHAR(160),""))),0))),0))))</f>
        <v/>
      </c>
      <c r="BH44" s="826" t="str" cm="1">
        <f t="array" ref="BH44">IF(AT44="","",IF(IFERROR(_xlfn.IFS($BA44="Devis 1",IFERROR(VALUE(TRIM(SUBSTITUTE(AT44,CHAR(160),""))),0),$BA44="Devis 2",IFERROR(VALUE(TRIM(SUBSTITUTE(AW44,CHAR(160),""))),0),$BA44="Devis 3",IFERROR(VALUE(TRIM(SUBSTITUTE(AZ44,CHAR(160),""))),0)),0)=0,"",IFERROR(_xlfn.IFS($BA44="Devis 1",IFERROR(VALUE(TRIM(SUBSTITUTE(AT44,CHAR(160),""))),0),$BA44="Devis 2",IFERROR(VALUE(TRIM(SUBSTITUTE(AW44,CHAR(160),""))),0),$BA44="Devis 3",IFERROR(VALUE(TRIM(SUBSTITUTE(AZ44,CHAR(160),""))),0)),0)))</f>
        <v/>
      </c>
      <c r="BI44" s="832" t="str">
        <f t="shared" si="28"/>
        <v/>
      </c>
      <c r="BJ44" s="455"/>
      <c r="BK44" s="831"/>
      <c r="BL44" s="455"/>
      <c r="BM44" s="831"/>
      <c r="BN44" s="830">
        <f t="shared" si="31"/>
        <v>0</v>
      </c>
      <c r="BO44" s="676" t="str">
        <f t="shared" si="17"/>
        <v/>
      </c>
      <c r="BP44" s="1330"/>
      <c r="BQ44" s="216" t="str" cm="1">
        <f t="array" ref="BQ44">IF(OR(BH44="",BE44="",BF44="",BC44="",BG44="",BD44=""),"",_xlfn.IFS(
ROUND(IFERROR(VALUE(TRIM(SUBSTITUTE(BH44,CHAR(160),""))),0),2)&gt;
ROUND(IFERROR(VALUE(TRIM(SUBSTITUTE(BE44,CHAR(160),""))),0),2),
"KO : Le montant retenu TTC est supérieur au montant raisonnable TTC. Merci de revoir la ligne de dépense ou plafonner son montant.",
ROUND(IFERROR(VALUE(TRIM(SUBSTITUTE(BF44,CHAR(160),""))),0),2)&gt;
ROUND(IFERROR(VALUE(TRIM(SUBSTITUTE(BC44,CHAR(160),""))),0),2),
"Attention : Le montant retenu HT est supérieur au montant HT raisonnable. Merci de revoir la ligne de dépense, plafonner son montant, ou justifier la reventillation HT / TVA.",
ROUND(IFERROR(VALUE(TRIM(SUBSTITUTE(BG44,CHAR(160),""))),0),2)&gt;
ROUND(IFERROR(VALUE(TRIM(SUBSTITUTE(BD44,CHAR(160),""))),0),2),
"Attention : Le montant TVA retenu est supérieur au montant TVA raisonnable. Merci de revoir la ligne de dépense, plafonner son montant, ou justifier la reventillation HT / TVA.",
ROUND(IFERROR(VALUE(TRIM(SUBSTITUTE(BH44,CHAR(160),""))),0),2)&gt;
ROUND(IFERROR(VALUE(TRIM(SUBSTITUTE(MIN(O44,R44,U44),CHAR(160),""))),0),2),
"Attention : Le devis retenu n'est pas le moins cher. Une justification de la part du porteur est nécessaire.",
ROUND(IFERROR(VALUE(TRIM(SUBSTITUTE(BH44,CHAR(160),""))),0),2)=0,
"Attention : montant présenté entièrement écarté",
ROUND(IFERROR(VALUE(TRIM(SUBSTITUTE(BE44,CHAR(160),""))),0),2)=
ROUND(IFERROR(VALUE(TRIM(SUBSTITUTE(BH44,CHAR(160),""))),0),2),
"OK",
ROUND(IFERROR(VALUE(TRIM(SUBSTITUTE(BE44,CHAR(160),""))),0),2)&gt;
ROUND(IFERROR(VALUE(TRIM(SUBSTITUTE(BH44,CHAR(160),""))),0),2),
" OK : Montant instruit inférieur au montant raisonnable.",
TRUE,""
))</f>
        <v/>
      </c>
      <c r="BR44" s="216" t="str" cm="1">
        <f t="array" ref="BR44">IF(OR(BH44="",Y44="",BF44="",W44="",BG44="",X44=""),"",_xlfn.IFS(
ROUND(IFERROR(VALUE(TRIM(SUBSTITUTE(BH44,CHAR(160),""))),0),2)&gt;
ROUND(IFERROR(VALUE(TRIM(SUBSTITUTE(Y44,CHAR(160),""))),0),2),
"KO : Le montant retenu TTC est supérieur au montant présenté TTC. Merci de revoir la ligne de dépense ou plafonner son montant.",
ROUND(IFERROR(VALUE(TRIM(SUBSTITUTE(BF44,CHAR(160),""))),0),2)&gt;
ROUND(IFERROR(VALUE(TRIM(SUBSTITUTE(W44,CHAR(160),""))),0),2),
"Attention : Le montant retenu HT est supérieur au montant HT présenté. Merci de revoir la ligne de dépense, plafonner son montant, ou justifier la reventillation HT / TVA.",
ROUND(IFERROR(VALUE(TRIM(SUBSTITUTE(BG44,CHAR(160),""))),0),2)&gt;
ROUND(IFERROR(VALUE(TRIM(SUBSTITUTE(X44,CHAR(160),""))),0),2),
"Attention : Le montant TVA retenu est supérieur au montant TVA présenté. Merci de revoir la ligne de dépense, plafonner son montant, ou justifier la reventillation HT / TVA.",
ROUND(IFERROR(VALUE(TRIM(SUBSTITUTE(Y44,CHAR(160),""))),0),2)=0,
"",
ROUND(IFERROR(VALUE(TRIM(SUBSTITUTE(BH44,CHAR(160),""))),0),2)=
ROUND(IFERROR(VALUE(TRIM(SUBSTITUTE(Y44,CHAR(160),""))),0),2),
"OK",
ROUND(IFERROR(VALUE(TRIM(SUBSTITUTE(BH44,CHAR(160),""))),0),2)=0,
"Attention : Montant présenté entièrement rejeté.",
ROUND(IFERROR(VALUE(TRIM(SUBSTITUTE(BH44,CHAR(160),""))),0),2)&lt;
ROUND(IFERROR(VALUE(TRIM(SUBSTITUTE(Y44,CHAR(160),""))),0),2),
"Attention : Montant présenté partiellement rejeté.",
TRUE,""
))</f>
        <v/>
      </c>
      <c r="BS44" s="1331" t="str" cm="1">
        <f t="array" ref="BS44">IF(OR(BN44="",AE44=""),"",_xlfn.IFS(
ROUND(IFERROR(VALUE(TRIM(SUBSTITUTE(BN44,CHAR(160),""))),0),2)&gt;
ROUND(IFERROR(VALUE(TRIM(SUBSTITUTE(AE44,CHAR(160),""))),0),2),
"KO : Le montant retenu est supérieur au montant présenté. Merci de revoir la ligne de contributions ou plafonner son montant.",
ROUND(IFERROR(VALUE(TRIM(SUBSTITUTE(AE44,CHAR(160),""))),0),2)=0,
"",
ROUND(IFERROR(VALUE(TRIM(SUBSTITUTE(BN44,CHAR(160),""))),0),2)=
ROUND(IFERROR(VALUE(TRIM(SUBSTITUTE(AE44,CHAR(160),""))),0),2),
"OK",
ROUND(IFERROR(VALUE(TRIM(SUBSTITUTE(BN44,CHAR(160),""))),0),2)=0,
"Attention : Montant présenté entièrement rejeté.",
ROUND(IFERROR(VALUE(TRIM(SUBSTITUTE(BN44,CHAR(160),""))),0),2)&lt;
ROUND(IFERROR(VALUE(TRIM(SUBSTITUTE(AE44,CHAR(160),""))),0),2),
"Attention : Montant présenté partiellement rejeté.",
TRUE,""
))</f>
        <v/>
      </c>
      <c r="BT44" s="674" t="str">
        <f t="shared" si="18"/>
        <v/>
      </c>
      <c r="BU44" s="673" t="str">
        <f t="shared" si="19"/>
        <v/>
      </c>
      <c r="BV44" s="1351" t="str">
        <f t="shared" si="20"/>
        <v/>
      </c>
    </row>
    <row r="45" spans="2:74" ht="14.1" customHeight="1">
      <c r="B45" s="498">
        <v>36</v>
      </c>
      <c r="C45" s="119"/>
      <c r="D45" s="11"/>
      <c r="E45" s="6"/>
      <c r="F45" s="28"/>
      <c r="G45" s="6"/>
      <c r="H45" s="6"/>
      <c r="I45" s="30"/>
      <c r="J45" s="30"/>
      <c r="K45" s="30"/>
      <c r="L45" s="31"/>
      <c r="M45" s="440"/>
      <c r="N45" s="33"/>
      <c r="O45" s="321" t="str">
        <f t="shared" si="32"/>
        <v/>
      </c>
      <c r="P45" s="32"/>
      <c r="Q45" s="33"/>
      <c r="R45" s="299" t="str">
        <f t="shared" si="33"/>
        <v/>
      </c>
      <c r="S45" s="34"/>
      <c r="T45" s="33"/>
      <c r="U45" s="299" t="str">
        <f t="shared" si="1"/>
        <v/>
      </c>
      <c r="V45" s="439"/>
      <c r="W45" s="441" t="str" cm="1">
        <f t="array" ref="W45">IF((_xlfn.IFS(TRIM(SUBSTITUTE(V45,CHAR(160),""))="Devis 1",IFERROR(VALUE(TRIM(SUBSTITUTE(M45,CHAR(160),""))),0),TRIM(SUBSTITUTE(V45,CHAR(160),""))="Devis 2",IFERROR(VALUE(TRIM(SUBSTITUTE(P45,CHAR(160),""))),0),TRIM(SUBSTITUTE(V45,CHAR(160),""))="Devis 3",IFERROR(VALUE(TRIM(SUBSTITUTE(S45,CHAR(160),""))),0),TRUE,0))=0,"",_xlfn.IFS(TRIM(SUBSTITUTE(V45,CHAR(160),""))="Devis 1",IFERROR(VALUE(TRIM(SUBSTITUTE(M45,CHAR(160),""))),0),TRIM(SUBSTITUTE(V45,CHAR(160),""))="Devis 2",IFERROR(VALUE(TRIM(SUBSTITUTE(P45,CHAR(160),""))),0),TRIM(SUBSTITUTE(V45,CHAR(160),""))="Devis 3",IFERROR(VALUE(TRIM(SUBSTITUTE(S45,CHAR(160),""))),0),TRUE,0))</f>
        <v/>
      </c>
      <c r="X45" s="441" t="str" cm="1">
        <f t="array" ref="X45">IF((_xlfn.IFS(TRIM(SUBSTITUTE(V45,CHAR(160),""))="Devis 1",IFERROR(VALUE(TRIM(SUBSTITUTE(N45,CHAR(160),""))),0),TRIM(SUBSTITUTE(V45,CHAR(160),""))="Devis 2",IFERROR(VALUE(TRIM(SUBSTITUTE(Q45,CHAR(160),""))),0),TRIM(SUBSTITUTE(V45,CHAR(160),""))="Devis 3",IFERROR(VALUE(TRIM(SUBSTITUTE(T45,CHAR(160),""))),0),TRUE,0))=0,"",_xlfn.IFS(TRIM(SUBSTITUTE(V45,CHAR(160),""))="Devis 1",IFERROR(VALUE(TRIM(SUBSTITUTE(N45,CHAR(160),""))),0),TRIM(SUBSTITUTE(V45,CHAR(160),""))="Devis 2",IFERROR(VALUE(TRIM(SUBSTITUTE(Q45,CHAR(160),""))),0),TRIM(SUBSTITUTE(V45,CHAR(160),""))="Devis 3",IFERROR(VALUE(TRIM(SUBSTITUTE(T45,CHAR(160),""))),0),TRUE,0))</f>
        <v/>
      </c>
      <c r="Y45" s="815" t="str" cm="1">
        <f t="array" ref="Y45">IF((_xlfn.IFS(TRIM(SUBSTITUTE(V45,CHAR(160),""))="Devis 1",IFERROR(VALUE(TRIM(SUBSTITUTE(O45,CHAR(160),""))),0),TRIM(SUBSTITUTE(V45,CHAR(160),""))="Devis 2",IFERROR(VALUE(TRIM(SUBSTITUTE(R45,CHAR(160),""))),0),TRIM(SUBSTITUTE(V45,CHAR(160),""))="Devis 3",IFERROR(VALUE(TRIM(SUBSTITUTE(U45,CHAR(160),""))),0),TRUE,0))=0,"",_xlfn.IFS(TRIM(SUBSTITUTE(V45,CHAR(160),""))="Devis 1",IFERROR(VALUE(TRIM(SUBSTITUTE(O45,CHAR(160),""))),0),TRIM(SUBSTITUTE(V45,CHAR(160),""))="Devis 2",IFERROR(VALUE(TRIM(SUBSTITUTE(R45,CHAR(160),""))),0),TRIM(SUBSTITUTE(V45,CHAR(160),""))="Devis 3",IFERROR(VALUE(TRIM(SUBSTITUTE(U45,CHAR(160),""))),0),TRUE,0))</f>
        <v/>
      </c>
      <c r="Z45" s="850"/>
      <c r="AA45" s="817" t="str" cm="1">
        <f t="array" ref="AA45">IF(Z45="","",_xlfn.IFS(Z45=$BZ$5,70,Z45=$BZ$6,90,Z45=$BZ$7,70,Z45=$BZ$8,90,Z45=$BZ$9,110))</f>
        <v/>
      </c>
      <c r="AB45" s="627"/>
      <c r="AC45" s="817" t="str" cm="1">
        <f t="array" ref="AC45">IF(Z45="","",_xlfn.IFS(Z45=$BZ$5,15.75,Z45=$BZ$6,21,Z45=$BZ$7,15.25,Z45=$BZ$8,15.25,Z45=$BZ$9,15.25))</f>
        <v/>
      </c>
      <c r="AD45" s="818"/>
      <c r="AE45" s="830">
        <f t="shared" si="34"/>
        <v>0</v>
      </c>
      <c r="AF45" s="819" t="str">
        <f t="shared" si="35"/>
        <v/>
      </c>
      <c r="AG45" s="26"/>
      <c r="AH45" s="466" t="str">
        <f t="shared" si="2"/>
        <v/>
      </c>
      <c r="AI45" s="1414" t="str">
        <f t="shared" si="21"/>
        <v/>
      </c>
      <c r="AJ45" s="452" t="str">
        <f t="shared" si="4"/>
        <v/>
      </c>
      <c r="AK45" s="28"/>
      <c r="AL45" s="664" t="str">
        <f t="shared" si="5"/>
        <v/>
      </c>
      <c r="AM45" s="452" t="str">
        <f t="shared" si="6"/>
        <v/>
      </c>
      <c r="AN45" s="452" t="str">
        <f t="shared" si="22"/>
        <v/>
      </c>
      <c r="AO45" s="452" t="str">
        <f t="shared" si="23"/>
        <v/>
      </c>
      <c r="AP45" s="452" t="str">
        <f t="shared" si="24"/>
        <v/>
      </c>
      <c r="AQ45" s="452" t="str">
        <f t="shared" si="7"/>
        <v/>
      </c>
      <c r="AR45" s="478" t="str">
        <f t="shared" si="8"/>
        <v/>
      </c>
      <c r="AS45" s="453" t="str">
        <f t="shared" si="9"/>
        <v/>
      </c>
      <c r="AT45" s="479" t="str">
        <f t="shared" si="29"/>
        <v/>
      </c>
      <c r="AU45" s="453" t="str">
        <f t="shared" si="10"/>
        <v/>
      </c>
      <c r="AV45" s="453" t="str">
        <f t="shared" si="30"/>
        <v/>
      </c>
      <c r="AW45" s="480" t="str">
        <f t="shared" si="25"/>
        <v/>
      </c>
      <c r="AX45" s="453" t="str">
        <f t="shared" si="11"/>
        <v/>
      </c>
      <c r="AY45" s="453" t="str">
        <f t="shared" si="12"/>
        <v/>
      </c>
      <c r="AZ45" s="480" t="str">
        <f t="shared" si="26"/>
        <v/>
      </c>
      <c r="BA45" s="424" t="str">
        <f t="shared" si="13"/>
        <v/>
      </c>
      <c r="BB45" s="454"/>
      <c r="BC45" s="424" t="str">
        <f t="shared" si="14"/>
        <v/>
      </c>
      <c r="BD45" s="424" t="str">
        <f t="shared" si="15"/>
        <v/>
      </c>
      <c r="BE45" s="424" t="str">
        <f t="shared" si="27"/>
        <v/>
      </c>
      <c r="BF45" s="455" t="str" cm="1">
        <f t="array" ref="BF45">IF(AR45="","",IF((IFERROR(_xlfn.IFS($BA45="Devis 1",(IFERROR(VALUE(TRIM(SUBSTITUTE(AR45,CHAR(160),""))),0)),$BA45="Devis 2",(IFERROR(VALUE(TRIM(SUBSTITUTE(AU45,CHAR(160),""))),0)),$BA45="Devis 3",(IFERROR(VALUE(TRIM(SUBSTITUTE(AX45,CHAR(160),""))),0))),0))=0,"",(IFERROR(_xlfn.IFS($BA45="Devis 1",(IFERROR(VALUE(TRIM(SUBSTITUTE(AR45,CHAR(160),""))),0)),$BA45="Devis 2",(IFERROR(VALUE(TRIM(SUBSTITUTE(AU45,CHAR(160),""))),0)),$BA45="Devis 3",(IFERROR(VALUE(TRIM(SUBSTITUTE(AX45,CHAR(160),""))),0))),0))))</f>
        <v/>
      </c>
      <c r="BG45" s="455" t="str" cm="1">
        <f t="array" ref="BG45">IF(AS45="","",IF((IFERROR(_xlfn.IFS($BA45="Devis 1",(IFERROR(VALUE(TRIM(SUBSTITUTE(AS45,CHAR(160),""))),0)),$BA45="Devis 2",(IFERROR(VALUE(TRIM(SUBSTITUTE(AV45,CHAR(160),""))),0)),$BA45="Devis 3",(IFERROR(VALUE(TRIM(SUBSTITUTE(AY45,CHAR(160),""))),0))),0))=0,"",(IFERROR(_xlfn.IFS($BA45="Devis 1",(IFERROR(VALUE(TRIM(SUBSTITUTE(AS45,CHAR(160),""))),0)),$BA45="Devis 2",(IFERROR(VALUE(TRIM(SUBSTITUTE(AV45,CHAR(160),""))),0)),$BA45="Devis 3",(IFERROR(VALUE(TRIM(SUBSTITUTE(AY45,CHAR(160),""))),0))),0))))</f>
        <v/>
      </c>
      <c r="BH45" s="826" t="str" cm="1">
        <f t="array" ref="BH45">IF(AT45="","",IF(IFERROR(_xlfn.IFS($BA45="Devis 1",IFERROR(VALUE(TRIM(SUBSTITUTE(AT45,CHAR(160),""))),0),$BA45="Devis 2",IFERROR(VALUE(TRIM(SUBSTITUTE(AW45,CHAR(160),""))),0),$BA45="Devis 3",IFERROR(VALUE(TRIM(SUBSTITUTE(AZ45,CHAR(160),""))),0)),0)=0,"",IFERROR(_xlfn.IFS($BA45="Devis 1",IFERROR(VALUE(TRIM(SUBSTITUTE(AT45,CHAR(160),""))),0),$BA45="Devis 2",IFERROR(VALUE(TRIM(SUBSTITUTE(AW45,CHAR(160),""))),0),$BA45="Devis 3",IFERROR(VALUE(TRIM(SUBSTITUTE(AZ45,CHAR(160),""))),0)),0)))</f>
        <v/>
      </c>
      <c r="BI45" s="832" t="str">
        <f t="shared" si="28"/>
        <v/>
      </c>
      <c r="BJ45" s="455"/>
      <c r="BK45" s="831"/>
      <c r="BL45" s="455"/>
      <c r="BM45" s="831"/>
      <c r="BN45" s="830">
        <f t="shared" si="31"/>
        <v>0</v>
      </c>
      <c r="BO45" s="676" t="str">
        <f t="shared" si="17"/>
        <v/>
      </c>
      <c r="BP45" s="1330"/>
      <c r="BQ45" s="216" t="str" cm="1">
        <f t="array" ref="BQ45">IF(OR(BH45="",BE45="",BF45="",BC45="",BG45="",BD45=""),"",_xlfn.IFS(
ROUND(IFERROR(VALUE(TRIM(SUBSTITUTE(BH45,CHAR(160),""))),0),2)&gt;
ROUND(IFERROR(VALUE(TRIM(SUBSTITUTE(BE45,CHAR(160),""))),0),2),
"KO : Le montant retenu TTC est supérieur au montant raisonnable TTC. Merci de revoir la ligne de dépense ou plafonner son montant.",
ROUND(IFERROR(VALUE(TRIM(SUBSTITUTE(BF45,CHAR(160),""))),0),2)&gt;
ROUND(IFERROR(VALUE(TRIM(SUBSTITUTE(BC45,CHAR(160),""))),0),2),
"Attention : Le montant retenu HT est supérieur au montant HT raisonnable. Merci de revoir la ligne de dépense, plafonner son montant, ou justifier la reventillation HT / TVA.",
ROUND(IFERROR(VALUE(TRIM(SUBSTITUTE(BG45,CHAR(160),""))),0),2)&gt;
ROUND(IFERROR(VALUE(TRIM(SUBSTITUTE(BD45,CHAR(160),""))),0),2),
"Attention : Le montant TVA retenu est supérieur au montant TVA raisonnable. Merci de revoir la ligne de dépense, plafonner son montant, ou justifier la reventillation HT / TVA.",
ROUND(IFERROR(VALUE(TRIM(SUBSTITUTE(BH45,CHAR(160),""))),0),2)&gt;
ROUND(IFERROR(VALUE(TRIM(SUBSTITUTE(MIN(O45,R45,U45),CHAR(160),""))),0),2),
"Attention : Le devis retenu n'est pas le moins cher. Une justification de la part du porteur est nécessaire.",
ROUND(IFERROR(VALUE(TRIM(SUBSTITUTE(BH45,CHAR(160),""))),0),2)=0,
"Attention : montant présenté entièrement écarté",
ROUND(IFERROR(VALUE(TRIM(SUBSTITUTE(BE45,CHAR(160),""))),0),2)=
ROUND(IFERROR(VALUE(TRIM(SUBSTITUTE(BH45,CHAR(160),""))),0),2),
"OK",
ROUND(IFERROR(VALUE(TRIM(SUBSTITUTE(BE45,CHAR(160),""))),0),2)&gt;
ROUND(IFERROR(VALUE(TRIM(SUBSTITUTE(BH45,CHAR(160),""))),0),2),
" OK : Montant instruit inférieur au montant raisonnable.",
TRUE,""
))</f>
        <v/>
      </c>
      <c r="BR45" s="216" t="str" cm="1">
        <f t="array" ref="BR45">IF(OR(BH45="",Y45="",BF45="",W45="",BG45="",X45=""),"",_xlfn.IFS(
ROUND(IFERROR(VALUE(TRIM(SUBSTITUTE(BH45,CHAR(160),""))),0),2)&gt;
ROUND(IFERROR(VALUE(TRIM(SUBSTITUTE(Y45,CHAR(160),""))),0),2),
"KO : Le montant retenu TTC est supérieur au montant présenté TTC. Merci de revoir la ligne de dépense ou plafonner son montant.",
ROUND(IFERROR(VALUE(TRIM(SUBSTITUTE(BF45,CHAR(160),""))),0),2)&gt;
ROUND(IFERROR(VALUE(TRIM(SUBSTITUTE(W45,CHAR(160),""))),0),2),
"Attention : Le montant retenu HT est supérieur au montant HT présenté. Merci de revoir la ligne de dépense, plafonner son montant, ou justifier la reventillation HT / TVA.",
ROUND(IFERROR(VALUE(TRIM(SUBSTITUTE(BG45,CHAR(160),""))),0),2)&gt;
ROUND(IFERROR(VALUE(TRIM(SUBSTITUTE(X45,CHAR(160),""))),0),2),
"Attention : Le montant TVA retenu est supérieur au montant TVA présenté. Merci de revoir la ligne de dépense, plafonner son montant, ou justifier la reventillation HT / TVA.",
ROUND(IFERROR(VALUE(TRIM(SUBSTITUTE(Y45,CHAR(160),""))),0),2)=0,
"",
ROUND(IFERROR(VALUE(TRIM(SUBSTITUTE(BH45,CHAR(160),""))),0),2)=
ROUND(IFERROR(VALUE(TRIM(SUBSTITUTE(Y45,CHAR(160),""))),0),2),
"OK",
ROUND(IFERROR(VALUE(TRIM(SUBSTITUTE(BH45,CHAR(160),""))),0),2)=0,
"Attention : Montant présenté entièrement rejeté.",
ROUND(IFERROR(VALUE(TRIM(SUBSTITUTE(BH45,CHAR(160),""))),0),2)&lt;
ROUND(IFERROR(VALUE(TRIM(SUBSTITUTE(Y45,CHAR(160),""))),0),2),
"Attention : Montant présenté partiellement rejeté.",
TRUE,""
))</f>
        <v/>
      </c>
      <c r="BS45" s="1331" t="str" cm="1">
        <f t="array" ref="BS45">IF(OR(BN45="",AE45=""),"",_xlfn.IFS(
ROUND(IFERROR(VALUE(TRIM(SUBSTITUTE(BN45,CHAR(160),""))),0),2)&gt;
ROUND(IFERROR(VALUE(TRIM(SUBSTITUTE(AE45,CHAR(160),""))),0),2),
"KO : Le montant retenu est supérieur au montant présenté. Merci de revoir la ligne de contributions ou plafonner son montant.",
ROUND(IFERROR(VALUE(TRIM(SUBSTITUTE(AE45,CHAR(160),""))),0),2)=0,
"",
ROUND(IFERROR(VALUE(TRIM(SUBSTITUTE(BN45,CHAR(160),""))),0),2)=
ROUND(IFERROR(VALUE(TRIM(SUBSTITUTE(AE45,CHAR(160),""))),0),2),
"OK",
ROUND(IFERROR(VALUE(TRIM(SUBSTITUTE(BN45,CHAR(160),""))),0),2)=0,
"Attention : Montant présenté entièrement rejeté.",
ROUND(IFERROR(VALUE(TRIM(SUBSTITUTE(BN45,CHAR(160),""))),0),2)&lt;
ROUND(IFERROR(VALUE(TRIM(SUBSTITUTE(AE45,CHAR(160),""))),0),2),
"Attention : Montant présenté partiellement rejeté.",
TRUE,""
))</f>
        <v/>
      </c>
      <c r="BT45" s="674" t="str">
        <f t="shared" si="18"/>
        <v/>
      </c>
      <c r="BU45" s="673" t="str">
        <f t="shared" si="19"/>
        <v/>
      </c>
      <c r="BV45" s="1351" t="str">
        <f t="shared" si="20"/>
        <v/>
      </c>
    </row>
    <row r="46" spans="2:74" ht="14.1" customHeight="1">
      <c r="B46" s="498">
        <v>37</v>
      </c>
      <c r="C46" s="119"/>
      <c r="D46" s="11"/>
      <c r="E46" s="6"/>
      <c r="F46" s="28"/>
      <c r="G46" s="6"/>
      <c r="H46" s="6"/>
      <c r="I46" s="30"/>
      <c r="J46" s="30"/>
      <c r="K46" s="30"/>
      <c r="L46" s="31"/>
      <c r="M46" s="440"/>
      <c r="N46" s="33"/>
      <c r="O46" s="321" t="str">
        <f t="shared" si="32"/>
        <v/>
      </c>
      <c r="P46" s="32"/>
      <c r="Q46" s="33"/>
      <c r="R46" s="299" t="str">
        <f t="shared" si="33"/>
        <v/>
      </c>
      <c r="S46" s="34"/>
      <c r="T46" s="33"/>
      <c r="U46" s="299" t="str">
        <f t="shared" si="1"/>
        <v/>
      </c>
      <c r="V46" s="439"/>
      <c r="W46" s="441" t="str" cm="1">
        <f t="array" ref="W46">IF((_xlfn.IFS(TRIM(SUBSTITUTE(V46,CHAR(160),""))="Devis 1",IFERROR(VALUE(TRIM(SUBSTITUTE(M46,CHAR(160),""))),0),TRIM(SUBSTITUTE(V46,CHAR(160),""))="Devis 2",IFERROR(VALUE(TRIM(SUBSTITUTE(P46,CHAR(160),""))),0),TRIM(SUBSTITUTE(V46,CHAR(160),""))="Devis 3",IFERROR(VALUE(TRIM(SUBSTITUTE(S46,CHAR(160),""))),0),TRUE,0))=0,"",_xlfn.IFS(TRIM(SUBSTITUTE(V46,CHAR(160),""))="Devis 1",IFERROR(VALUE(TRIM(SUBSTITUTE(M46,CHAR(160),""))),0),TRIM(SUBSTITUTE(V46,CHAR(160),""))="Devis 2",IFERROR(VALUE(TRIM(SUBSTITUTE(P46,CHAR(160),""))),0),TRIM(SUBSTITUTE(V46,CHAR(160),""))="Devis 3",IFERROR(VALUE(TRIM(SUBSTITUTE(S46,CHAR(160),""))),0),TRUE,0))</f>
        <v/>
      </c>
      <c r="X46" s="441" t="str" cm="1">
        <f t="array" ref="X46">IF((_xlfn.IFS(TRIM(SUBSTITUTE(V46,CHAR(160),""))="Devis 1",IFERROR(VALUE(TRIM(SUBSTITUTE(N46,CHAR(160),""))),0),TRIM(SUBSTITUTE(V46,CHAR(160),""))="Devis 2",IFERROR(VALUE(TRIM(SUBSTITUTE(Q46,CHAR(160),""))),0),TRIM(SUBSTITUTE(V46,CHAR(160),""))="Devis 3",IFERROR(VALUE(TRIM(SUBSTITUTE(T46,CHAR(160),""))),0),TRUE,0))=0,"",_xlfn.IFS(TRIM(SUBSTITUTE(V46,CHAR(160),""))="Devis 1",IFERROR(VALUE(TRIM(SUBSTITUTE(N46,CHAR(160),""))),0),TRIM(SUBSTITUTE(V46,CHAR(160),""))="Devis 2",IFERROR(VALUE(TRIM(SUBSTITUTE(Q46,CHAR(160),""))),0),TRIM(SUBSTITUTE(V46,CHAR(160),""))="Devis 3",IFERROR(VALUE(TRIM(SUBSTITUTE(T46,CHAR(160),""))),0),TRUE,0))</f>
        <v/>
      </c>
      <c r="Y46" s="815" t="str" cm="1">
        <f t="array" ref="Y46">IF((_xlfn.IFS(TRIM(SUBSTITUTE(V46,CHAR(160),""))="Devis 1",IFERROR(VALUE(TRIM(SUBSTITUTE(O46,CHAR(160),""))),0),TRIM(SUBSTITUTE(V46,CHAR(160),""))="Devis 2",IFERROR(VALUE(TRIM(SUBSTITUTE(R46,CHAR(160),""))),0),TRIM(SUBSTITUTE(V46,CHAR(160),""))="Devis 3",IFERROR(VALUE(TRIM(SUBSTITUTE(U46,CHAR(160),""))),0),TRUE,0))=0,"",_xlfn.IFS(TRIM(SUBSTITUTE(V46,CHAR(160),""))="Devis 1",IFERROR(VALUE(TRIM(SUBSTITUTE(O46,CHAR(160),""))),0),TRIM(SUBSTITUTE(V46,CHAR(160),""))="Devis 2",IFERROR(VALUE(TRIM(SUBSTITUTE(R46,CHAR(160),""))),0),TRIM(SUBSTITUTE(V46,CHAR(160),""))="Devis 3",IFERROR(VALUE(TRIM(SUBSTITUTE(U46,CHAR(160),""))),0),TRUE,0))</f>
        <v/>
      </c>
      <c r="Z46" s="850"/>
      <c r="AA46" s="817" t="str" cm="1">
        <f t="array" ref="AA46">IF(Z46="","",_xlfn.IFS(Z46=$BZ$5,70,Z46=$BZ$6,90,Z46=$BZ$7,70,Z46=$BZ$8,90,Z46=$BZ$9,110))</f>
        <v/>
      </c>
      <c r="AB46" s="627"/>
      <c r="AC46" s="817" t="str" cm="1">
        <f t="array" ref="AC46">IF(Z46="","",_xlfn.IFS(Z46=$BZ$5,15.75,Z46=$BZ$6,21,Z46=$BZ$7,15.25,Z46=$BZ$8,15.25,Z46=$BZ$9,15.25))</f>
        <v/>
      </c>
      <c r="AD46" s="818"/>
      <c r="AE46" s="830">
        <f t="shared" si="34"/>
        <v>0</v>
      </c>
      <c r="AF46" s="819" t="str">
        <f t="shared" si="35"/>
        <v/>
      </c>
      <c r="AG46" s="26"/>
      <c r="AH46" s="466" t="str">
        <f t="shared" si="2"/>
        <v/>
      </c>
      <c r="AI46" s="1414" t="str">
        <f t="shared" si="21"/>
        <v/>
      </c>
      <c r="AJ46" s="452" t="str">
        <f t="shared" si="4"/>
        <v/>
      </c>
      <c r="AK46" s="28"/>
      <c r="AL46" s="664" t="str">
        <f t="shared" si="5"/>
        <v/>
      </c>
      <c r="AM46" s="452" t="str">
        <f t="shared" si="6"/>
        <v/>
      </c>
      <c r="AN46" s="452" t="str">
        <f t="shared" si="22"/>
        <v/>
      </c>
      <c r="AO46" s="452" t="str">
        <f t="shared" si="23"/>
        <v/>
      </c>
      <c r="AP46" s="452" t="str">
        <f t="shared" si="24"/>
        <v/>
      </c>
      <c r="AQ46" s="452" t="str">
        <f t="shared" si="7"/>
        <v/>
      </c>
      <c r="AR46" s="478" t="str">
        <f t="shared" si="8"/>
        <v/>
      </c>
      <c r="AS46" s="453" t="str">
        <f t="shared" si="9"/>
        <v/>
      </c>
      <c r="AT46" s="479" t="str">
        <f t="shared" si="29"/>
        <v/>
      </c>
      <c r="AU46" s="453" t="str">
        <f t="shared" si="10"/>
        <v/>
      </c>
      <c r="AV46" s="453" t="str">
        <f t="shared" si="30"/>
        <v/>
      </c>
      <c r="AW46" s="480" t="str">
        <f t="shared" si="25"/>
        <v/>
      </c>
      <c r="AX46" s="453" t="str">
        <f t="shared" si="11"/>
        <v/>
      </c>
      <c r="AY46" s="453" t="str">
        <f t="shared" si="12"/>
        <v/>
      </c>
      <c r="AZ46" s="480" t="str">
        <f t="shared" si="26"/>
        <v/>
      </c>
      <c r="BA46" s="424" t="str">
        <f t="shared" si="13"/>
        <v/>
      </c>
      <c r="BB46" s="454"/>
      <c r="BC46" s="424" t="str">
        <f t="shared" si="14"/>
        <v/>
      </c>
      <c r="BD46" s="424" t="str">
        <f t="shared" si="15"/>
        <v/>
      </c>
      <c r="BE46" s="424" t="str">
        <f t="shared" si="27"/>
        <v/>
      </c>
      <c r="BF46" s="455" t="str" cm="1">
        <f t="array" ref="BF46">IF(AR46="","",IF((IFERROR(_xlfn.IFS($BA46="Devis 1",(IFERROR(VALUE(TRIM(SUBSTITUTE(AR46,CHAR(160),""))),0)),$BA46="Devis 2",(IFERROR(VALUE(TRIM(SUBSTITUTE(AU46,CHAR(160),""))),0)),$BA46="Devis 3",(IFERROR(VALUE(TRIM(SUBSTITUTE(AX46,CHAR(160),""))),0))),0))=0,"",(IFERROR(_xlfn.IFS($BA46="Devis 1",(IFERROR(VALUE(TRIM(SUBSTITUTE(AR46,CHAR(160),""))),0)),$BA46="Devis 2",(IFERROR(VALUE(TRIM(SUBSTITUTE(AU46,CHAR(160),""))),0)),$BA46="Devis 3",(IFERROR(VALUE(TRIM(SUBSTITUTE(AX46,CHAR(160),""))),0))),0))))</f>
        <v/>
      </c>
      <c r="BG46" s="455" t="str" cm="1">
        <f t="array" ref="BG46">IF(AS46="","",IF((IFERROR(_xlfn.IFS($BA46="Devis 1",(IFERROR(VALUE(TRIM(SUBSTITUTE(AS46,CHAR(160),""))),0)),$BA46="Devis 2",(IFERROR(VALUE(TRIM(SUBSTITUTE(AV46,CHAR(160),""))),0)),$BA46="Devis 3",(IFERROR(VALUE(TRIM(SUBSTITUTE(AY46,CHAR(160),""))),0))),0))=0,"",(IFERROR(_xlfn.IFS($BA46="Devis 1",(IFERROR(VALUE(TRIM(SUBSTITUTE(AS46,CHAR(160),""))),0)),$BA46="Devis 2",(IFERROR(VALUE(TRIM(SUBSTITUTE(AV46,CHAR(160),""))),0)),$BA46="Devis 3",(IFERROR(VALUE(TRIM(SUBSTITUTE(AY46,CHAR(160),""))),0))),0))))</f>
        <v/>
      </c>
      <c r="BH46" s="826" t="str" cm="1">
        <f t="array" ref="BH46">IF(AT46="","",IF(IFERROR(_xlfn.IFS($BA46="Devis 1",IFERROR(VALUE(TRIM(SUBSTITUTE(AT46,CHAR(160),""))),0),$BA46="Devis 2",IFERROR(VALUE(TRIM(SUBSTITUTE(AW46,CHAR(160),""))),0),$BA46="Devis 3",IFERROR(VALUE(TRIM(SUBSTITUTE(AZ46,CHAR(160),""))),0)),0)=0,"",IFERROR(_xlfn.IFS($BA46="Devis 1",IFERROR(VALUE(TRIM(SUBSTITUTE(AT46,CHAR(160),""))),0),$BA46="Devis 2",IFERROR(VALUE(TRIM(SUBSTITUTE(AW46,CHAR(160),""))),0),$BA46="Devis 3",IFERROR(VALUE(TRIM(SUBSTITUTE(AZ46,CHAR(160),""))),0)),0)))</f>
        <v/>
      </c>
      <c r="BI46" s="832" t="str">
        <f t="shared" si="28"/>
        <v/>
      </c>
      <c r="BJ46" s="455"/>
      <c r="BK46" s="831"/>
      <c r="BL46" s="455"/>
      <c r="BM46" s="831"/>
      <c r="BN46" s="830">
        <f t="shared" si="31"/>
        <v>0</v>
      </c>
      <c r="BO46" s="676" t="str">
        <f t="shared" si="17"/>
        <v/>
      </c>
      <c r="BP46" s="1330"/>
      <c r="BQ46" s="216" t="str" cm="1">
        <f t="array" ref="BQ46">IF(OR(BH46="",BE46="",BF46="",BC46="",BG46="",BD46=""),"",_xlfn.IFS(
ROUND(IFERROR(VALUE(TRIM(SUBSTITUTE(BH46,CHAR(160),""))),0),2)&gt;
ROUND(IFERROR(VALUE(TRIM(SUBSTITUTE(BE46,CHAR(160),""))),0),2),
"KO : Le montant retenu TTC est supérieur au montant raisonnable TTC. Merci de revoir la ligne de dépense ou plafonner son montant.",
ROUND(IFERROR(VALUE(TRIM(SUBSTITUTE(BF46,CHAR(160),""))),0),2)&gt;
ROUND(IFERROR(VALUE(TRIM(SUBSTITUTE(BC46,CHAR(160),""))),0),2),
"Attention : Le montant retenu HT est supérieur au montant HT raisonnable. Merci de revoir la ligne de dépense, plafonner son montant, ou justifier la reventillation HT / TVA.",
ROUND(IFERROR(VALUE(TRIM(SUBSTITUTE(BG46,CHAR(160),""))),0),2)&gt;
ROUND(IFERROR(VALUE(TRIM(SUBSTITUTE(BD46,CHAR(160),""))),0),2),
"Attention : Le montant TVA retenu est supérieur au montant TVA raisonnable. Merci de revoir la ligne de dépense, plafonner son montant, ou justifier la reventillation HT / TVA.",
ROUND(IFERROR(VALUE(TRIM(SUBSTITUTE(BH46,CHAR(160),""))),0),2)&gt;
ROUND(IFERROR(VALUE(TRIM(SUBSTITUTE(MIN(O46,R46,U46),CHAR(160),""))),0),2),
"Attention : Le devis retenu n'est pas le moins cher. Une justification de la part du porteur est nécessaire.",
ROUND(IFERROR(VALUE(TRIM(SUBSTITUTE(BH46,CHAR(160),""))),0),2)=0,
"Attention : montant présenté entièrement écarté",
ROUND(IFERROR(VALUE(TRIM(SUBSTITUTE(BE46,CHAR(160),""))),0),2)=
ROUND(IFERROR(VALUE(TRIM(SUBSTITUTE(BH46,CHAR(160),""))),0),2),
"OK",
ROUND(IFERROR(VALUE(TRIM(SUBSTITUTE(BE46,CHAR(160),""))),0),2)&gt;
ROUND(IFERROR(VALUE(TRIM(SUBSTITUTE(BH46,CHAR(160),""))),0),2),
" OK : Montant instruit inférieur au montant raisonnable.",
TRUE,""
))</f>
        <v/>
      </c>
      <c r="BR46" s="216" t="str" cm="1">
        <f t="array" ref="BR46">IF(OR(BH46="",Y46="",BF46="",W46="",BG46="",X46=""),"",_xlfn.IFS(
ROUND(IFERROR(VALUE(TRIM(SUBSTITUTE(BH46,CHAR(160),""))),0),2)&gt;
ROUND(IFERROR(VALUE(TRIM(SUBSTITUTE(Y46,CHAR(160),""))),0),2),
"KO : Le montant retenu TTC est supérieur au montant présenté TTC. Merci de revoir la ligne de dépense ou plafonner son montant.",
ROUND(IFERROR(VALUE(TRIM(SUBSTITUTE(BF46,CHAR(160),""))),0),2)&gt;
ROUND(IFERROR(VALUE(TRIM(SUBSTITUTE(W46,CHAR(160),""))),0),2),
"Attention : Le montant retenu HT est supérieur au montant HT présenté. Merci de revoir la ligne de dépense, plafonner son montant, ou justifier la reventillation HT / TVA.",
ROUND(IFERROR(VALUE(TRIM(SUBSTITUTE(BG46,CHAR(160),""))),0),2)&gt;
ROUND(IFERROR(VALUE(TRIM(SUBSTITUTE(X46,CHAR(160),""))),0),2),
"Attention : Le montant TVA retenu est supérieur au montant TVA présenté. Merci de revoir la ligne de dépense, plafonner son montant, ou justifier la reventillation HT / TVA.",
ROUND(IFERROR(VALUE(TRIM(SUBSTITUTE(Y46,CHAR(160),""))),0),2)=0,
"",
ROUND(IFERROR(VALUE(TRIM(SUBSTITUTE(BH46,CHAR(160),""))),0),2)=
ROUND(IFERROR(VALUE(TRIM(SUBSTITUTE(Y46,CHAR(160),""))),0),2),
"OK",
ROUND(IFERROR(VALUE(TRIM(SUBSTITUTE(BH46,CHAR(160),""))),0),2)=0,
"Attention : Montant présenté entièrement rejeté.",
ROUND(IFERROR(VALUE(TRIM(SUBSTITUTE(BH46,CHAR(160),""))),0),2)&lt;
ROUND(IFERROR(VALUE(TRIM(SUBSTITUTE(Y46,CHAR(160),""))),0),2),
"Attention : Montant présenté partiellement rejeté.",
TRUE,""
))</f>
        <v/>
      </c>
      <c r="BS46" s="1331" t="str" cm="1">
        <f t="array" ref="BS46">IF(OR(BN46="",AE46=""),"",_xlfn.IFS(
ROUND(IFERROR(VALUE(TRIM(SUBSTITUTE(BN46,CHAR(160),""))),0),2)&gt;
ROUND(IFERROR(VALUE(TRIM(SUBSTITUTE(AE46,CHAR(160),""))),0),2),
"KO : Le montant retenu est supérieur au montant présenté. Merci de revoir la ligne de contributions ou plafonner son montant.",
ROUND(IFERROR(VALUE(TRIM(SUBSTITUTE(AE46,CHAR(160),""))),0),2)=0,
"",
ROUND(IFERROR(VALUE(TRIM(SUBSTITUTE(BN46,CHAR(160),""))),0),2)=
ROUND(IFERROR(VALUE(TRIM(SUBSTITUTE(AE46,CHAR(160),""))),0),2),
"OK",
ROUND(IFERROR(VALUE(TRIM(SUBSTITUTE(BN46,CHAR(160),""))),0),2)=0,
"Attention : Montant présenté entièrement rejeté.",
ROUND(IFERROR(VALUE(TRIM(SUBSTITUTE(BN46,CHAR(160),""))),0),2)&lt;
ROUND(IFERROR(VALUE(TRIM(SUBSTITUTE(AE46,CHAR(160),""))),0),2),
"Attention : Montant présenté partiellement rejeté.",
TRUE,""
))</f>
        <v/>
      </c>
      <c r="BT46" s="674" t="str">
        <f t="shared" si="18"/>
        <v/>
      </c>
      <c r="BU46" s="673" t="str">
        <f t="shared" si="19"/>
        <v/>
      </c>
      <c r="BV46" s="1351" t="str">
        <f t="shared" si="20"/>
        <v/>
      </c>
    </row>
    <row r="47" spans="2:74" ht="14.1" customHeight="1">
      <c r="B47" s="498">
        <v>38</v>
      </c>
      <c r="C47" s="119"/>
      <c r="D47" s="11"/>
      <c r="E47" s="6"/>
      <c r="F47" s="28"/>
      <c r="G47" s="6"/>
      <c r="H47" s="6"/>
      <c r="I47" s="30"/>
      <c r="J47" s="30"/>
      <c r="K47" s="30"/>
      <c r="L47" s="31"/>
      <c r="M47" s="440"/>
      <c r="N47" s="33"/>
      <c r="O47" s="321" t="str">
        <f t="shared" si="32"/>
        <v/>
      </c>
      <c r="P47" s="32"/>
      <c r="Q47" s="33"/>
      <c r="R47" s="299" t="str">
        <f t="shared" si="33"/>
        <v/>
      </c>
      <c r="S47" s="34"/>
      <c r="T47" s="33"/>
      <c r="U47" s="299" t="str">
        <f t="shared" si="1"/>
        <v/>
      </c>
      <c r="V47" s="439"/>
      <c r="W47" s="441" t="str" cm="1">
        <f t="array" ref="W47">IF((_xlfn.IFS(TRIM(SUBSTITUTE(V47,CHAR(160),""))="Devis 1",IFERROR(VALUE(TRIM(SUBSTITUTE(M47,CHAR(160),""))),0),TRIM(SUBSTITUTE(V47,CHAR(160),""))="Devis 2",IFERROR(VALUE(TRIM(SUBSTITUTE(P47,CHAR(160),""))),0),TRIM(SUBSTITUTE(V47,CHAR(160),""))="Devis 3",IFERROR(VALUE(TRIM(SUBSTITUTE(S47,CHAR(160),""))),0),TRUE,0))=0,"",_xlfn.IFS(TRIM(SUBSTITUTE(V47,CHAR(160),""))="Devis 1",IFERROR(VALUE(TRIM(SUBSTITUTE(M47,CHAR(160),""))),0),TRIM(SUBSTITUTE(V47,CHAR(160),""))="Devis 2",IFERROR(VALUE(TRIM(SUBSTITUTE(P47,CHAR(160),""))),0),TRIM(SUBSTITUTE(V47,CHAR(160),""))="Devis 3",IFERROR(VALUE(TRIM(SUBSTITUTE(S47,CHAR(160),""))),0),TRUE,0))</f>
        <v/>
      </c>
      <c r="X47" s="441" t="str" cm="1">
        <f t="array" ref="X47">IF((_xlfn.IFS(TRIM(SUBSTITUTE(V47,CHAR(160),""))="Devis 1",IFERROR(VALUE(TRIM(SUBSTITUTE(N47,CHAR(160),""))),0),TRIM(SUBSTITUTE(V47,CHAR(160),""))="Devis 2",IFERROR(VALUE(TRIM(SUBSTITUTE(Q47,CHAR(160),""))),0),TRIM(SUBSTITUTE(V47,CHAR(160),""))="Devis 3",IFERROR(VALUE(TRIM(SUBSTITUTE(T47,CHAR(160),""))),0),TRUE,0))=0,"",_xlfn.IFS(TRIM(SUBSTITUTE(V47,CHAR(160),""))="Devis 1",IFERROR(VALUE(TRIM(SUBSTITUTE(N47,CHAR(160),""))),0),TRIM(SUBSTITUTE(V47,CHAR(160),""))="Devis 2",IFERROR(VALUE(TRIM(SUBSTITUTE(Q47,CHAR(160),""))),0),TRIM(SUBSTITUTE(V47,CHAR(160),""))="Devis 3",IFERROR(VALUE(TRIM(SUBSTITUTE(T47,CHAR(160),""))),0),TRUE,0))</f>
        <v/>
      </c>
      <c r="Y47" s="815" t="str" cm="1">
        <f t="array" ref="Y47">IF((_xlfn.IFS(TRIM(SUBSTITUTE(V47,CHAR(160),""))="Devis 1",IFERROR(VALUE(TRIM(SUBSTITUTE(O47,CHAR(160),""))),0),TRIM(SUBSTITUTE(V47,CHAR(160),""))="Devis 2",IFERROR(VALUE(TRIM(SUBSTITUTE(R47,CHAR(160),""))),0),TRIM(SUBSTITUTE(V47,CHAR(160),""))="Devis 3",IFERROR(VALUE(TRIM(SUBSTITUTE(U47,CHAR(160),""))),0),TRUE,0))=0,"",_xlfn.IFS(TRIM(SUBSTITUTE(V47,CHAR(160),""))="Devis 1",IFERROR(VALUE(TRIM(SUBSTITUTE(O47,CHAR(160),""))),0),TRIM(SUBSTITUTE(V47,CHAR(160),""))="Devis 2",IFERROR(VALUE(TRIM(SUBSTITUTE(R47,CHAR(160),""))),0),TRIM(SUBSTITUTE(V47,CHAR(160),""))="Devis 3",IFERROR(VALUE(TRIM(SUBSTITUTE(U47,CHAR(160),""))),0),TRUE,0))</f>
        <v/>
      </c>
      <c r="Z47" s="850"/>
      <c r="AA47" s="817" t="str" cm="1">
        <f t="array" ref="AA47">IF(Z47="","",_xlfn.IFS(Z47=$BZ$5,70,Z47=$BZ$6,90,Z47=$BZ$7,70,Z47=$BZ$8,90,Z47=$BZ$9,110))</f>
        <v/>
      </c>
      <c r="AB47" s="627"/>
      <c r="AC47" s="817" t="str" cm="1">
        <f t="array" ref="AC47">IF(Z47="","",_xlfn.IFS(Z47=$BZ$5,15.75,Z47=$BZ$6,21,Z47=$BZ$7,15.25,Z47=$BZ$8,15.25,Z47=$BZ$9,15.25))</f>
        <v/>
      </c>
      <c r="AD47" s="818"/>
      <c r="AE47" s="830">
        <f t="shared" si="34"/>
        <v>0</v>
      </c>
      <c r="AF47" s="819" t="str">
        <f t="shared" si="35"/>
        <v/>
      </c>
      <c r="AG47" s="26"/>
      <c r="AH47" s="466" t="str">
        <f t="shared" si="2"/>
        <v/>
      </c>
      <c r="AI47" s="1414" t="str">
        <f t="shared" si="21"/>
        <v/>
      </c>
      <c r="AJ47" s="452" t="str">
        <f t="shared" si="4"/>
        <v/>
      </c>
      <c r="AK47" s="28"/>
      <c r="AL47" s="664" t="str">
        <f t="shared" si="5"/>
        <v/>
      </c>
      <c r="AM47" s="452" t="str">
        <f t="shared" si="6"/>
        <v/>
      </c>
      <c r="AN47" s="452" t="str">
        <f t="shared" si="22"/>
        <v/>
      </c>
      <c r="AO47" s="452" t="str">
        <f t="shared" si="23"/>
        <v/>
      </c>
      <c r="AP47" s="452" t="str">
        <f t="shared" si="24"/>
        <v/>
      </c>
      <c r="AQ47" s="452" t="str">
        <f t="shared" si="7"/>
        <v/>
      </c>
      <c r="AR47" s="478" t="str">
        <f t="shared" si="8"/>
        <v/>
      </c>
      <c r="AS47" s="453" t="str">
        <f t="shared" si="9"/>
        <v/>
      </c>
      <c r="AT47" s="479" t="str">
        <f t="shared" si="29"/>
        <v/>
      </c>
      <c r="AU47" s="453" t="str">
        <f t="shared" si="10"/>
        <v/>
      </c>
      <c r="AV47" s="453" t="str">
        <f t="shared" si="30"/>
        <v/>
      </c>
      <c r="AW47" s="480" t="str">
        <f t="shared" si="25"/>
        <v/>
      </c>
      <c r="AX47" s="453" t="str">
        <f t="shared" si="11"/>
        <v/>
      </c>
      <c r="AY47" s="453" t="str">
        <f t="shared" si="12"/>
        <v/>
      </c>
      <c r="AZ47" s="480" t="str">
        <f t="shared" si="26"/>
        <v/>
      </c>
      <c r="BA47" s="424" t="str">
        <f t="shared" si="13"/>
        <v/>
      </c>
      <c r="BB47" s="454"/>
      <c r="BC47" s="424" t="str">
        <f t="shared" si="14"/>
        <v/>
      </c>
      <c r="BD47" s="424" t="str">
        <f t="shared" si="15"/>
        <v/>
      </c>
      <c r="BE47" s="424" t="str">
        <f t="shared" si="27"/>
        <v/>
      </c>
      <c r="BF47" s="455" t="str" cm="1">
        <f t="array" ref="BF47">IF(AR47="","",IF((IFERROR(_xlfn.IFS($BA47="Devis 1",(IFERROR(VALUE(TRIM(SUBSTITUTE(AR47,CHAR(160),""))),0)),$BA47="Devis 2",(IFERROR(VALUE(TRIM(SUBSTITUTE(AU47,CHAR(160),""))),0)),$BA47="Devis 3",(IFERROR(VALUE(TRIM(SUBSTITUTE(AX47,CHAR(160),""))),0))),0))=0,"",(IFERROR(_xlfn.IFS($BA47="Devis 1",(IFERROR(VALUE(TRIM(SUBSTITUTE(AR47,CHAR(160),""))),0)),$BA47="Devis 2",(IFERROR(VALUE(TRIM(SUBSTITUTE(AU47,CHAR(160),""))),0)),$BA47="Devis 3",(IFERROR(VALUE(TRIM(SUBSTITUTE(AX47,CHAR(160),""))),0))),0))))</f>
        <v/>
      </c>
      <c r="BG47" s="455" t="str" cm="1">
        <f t="array" ref="BG47">IF(AS47="","",IF((IFERROR(_xlfn.IFS($BA47="Devis 1",(IFERROR(VALUE(TRIM(SUBSTITUTE(AS47,CHAR(160),""))),0)),$BA47="Devis 2",(IFERROR(VALUE(TRIM(SUBSTITUTE(AV47,CHAR(160),""))),0)),$BA47="Devis 3",(IFERROR(VALUE(TRIM(SUBSTITUTE(AY47,CHAR(160),""))),0))),0))=0,"",(IFERROR(_xlfn.IFS($BA47="Devis 1",(IFERROR(VALUE(TRIM(SUBSTITUTE(AS47,CHAR(160),""))),0)),$BA47="Devis 2",(IFERROR(VALUE(TRIM(SUBSTITUTE(AV47,CHAR(160),""))),0)),$BA47="Devis 3",(IFERROR(VALUE(TRIM(SUBSTITUTE(AY47,CHAR(160),""))),0))),0))))</f>
        <v/>
      </c>
      <c r="BH47" s="826" t="str" cm="1">
        <f t="array" ref="BH47">IF(AT47="","",IF(IFERROR(_xlfn.IFS($BA47="Devis 1",IFERROR(VALUE(TRIM(SUBSTITUTE(AT47,CHAR(160),""))),0),$BA47="Devis 2",IFERROR(VALUE(TRIM(SUBSTITUTE(AW47,CHAR(160),""))),0),$BA47="Devis 3",IFERROR(VALUE(TRIM(SUBSTITUTE(AZ47,CHAR(160),""))),0)),0)=0,"",IFERROR(_xlfn.IFS($BA47="Devis 1",IFERROR(VALUE(TRIM(SUBSTITUTE(AT47,CHAR(160),""))),0),$BA47="Devis 2",IFERROR(VALUE(TRIM(SUBSTITUTE(AW47,CHAR(160),""))),0),$BA47="Devis 3",IFERROR(VALUE(TRIM(SUBSTITUTE(AZ47,CHAR(160),""))),0)),0)))</f>
        <v/>
      </c>
      <c r="BI47" s="832" t="str">
        <f t="shared" si="28"/>
        <v/>
      </c>
      <c r="BJ47" s="455"/>
      <c r="BK47" s="831"/>
      <c r="BL47" s="455"/>
      <c r="BM47" s="831"/>
      <c r="BN47" s="830">
        <f t="shared" si="31"/>
        <v>0</v>
      </c>
      <c r="BO47" s="676" t="str">
        <f t="shared" si="17"/>
        <v/>
      </c>
      <c r="BP47" s="1330"/>
      <c r="BQ47" s="216" t="str" cm="1">
        <f t="array" ref="BQ47">IF(OR(BH47="",BE47="",BF47="",BC47="",BG47="",BD47=""),"",_xlfn.IFS(
ROUND(IFERROR(VALUE(TRIM(SUBSTITUTE(BH47,CHAR(160),""))),0),2)&gt;
ROUND(IFERROR(VALUE(TRIM(SUBSTITUTE(BE47,CHAR(160),""))),0),2),
"KO : Le montant retenu TTC est supérieur au montant raisonnable TTC. Merci de revoir la ligne de dépense ou plafonner son montant.",
ROUND(IFERROR(VALUE(TRIM(SUBSTITUTE(BF47,CHAR(160),""))),0),2)&gt;
ROUND(IFERROR(VALUE(TRIM(SUBSTITUTE(BC47,CHAR(160),""))),0),2),
"Attention : Le montant retenu HT est supérieur au montant HT raisonnable. Merci de revoir la ligne de dépense, plafonner son montant, ou justifier la reventillation HT / TVA.",
ROUND(IFERROR(VALUE(TRIM(SUBSTITUTE(BG47,CHAR(160),""))),0),2)&gt;
ROUND(IFERROR(VALUE(TRIM(SUBSTITUTE(BD47,CHAR(160),""))),0),2),
"Attention : Le montant TVA retenu est supérieur au montant TVA raisonnable. Merci de revoir la ligne de dépense, plafonner son montant, ou justifier la reventillation HT / TVA.",
ROUND(IFERROR(VALUE(TRIM(SUBSTITUTE(BH47,CHAR(160),""))),0),2)&gt;
ROUND(IFERROR(VALUE(TRIM(SUBSTITUTE(MIN(O47,R47,U47),CHAR(160),""))),0),2),
"Attention : Le devis retenu n'est pas le moins cher. Une justification de la part du porteur est nécessaire.",
ROUND(IFERROR(VALUE(TRIM(SUBSTITUTE(BH47,CHAR(160),""))),0),2)=0,
"Attention : montant présenté entièrement écarté",
ROUND(IFERROR(VALUE(TRIM(SUBSTITUTE(BE47,CHAR(160),""))),0),2)=
ROUND(IFERROR(VALUE(TRIM(SUBSTITUTE(BH47,CHAR(160),""))),0),2),
"OK",
ROUND(IFERROR(VALUE(TRIM(SUBSTITUTE(BE47,CHAR(160),""))),0),2)&gt;
ROUND(IFERROR(VALUE(TRIM(SUBSTITUTE(BH47,CHAR(160),""))),0),2),
" OK : Montant instruit inférieur au montant raisonnable.",
TRUE,""
))</f>
        <v/>
      </c>
      <c r="BR47" s="216" t="str" cm="1">
        <f t="array" ref="BR47">IF(OR(BH47="",Y47="",BF47="",W47="",BG47="",X47=""),"",_xlfn.IFS(
ROUND(IFERROR(VALUE(TRIM(SUBSTITUTE(BH47,CHAR(160),""))),0),2)&gt;
ROUND(IFERROR(VALUE(TRIM(SUBSTITUTE(Y47,CHAR(160),""))),0),2),
"KO : Le montant retenu TTC est supérieur au montant présenté TTC. Merci de revoir la ligne de dépense ou plafonner son montant.",
ROUND(IFERROR(VALUE(TRIM(SUBSTITUTE(BF47,CHAR(160),""))),0),2)&gt;
ROUND(IFERROR(VALUE(TRIM(SUBSTITUTE(W47,CHAR(160),""))),0),2),
"Attention : Le montant retenu HT est supérieur au montant HT présenté. Merci de revoir la ligne de dépense, plafonner son montant, ou justifier la reventillation HT / TVA.",
ROUND(IFERROR(VALUE(TRIM(SUBSTITUTE(BG47,CHAR(160),""))),0),2)&gt;
ROUND(IFERROR(VALUE(TRIM(SUBSTITUTE(X47,CHAR(160),""))),0),2),
"Attention : Le montant TVA retenu est supérieur au montant TVA présenté. Merci de revoir la ligne de dépense, plafonner son montant, ou justifier la reventillation HT / TVA.",
ROUND(IFERROR(VALUE(TRIM(SUBSTITUTE(Y47,CHAR(160),""))),0),2)=0,
"",
ROUND(IFERROR(VALUE(TRIM(SUBSTITUTE(BH47,CHAR(160),""))),0),2)=
ROUND(IFERROR(VALUE(TRIM(SUBSTITUTE(Y47,CHAR(160),""))),0),2),
"OK",
ROUND(IFERROR(VALUE(TRIM(SUBSTITUTE(BH47,CHAR(160),""))),0),2)=0,
"Attention : Montant présenté entièrement rejeté.",
ROUND(IFERROR(VALUE(TRIM(SUBSTITUTE(BH47,CHAR(160),""))),0),2)&lt;
ROUND(IFERROR(VALUE(TRIM(SUBSTITUTE(Y47,CHAR(160),""))),0),2),
"Attention : Montant présenté partiellement rejeté.",
TRUE,""
))</f>
        <v/>
      </c>
      <c r="BS47" s="1331" t="str" cm="1">
        <f t="array" ref="BS47">IF(OR(BN47="",AE47=""),"",_xlfn.IFS(
ROUND(IFERROR(VALUE(TRIM(SUBSTITUTE(BN47,CHAR(160),""))),0),2)&gt;
ROUND(IFERROR(VALUE(TRIM(SUBSTITUTE(AE47,CHAR(160),""))),0),2),
"KO : Le montant retenu est supérieur au montant présenté. Merci de revoir la ligne de contributions ou plafonner son montant.",
ROUND(IFERROR(VALUE(TRIM(SUBSTITUTE(AE47,CHAR(160),""))),0),2)=0,
"",
ROUND(IFERROR(VALUE(TRIM(SUBSTITUTE(BN47,CHAR(160),""))),0),2)=
ROUND(IFERROR(VALUE(TRIM(SUBSTITUTE(AE47,CHAR(160),""))),0),2),
"OK",
ROUND(IFERROR(VALUE(TRIM(SUBSTITUTE(BN47,CHAR(160),""))),0),2)=0,
"Attention : Montant présenté entièrement rejeté.",
ROUND(IFERROR(VALUE(TRIM(SUBSTITUTE(BN47,CHAR(160),""))),0),2)&lt;
ROUND(IFERROR(VALUE(TRIM(SUBSTITUTE(AE47,CHAR(160),""))),0),2),
"Attention : Montant présenté partiellement rejeté.",
TRUE,""
))</f>
        <v/>
      </c>
      <c r="BT47" s="674" t="str">
        <f t="shared" si="18"/>
        <v/>
      </c>
      <c r="BU47" s="673" t="str">
        <f t="shared" si="19"/>
        <v/>
      </c>
      <c r="BV47" s="1351" t="str">
        <f t="shared" si="20"/>
        <v/>
      </c>
    </row>
    <row r="48" spans="2:74" ht="14.1" customHeight="1">
      <c r="B48" s="498">
        <v>39</v>
      </c>
      <c r="C48" s="119"/>
      <c r="D48" s="11"/>
      <c r="E48" s="6"/>
      <c r="F48" s="28"/>
      <c r="G48" s="6"/>
      <c r="H48" s="6"/>
      <c r="I48" s="30"/>
      <c r="J48" s="30"/>
      <c r="K48" s="30"/>
      <c r="L48" s="31"/>
      <c r="M48" s="440"/>
      <c r="N48" s="33"/>
      <c r="O48" s="321" t="str">
        <f t="shared" si="32"/>
        <v/>
      </c>
      <c r="P48" s="32"/>
      <c r="Q48" s="33"/>
      <c r="R48" s="299" t="str">
        <f t="shared" si="33"/>
        <v/>
      </c>
      <c r="S48" s="34"/>
      <c r="T48" s="33"/>
      <c r="U48" s="299" t="str">
        <f t="shared" si="1"/>
        <v/>
      </c>
      <c r="V48" s="439"/>
      <c r="W48" s="441" t="str" cm="1">
        <f t="array" ref="W48">IF((_xlfn.IFS(TRIM(SUBSTITUTE(V48,CHAR(160),""))="Devis 1",IFERROR(VALUE(TRIM(SUBSTITUTE(M48,CHAR(160),""))),0),TRIM(SUBSTITUTE(V48,CHAR(160),""))="Devis 2",IFERROR(VALUE(TRIM(SUBSTITUTE(P48,CHAR(160),""))),0),TRIM(SUBSTITUTE(V48,CHAR(160),""))="Devis 3",IFERROR(VALUE(TRIM(SUBSTITUTE(S48,CHAR(160),""))),0),TRUE,0))=0,"",_xlfn.IFS(TRIM(SUBSTITUTE(V48,CHAR(160),""))="Devis 1",IFERROR(VALUE(TRIM(SUBSTITUTE(M48,CHAR(160),""))),0),TRIM(SUBSTITUTE(V48,CHAR(160),""))="Devis 2",IFERROR(VALUE(TRIM(SUBSTITUTE(P48,CHAR(160),""))),0),TRIM(SUBSTITUTE(V48,CHAR(160),""))="Devis 3",IFERROR(VALUE(TRIM(SUBSTITUTE(S48,CHAR(160),""))),0),TRUE,0))</f>
        <v/>
      </c>
      <c r="X48" s="441" t="str" cm="1">
        <f t="array" ref="X48">IF((_xlfn.IFS(TRIM(SUBSTITUTE(V48,CHAR(160),""))="Devis 1",IFERROR(VALUE(TRIM(SUBSTITUTE(N48,CHAR(160),""))),0),TRIM(SUBSTITUTE(V48,CHAR(160),""))="Devis 2",IFERROR(VALUE(TRIM(SUBSTITUTE(Q48,CHAR(160),""))),0),TRIM(SUBSTITUTE(V48,CHAR(160),""))="Devis 3",IFERROR(VALUE(TRIM(SUBSTITUTE(T48,CHAR(160),""))),0),TRUE,0))=0,"",_xlfn.IFS(TRIM(SUBSTITUTE(V48,CHAR(160),""))="Devis 1",IFERROR(VALUE(TRIM(SUBSTITUTE(N48,CHAR(160),""))),0),TRIM(SUBSTITUTE(V48,CHAR(160),""))="Devis 2",IFERROR(VALUE(TRIM(SUBSTITUTE(Q48,CHAR(160),""))),0),TRIM(SUBSTITUTE(V48,CHAR(160),""))="Devis 3",IFERROR(VALUE(TRIM(SUBSTITUTE(T48,CHAR(160),""))),0),TRUE,0))</f>
        <v/>
      </c>
      <c r="Y48" s="815" t="str" cm="1">
        <f t="array" ref="Y48">IF((_xlfn.IFS(TRIM(SUBSTITUTE(V48,CHAR(160),""))="Devis 1",IFERROR(VALUE(TRIM(SUBSTITUTE(O48,CHAR(160),""))),0),TRIM(SUBSTITUTE(V48,CHAR(160),""))="Devis 2",IFERROR(VALUE(TRIM(SUBSTITUTE(R48,CHAR(160),""))),0),TRIM(SUBSTITUTE(V48,CHAR(160),""))="Devis 3",IFERROR(VALUE(TRIM(SUBSTITUTE(U48,CHAR(160),""))),0),TRUE,0))=0,"",_xlfn.IFS(TRIM(SUBSTITUTE(V48,CHAR(160),""))="Devis 1",IFERROR(VALUE(TRIM(SUBSTITUTE(O48,CHAR(160),""))),0),TRIM(SUBSTITUTE(V48,CHAR(160),""))="Devis 2",IFERROR(VALUE(TRIM(SUBSTITUTE(R48,CHAR(160),""))),0),TRIM(SUBSTITUTE(V48,CHAR(160),""))="Devis 3",IFERROR(VALUE(TRIM(SUBSTITUTE(U48,CHAR(160),""))),0),TRUE,0))</f>
        <v/>
      </c>
      <c r="Z48" s="850"/>
      <c r="AA48" s="817" t="str" cm="1">
        <f t="array" ref="AA48">IF(Z48="","",_xlfn.IFS(Z48=$BZ$5,70,Z48=$BZ$6,90,Z48=$BZ$7,70,Z48=$BZ$8,90,Z48=$BZ$9,110))</f>
        <v/>
      </c>
      <c r="AB48" s="627"/>
      <c r="AC48" s="817" t="str" cm="1">
        <f t="array" ref="AC48">IF(Z48="","",_xlfn.IFS(Z48=$BZ$5,15.75,Z48=$BZ$6,21,Z48=$BZ$7,15.25,Z48=$BZ$8,15.25,Z48=$BZ$9,15.25))</f>
        <v/>
      </c>
      <c r="AD48" s="818"/>
      <c r="AE48" s="830">
        <f t="shared" si="34"/>
        <v>0</v>
      </c>
      <c r="AF48" s="819" t="str">
        <f t="shared" si="35"/>
        <v/>
      </c>
      <c r="AG48" s="26"/>
      <c r="AH48" s="466" t="str">
        <f t="shared" si="2"/>
        <v/>
      </c>
      <c r="AI48" s="1414" t="str">
        <f t="shared" si="21"/>
        <v/>
      </c>
      <c r="AJ48" s="452" t="str">
        <f t="shared" si="4"/>
        <v/>
      </c>
      <c r="AK48" s="28"/>
      <c r="AL48" s="664" t="str">
        <f t="shared" si="5"/>
        <v/>
      </c>
      <c r="AM48" s="452" t="str">
        <f t="shared" si="6"/>
        <v/>
      </c>
      <c r="AN48" s="452" t="str">
        <f t="shared" si="22"/>
        <v/>
      </c>
      <c r="AO48" s="452" t="str">
        <f t="shared" si="23"/>
        <v/>
      </c>
      <c r="AP48" s="452" t="str">
        <f t="shared" si="24"/>
        <v/>
      </c>
      <c r="AQ48" s="452" t="str">
        <f t="shared" si="7"/>
        <v/>
      </c>
      <c r="AR48" s="478" t="str">
        <f t="shared" si="8"/>
        <v/>
      </c>
      <c r="AS48" s="453" t="str">
        <f t="shared" si="9"/>
        <v/>
      </c>
      <c r="AT48" s="479" t="str">
        <f t="shared" si="29"/>
        <v/>
      </c>
      <c r="AU48" s="453" t="str">
        <f t="shared" si="10"/>
        <v/>
      </c>
      <c r="AV48" s="453" t="str">
        <f t="shared" si="30"/>
        <v/>
      </c>
      <c r="AW48" s="480" t="str">
        <f t="shared" si="25"/>
        <v/>
      </c>
      <c r="AX48" s="453" t="str">
        <f t="shared" si="11"/>
        <v/>
      </c>
      <c r="AY48" s="453" t="str">
        <f t="shared" si="12"/>
        <v/>
      </c>
      <c r="AZ48" s="480" t="str">
        <f t="shared" si="26"/>
        <v/>
      </c>
      <c r="BA48" s="424" t="str">
        <f t="shared" si="13"/>
        <v/>
      </c>
      <c r="BB48" s="454"/>
      <c r="BC48" s="424" t="str">
        <f t="shared" si="14"/>
        <v/>
      </c>
      <c r="BD48" s="424" t="str">
        <f t="shared" si="15"/>
        <v/>
      </c>
      <c r="BE48" s="424" t="str">
        <f t="shared" si="27"/>
        <v/>
      </c>
      <c r="BF48" s="455" t="str" cm="1">
        <f t="array" ref="BF48">IF(AR48="","",IF((IFERROR(_xlfn.IFS($BA48="Devis 1",(IFERROR(VALUE(TRIM(SUBSTITUTE(AR48,CHAR(160),""))),0)),$BA48="Devis 2",(IFERROR(VALUE(TRIM(SUBSTITUTE(AU48,CHAR(160),""))),0)),$BA48="Devis 3",(IFERROR(VALUE(TRIM(SUBSTITUTE(AX48,CHAR(160),""))),0))),0))=0,"",(IFERROR(_xlfn.IFS($BA48="Devis 1",(IFERROR(VALUE(TRIM(SUBSTITUTE(AR48,CHAR(160),""))),0)),$BA48="Devis 2",(IFERROR(VALUE(TRIM(SUBSTITUTE(AU48,CHAR(160),""))),0)),$BA48="Devis 3",(IFERROR(VALUE(TRIM(SUBSTITUTE(AX48,CHAR(160),""))),0))),0))))</f>
        <v/>
      </c>
      <c r="BG48" s="455" t="str" cm="1">
        <f t="array" ref="BG48">IF(AS48="","",IF((IFERROR(_xlfn.IFS($BA48="Devis 1",(IFERROR(VALUE(TRIM(SUBSTITUTE(AS48,CHAR(160),""))),0)),$BA48="Devis 2",(IFERROR(VALUE(TRIM(SUBSTITUTE(AV48,CHAR(160),""))),0)),$BA48="Devis 3",(IFERROR(VALUE(TRIM(SUBSTITUTE(AY48,CHAR(160),""))),0))),0))=0,"",(IFERROR(_xlfn.IFS($BA48="Devis 1",(IFERROR(VALUE(TRIM(SUBSTITUTE(AS48,CHAR(160),""))),0)),$BA48="Devis 2",(IFERROR(VALUE(TRIM(SUBSTITUTE(AV48,CHAR(160),""))),0)),$BA48="Devis 3",(IFERROR(VALUE(TRIM(SUBSTITUTE(AY48,CHAR(160),""))),0))),0))))</f>
        <v/>
      </c>
      <c r="BH48" s="826" t="str" cm="1">
        <f t="array" ref="BH48">IF(AT48="","",IF(IFERROR(_xlfn.IFS($BA48="Devis 1",IFERROR(VALUE(TRIM(SUBSTITUTE(AT48,CHAR(160),""))),0),$BA48="Devis 2",IFERROR(VALUE(TRIM(SUBSTITUTE(AW48,CHAR(160),""))),0),$BA48="Devis 3",IFERROR(VALUE(TRIM(SUBSTITUTE(AZ48,CHAR(160),""))),0)),0)=0,"",IFERROR(_xlfn.IFS($BA48="Devis 1",IFERROR(VALUE(TRIM(SUBSTITUTE(AT48,CHAR(160),""))),0),$BA48="Devis 2",IFERROR(VALUE(TRIM(SUBSTITUTE(AW48,CHAR(160),""))),0),$BA48="Devis 3",IFERROR(VALUE(TRIM(SUBSTITUTE(AZ48,CHAR(160),""))),0)),0)))</f>
        <v/>
      </c>
      <c r="BI48" s="832" t="str">
        <f t="shared" si="28"/>
        <v/>
      </c>
      <c r="BJ48" s="455"/>
      <c r="BK48" s="831"/>
      <c r="BL48" s="455"/>
      <c r="BM48" s="831"/>
      <c r="BN48" s="830">
        <f t="shared" si="31"/>
        <v>0</v>
      </c>
      <c r="BO48" s="676" t="str">
        <f t="shared" si="17"/>
        <v/>
      </c>
      <c r="BP48" s="1330"/>
      <c r="BQ48" s="216" t="str" cm="1">
        <f t="array" ref="BQ48">IF(OR(BH48="",BE48="",BF48="",BC48="",BG48="",BD48=""),"",_xlfn.IFS(
ROUND(IFERROR(VALUE(TRIM(SUBSTITUTE(BH48,CHAR(160),""))),0),2)&gt;
ROUND(IFERROR(VALUE(TRIM(SUBSTITUTE(BE48,CHAR(160),""))),0),2),
"KO : Le montant retenu TTC est supérieur au montant raisonnable TTC. Merci de revoir la ligne de dépense ou plafonner son montant.",
ROUND(IFERROR(VALUE(TRIM(SUBSTITUTE(BF48,CHAR(160),""))),0),2)&gt;
ROUND(IFERROR(VALUE(TRIM(SUBSTITUTE(BC48,CHAR(160),""))),0),2),
"Attention : Le montant retenu HT est supérieur au montant HT raisonnable. Merci de revoir la ligne de dépense, plafonner son montant, ou justifier la reventillation HT / TVA.",
ROUND(IFERROR(VALUE(TRIM(SUBSTITUTE(BG48,CHAR(160),""))),0),2)&gt;
ROUND(IFERROR(VALUE(TRIM(SUBSTITUTE(BD48,CHAR(160),""))),0),2),
"Attention : Le montant TVA retenu est supérieur au montant TVA raisonnable. Merci de revoir la ligne de dépense, plafonner son montant, ou justifier la reventillation HT / TVA.",
ROUND(IFERROR(VALUE(TRIM(SUBSTITUTE(BH48,CHAR(160),""))),0),2)&gt;
ROUND(IFERROR(VALUE(TRIM(SUBSTITUTE(MIN(O48,R48,U48),CHAR(160),""))),0),2),
"Attention : Le devis retenu n'est pas le moins cher. Une justification de la part du porteur est nécessaire.",
ROUND(IFERROR(VALUE(TRIM(SUBSTITUTE(BH48,CHAR(160),""))),0),2)=0,
"Attention : montant présenté entièrement écarté",
ROUND(IFERROR(VALUE(TRIM(SUBSTITUTE(BE48,CHAR(160),""))),0),2)=
ROUND(IFERROR(VALUE(TRIM(SUBSTITUTE(BH48,CHAR(160),""))),0),2),
"OK",
ROUND(IFERROR(VALUE(TRIM(SUBSTITUTE(BE48,CHAR(160),""))),0),2)&gt;
ROUND(IFERROR(VALUE(TRIM(SUBSTITUTE(BH48,CHAR(160),""))),0),2),
" OK : Montant instruit inférieur au montant raisonnable.",
TRUE,""
))</f>
        <v/>
      </c>
      <c r="BR48" s="216" t="str" cm="1">
        <f t="array" ref="BR48">IF(OR(BH48="",Y48="",BF48="",W48="",BG48="",X48=""),"",_xlfn.IFS(
ROUND(IFERROR(VALUE(TRIM(SUBSTITUTE(BH48,CHAR(160),""))),0),2)&gt;
ROUND(IFERROR(VALUE(TRIM(SUBSTITUTE(Y48,CHAR(160),""))),0),2),
"KO : Le montant retenu TTC est supérieur au montant présenté TTC. Merci de revoir la ligne de dépense ou plafonner son montant.",
ROUND(IFERROR(VALUE(TRIM(SUBSTITUTE(BF48,CHAR(160),""))),0),2)&gt;
ROUND(IFERROR(VALUE(TRIM(SUBSTITUTE(W48,CHAR(160),""))),0),2),
"Attention : Le montant retenu HT est supérieur au montant HT présenté. Merci de revoir la ligne de dépense, plafonner son montant, ou justifier la reventillation HT / TVA.",
ROUND(IFERROR(VALUE(TRIM(SUBSTITUTE(BG48,CHAR(160),""))),0),2)&gt;
ROUND(IFERROR(VALUE(TRIM(SUBSTITUTE(X48,CHAR(160),""))),0),2),
"Attention : Le montant TVA retenu est supérieur au montant TVA présenté. Merci de revoir la ligne de dépense, plafonner son montant, ou justifier la reventillation HT / TVA.",
ROUND(IFERROR(VALUE(TRIM(SUBSTITUTE(Y48,CHAR(160),""))),0),2)=0,
"",
ROUND(IFERROR(VALUE(TRIM(SUBSTITUTE(BH48,CHAR(160),""))),0),2)=
ROUND(IFERROR(VALUE(TRIM(SUBSTITUTE(Y48,CHAR(160),""))),0),2),
"OK",
ROUND(IFERROR(VALUE(TRIM(SUBSTITUTE(BH48,CHAR(160),""))),0),2)=0,
"Attention : Montant présenté entièrement rejeté.",
ROUND(IFERROR(VALUE(TRIM(SUBSTITUTE(BH48,CHAR(160),""))),0),2)&lt;
ROUND(IFERROR(VALUE(TRIM(SUBSTITUTE(Y48,CHAR(160),""))),0),2),
"Attention : Montant présenté partiellement rejeté.",
TRUE,""
))</f>
        <v/>
      </c>
      <c r="BS48" s="1331" t="str" cm="1">
        <f t="array" ref="BS48">IF(OR(BN48="",AE48=""),"",_xlfn.IFS(
ROUND(IFERROR(VALUE(TRIM(SUBSTITUTE(BN48,CHAR(160),""))),0),2)&gt;
ROUND(IFERROR(VALUE(TRIM(SUBSTITUTE(AE48,CHAR(160),""))),0),2),
"KO : Le montant retenu est supérieur au montant présenté. Merci de revoir la ligne de contributions ou plafonner son montant.",
ROUND(IFERROR(VALUE(TRIM(SUBSTITUTE(AE48,CHAR(160),""))),0),2)=0,
"",
ROUND(IFERROR(VALUE(TRIM(SUBSTITUTE(BN48,CHAR(160),""))),0),2)=
ROUND(IFERROR(VALUE(TRIM(SUBSTITUTE(AE48,CHAR(160),""))),0),2),
"OK",
ROUND(IFERROR(VALUE(TRIM(SUBSTITUTE(BN48,CHAR(160),""))),0),2)=0,
"Attention : Montant présenté entièrement rejeté.",
ROUND(IFERROR(VALUE(TRIM(SUBSTITUTE(BN48,CHAR(160),""))),0),2)&lt;
ROUND(IFERROR(VALUE(TRIM(SUBSTITUTE(AE48,CHAR(160),""))),0),2),
"Attention : Montant présenté partiellement rejeté.",
TRUE,""
))</f>
        <v/>
      </c>
      <c r="BT48" s="674" t="str">
        <f t="shared" si="18"/>
        <v/>
      </c>
      <c r="BU48" s="673" t="str">
        <f t="shared" si="19"/>
        <v/>
      </c>
      <c r="BV48" s="1351" t="str">
        <f t="shared" si="20"/>
        <v/>
      </c>
    </row>
    <row r="49" spans="2:74" ht="17.100000000000001" thickBot="1">
      <c r="B49" s="499">
        <v>40</v>
      </c>
      <c r="C49" s="121"/>
      <c r="D49" s="12"/>
      <c r="E49" s="7"/>
      <c r="F49" s="651"/>
      <c r="G49" s="7"/>
      <c r="H49" s="7"/>
      <c r="I49" s="633"/>
      <c r="J49" s="633"/>
      <c r="K49" s="633"/>
      <c r="L49" s="634"/>
      <c r="M49" s="635"/>
      <c r="N49" s="636"/>
      <c r="O49" s="637" t="str">
        <f>IF(OR(M49="", N49=""), "", IFERROR(VALUE(TRIM(SUBSTITUTE(M49,CHAR(160),""))),0) + IFERROR(VALUE(TRIM(SUBSTITUTE(N49,CHAR(160),""))),0))</f>
        <v/>
      </c>
      <c r="P49" s="638"/>
      <c r="Q49" s="636"/>
      <c r="R49" s="639" t="str">
        <f t="shared" si="33"/>
        <v/>
      </c>
      <c r="S49" s="640"/>
      <c r="T49" s="641"/>
      <c r="U49" s="642" t="str">
        <f>IF(OR(S49="", T49=""), "", IFERROR(VALUE(TRIM(SUBSTITUTE(S49,CHAR(160),""))),0) + IFERROR(VALUE(TRIM(SUBSTITUTE(T49,CHAR(160),""))),0))</f>
        <v/>
      </c>
      <c r="V49" s="1383"/>
      <c r="W49" s="643" t="str" cm="1">
        <f t="array" ref="W49">IF((_xlfn.IFS(TRIM(SUBSTITUTE(V49,CHAR(160),""))="Devis 1",IFERROR(VALUE(TRIM(SUBSTITUTE(M49,CHAR(160),""))),0),TRIM(SUBSTITUTE(V49,CHAR(160),""))="Devis 2",IFERROR(VALUE(TRIM(SUBSTITUTE(P49,CHAR(160),""))),0),TRIM(SUBSTITUTE(V49,CHAR(160),""))="Devis 3",IFERROR(VALUE(TRIM(SUBSTITUTE(S49,CHAR(160),""))),0),TRUE,0))=0,"",_xlfn.IFS(TRIM(SUBSTITUTE(V49,CHAR(160),""))="Devis 1",IFERROR(VALUE(TRIM(SUBSTITUTE(M49,CHAR(160),""))),0),TRIM(SUBSTITUTE(V49,CHAR(160),""))="Devis 2",IFERROR(VALUE(TRIM(SUBSTITUTE(P49,CHAR(160),""))),0),TRIM(SUBSTITUTE(V49,CHAR(160),""))="Devis 3",IFERROR(VALUE(TRIM(SUBSTITUTE(S49,CHAR(160),""))),0),TRUE,0))</f>
        <v/>
      </c>
      <c r="X49" s="643" t="str" cm="1">
        <f t="array" ref="X49">IF((_xlfn.IFS(TRIM(SUBSTITUTE(V49,CHAR(160),""))="Devis 1",IFERROR(VALUE(TRIM(SUBSTITUTE(N49,CHAR(160),""))),0),TRIM(SUBSTITUTE(V49,CHAR(160),""))="Devis 2",IFERROR(VALUE(TRIM(SUBSTITUTE(Q49,CHAR(160),""))),0),TRIM(SUBSTITUTE(V49,CHAR(160),""))="Devis 3",IFERROR(VALUE(TRIM(SUBSTITUTE(T49,CHAR(160),""))),0),TRUE,0))=0,"",_xlfn.IFS(TRIM(SUBSTITUTE(V49,CHAR(160),""))="Devis 1",IFERROR(VALUE(TRIM(SUBSTITUTE(N49,CHAR(160),""))),0),TRIM(SUBSTITUTE(V49,CHAR(160),""))="Devis 2",IFERROR(VALUE(TRIM(SUBSTITUTE(Q49,CHAR(160),""))),0),TRIM(SUBSTITUTE(V49,CHAR(160),""))="Devis 3",IFERROR(VALUE(TRIM(SUBSTITUTE(T49,CHAR(160),""))),0),TRUE,0))</f>
        <v/>
      </c>
      <c r="Y49" s="816" t="str" cm="1">
        <f t="array" ref="Y49">IF((_xlfn.IFS(TRIM(SUBSTITUTE(V49,CHAR(160),""))="Devis 1",IFERROR(VALUE(TRIM(SUBSTITUTE(O49,CHAR(160),""))),0),TRIM(SUBSTITUTE(V49,CHAR(160),""))="Devis 2",IFERROR(VALUE(TRIM(SUBSTITUTE(R49,CHAR(160),""))),0),TRIM(SUBSTITUTE(V49,CHAR(160),""))="Devis 3",IFERROR(VALUE(TRIM(SUBSTITUTE(U49,CHAR(160),""))),0),TRUE,0))=0,"",_xlfn.IFS(TRIM(SUBSTITUTE(V49,CHAR(160),""))="Devis 1",IFERROR(VALUE(TRIM(SUBSTITUTE(O49,CHAR(160),""))),0),TRIM(SUBSTITUTE(V49,CHAR(160),""))="Devis 2",IFERROR(VALUE(TRIM(SUBSTITUTE(R49,CHAR(160),""))),0),TRIM(SUBSTITUTE(V49,CHAR(160),""))="Devis 3",IFERROR(VALUE(TRIM(SUBSTITUTE(U49,CHAR(160),""))),0),TRUE,0))</f>
        <v/>
      </c>
      <c r="Z49" s="1384"/>
      <c r="AA49" s="1385" t="str" cm="1">
        <f t="array" ref="AA49">IF(Z49="","",_xlfn.IFS(Z49=$BZ$5,70,Z49=$BZ$6,90,Z49=$BZ$7,70,Z49=$BZ$8,90,Z49=$BZ$9,110))</f>
        <v/>
      </c>
      <c r="AB49" s="1386"/>
      <c r="AC49" s="1385" t="str" cm="1">
        <f t="array" ref="AC49">IF(Z49="","",_xlfn.IFS(Z49=$BZ$5,15.75,Z49=$BZ$6,21,Z49=$BZ$7,15.25,Z49=$BZ$8,15.25,Z49=$BZ$9,15.25))</f>
        <v/>
      </c>
      <c r="AD49" s="1387"/>
      <c r="AE49" s="1354">
        <f t="shared" si="34"/>
        <v>0</v>
      </c>
      <c r="AF49" s="1388" t="str">
        <f t="shared" si="35"/>
        <v/>
      </c>
      <c r="AG49" s="1389"/>
      <c r="AH49" s="1390" t="str">
        <f t="shared" si="2"/>
        <v/>
      </c>
      <c r="AI49" s="1414" t="str">
        <f t="shared" si="21"/>
        <v/>
      </c>
      <c r="AJ49" s="666" t="str">
        <f t="shared" si="4"/>
        <v/>
      </c>
      <c r="AK49" s="651"/>
      <c r="AL49" s="665" t="str">
        <f t="shared" si="5"/>
        <v/>
      </c>
      <c r="AM49" s="666" t="str">
        <f t="shared" si="6"/>
        <v/>
      </c>
      <c r="AN49" s="666" t="str">
        <f t="shared" si="22"/>
        <v/>
      </c>
      <c r="AO49" s="666" t="str">
        <f t="shared" si="23"/>
        <v/>
      </c>
      <c r="AP49" s="666" t="str">
        <f t="shared" si="24"/>
        <v/>
      </c>
      <c r="AQ49" s="666" t="str">
        <f t="shared" si="7"/>
        <v/>
      </c>
      <c r="AR49" s="667" t="str">
        <f t="shared" si="8"/>
        <v/>
      </c>
      <c r="AS49" s="668" t="str">
        <f t="shared" si="9"/>
        <v/>
      </c>
      <c r="AT49" s="669" t="str">
        <f t="shared" si="29"/>
        <v/>
      </c>
      <c r="AU49" s="668" t="str">
        <f t="shared" si="10"/>
        <v/>
      </c>
      <c r="AV49" s="668" t="str">
        <f t="shared" si="30"/>
        <v/>
      </c>
      <c r="AW49" s="670" t="str">
        <f t="shared" si="25"/>
        <v/>
      </c>
      <c r="AX49" s="668" t="str">
        <f t="shared" si="11"/>
        <v/>
      </c>
      <c r="AY49" s="668" t="str">
        <f t="shared" si="12"/>
        <v/>
      </c>
      <c r="AZ49" s="670" t="str">
        <f t="shared" si="26"/>
        <v/>
      </c>
      <c r="BA49" s="671" t="str">
        <f t="shared" si="13"/>
        <v/>
      </c>
      <c r="BB49" s="672"/>
      <c r="BC49" s="671" t="str">
        <f t="shared" si="14"/>
        <v/>
      </c>
      <c r="BD49" s="671" t="str">
        <f>IF(AS49="","",IF((1.15*MIN(IF((IFERROR(VALUE(TRIM(SUBSTITUTE(AS49,CHAR(160),""))),0))=0,1E+30,(IFERROR(VALUE(TRIM(SUBSTITUTE(AS49,CHAR(160),""))),0))),IF((IFERROR(VALUE(TRIM(SUBSTITUTE(AV49,CHAR(160),""))),0))=0,1E+30,(IFERROR(VALUE(TRIM(SUBSTITUTE(AV49,CHAR(160),""))),0))),IF((IFERROR(VALUE(TRIM(SUBSTITUTE(AY49,CHAR(160),""))),0))=0,1E+30,(IFERROR(VALUE(TRIM(SUBSTITUTE(AY49,CHAR(160),""))),0)))=0)),"",(1.15*MIN(IF((IFERROR(VALUE(TRIM(SUBSTITUTE(AS49,CHAR(160),""))),0))=0,1E+30,(IFERROR(VALUE(TRIM(SUBSTITUTE(AS49,CHAR(160),""))),0))),IF((IFERROR(VALUE(TRIM(SUBSTITUTE(AV49,CHAR(160),""))),0))=0,1E+30,(IFERROR(VALUE(TRIM(SUBSTITUTE(AV49,CHAR(160),""))),0))),IF((IFERROR(VALUE(TRIM(SUBSTITUTE(AY49,CHAR(160),""))),0))=0,1E+30,(IFERROR(VALUE(TRIM(SUBSTITUTE(AY49,CHAR(160),""))),0)))))))</f>
        <v/>
      </c>
      <c r="BE49" s="671" t="str">
        <f t="shared" si="27"/>
        <v/>
      </c>
      <c r="BF49" s="662" t="str" cm="1">
        <f t="array" ref="BF49">IF(AR49="","",IF((IFERROR(_xlfn.IFS($BA49="Devis 1",(IFERROR(VALUE(TRIM(SUBSTITUTE(AR49,CHAR(160),""))),0)),$BA49="Devis 2",(IFERROR(VALUE(TRIM(SUBSTITUTE(AU49,CHAR(160),""))),0)),$BA49="Devis 3",(IFERROR(VALUE(TRIM(SUBSTITUTE(AX49,CHAR(160),""))),0))),0))=0,"",(IFERROR(_xlfn.IFS($BA49="Devis 1",(IFERROR(VALUE(TRIM(SUBSTITUTE(AR49,CHAR(160),""))),0)),$BA49="Devis 2",(IFERROR(VALUE(TRIM(SUBSTITUTE(AU49,CHAR(160),""))),0)),$BA49="Devis 3",(IFERROR(VALUE(TRIM(SUBSTITUTE(AX49,CHAR(160),""))),0))),0))))</f>
        <v/>
      </c>
      <c r="BG49" s="662" t="str" cm="1">
        <f t="array" ref="BG49">IF(AS49="","",IF((IFERROR(_xlfn.IFS($BA49="Devis 1",(IFERROR(VALUE(TRIM(SUBSTITUTE(AS49,CHAR(160),""))),0)),$BA49="Devis 2",(IFERROR(VALUE(TRIM(SUBSTITUTE(AV49,CHAR(160),""))),0)),$BA49="Devis 3",(IFERROR(VALUE(TRIM(SUBSTITUTE(AY49,CHAR(160),""))),0))),0))=0,"",(IFERROR(_xlfn.IFS($BA49="Devis 1",(IFERROR(VALUE(TRIM(SUBSTITUTE(AS49,CHAR(160),""))),0)),$BA49="Devis 2",(IFERROR(VALUE(TRIM(SUBSTITUTE(AV49,CHAR(160),""))),0)),$BA49="Devis 3",(IFERROR(VALUE(TRIM(SUBSTITUTE(AY49,CHAR(160),""))),0))),0))))</f>
        <v/>
      </c>
      <c r="BH49" s="827" t="str" cm="1">
        <f t="array" ref="BH49">IF(AT49="","",IF(IFERROR(_xlfn.IFS($BA49="Devis 1",IFERROR(VALUE(TRIM(SUBSTITUTE(AT49,CHAR(160),""))),0),$BA49="Devis 2",IFERROR(VALUE(TRIM(SUBSTITUTE(AW49,CHAR(160),""))),0),$BA49="Devis 3",IFERROR(VALUE(TRIM(SUBSTITUTE(AZ49,CHAR(160),""))),0)),0)=0,"",IFERROR(_xlfn.IFS($BA49="Devis 1",IFERROR(VALUE(TRIM(SUBSTITUTE(AT49,CHAR(160),""))),0),$BA49="Devis 2",IFERROR(VALUE(TRIM(SUBSTITUTE(AW49,CHAR(160),""))),0),$BA49="Devis 3",IFERROR(VALUE(TRIM(SUBSTITUTE(AZ49,CHAR(160),""))),0)),0)))</f>
        <v/>
      </c>
      <c r="BI49" s="1352" t="str">
        <f t="shared" si="28"/>
        <v/>
      </c>
      <c r="BJ49" s="662"/>
      <c r="BK49" s="1353"/>
      <c r="BL49" s="662"/>
      <c r="BM49" s="1353"/>
      <c r="BN49" s="1354">
        <f t="shared" si="31"/>
        <v>0</v>
      </c>
      <c r="BO49" s="1355" t="str">
        <f t="shared" si="17"/>
        <v/>
      </c>
      <c r="BP49" s="1356"/>
      <c r="BQ49" s="1357" t="str" cm="1">
        <f t="array" ref="BQ49">IF(OR(BH49="",BE49="",BF49="",BC49="",BG49="",BD49=""),"",_xlfn.IFS(
ROUND(IFERROR(VALUE(TRIM(SUBSTITUTE(BH49,CHAR(160),""))),0),2)&gt;
ROUND(IFERROR(VALUE(TRIM(SUBSTITUTE(BE49,CHAR(160),""))),0),2),
"KO : Le montant retenu TTC est supérieur au montant raisonnable TTC. Merci de revoir la ligne de dépense ou plafonner son montant.",
ROUND(IFERROR(VALUE(TRIM(SUBSTITUTE(BF49,CHAR(160),""))),0),2)&gt;
ROUND(IFERROR(VALUE(TRIM(SUBSTITUTE(BC49,CHAR(160),""))),0),2),
"Attention : Le montant retenu HT est supérieur au montant HT raisonnable. Merci de revoir la ligne de dépense, plafonner son montant, ou justifier la reventillation HT / TVA.",
ROUND(IFERROR(VALUE(TRIM(SUBSTITUTE(BG49,CHAR(160),""))),0),2)&gt;
ROUND(IFERROR(VALUE(TRIM(SUBSTITUTE(BD49,CHAR(160),""))),0),2),
"Attention : Le montant TVA retenu est supérieur au montant TVA raisonnable. Merci de revoir la ligne de dépense, plafonner son montant, ou justifier la reventillation HT / TVA.",
ROUND(IFERROR(VALUE(TRIM(SUBSTITUTE(BH49,CHAR(160),""))),0),2)&gt;
ROUND(IFERROR(VALUE(TRIM(SUBSTITUTE(MIN(O49,R49,U49),CHAR(160),""))),0),2),
"Attention : Le devis retenu n'est pas le moins cher. Une justification de la part du porteur est nécessaire.",
ROUND(IFERROR(VALUE(TRIM(SUBSTITUTE(BH49,CHAR(160),""))),0),2)=0,
"Attention : montant présenté entièrement écarté",
ROUND(IFERROR(VALUE(TRIM(SUBSTITUTE(BE49,CHAR(160),""))),0),2)=
ROUND(IFERROR(VALUE(TRIM(SUBSTITUTE(BH49,CHAR(160),""))),0),2),
"OK",
ROUND(IFERROR(VALUE(TRIM(SUBSTITUTE(BE49,CHAR(160),""))),0),2)&gt;
ROUND(IFERROR(VALUE(TRIM(SUBSTITUTE(BH49,CHAR(160),""))),0),2),
" OK : Montant instruit inférieur au montant raisonnable.",
TRUE,""
))</f>
        <v/>
      </c>
      <c r="BR49" s="1357" t="str" cm="1">
        <f t="array" ref="BR49">IF(OR(BH49="",Y49="",BF49="",W49="",BG49="",X49=""),"",_xlfn.IFS(
ROUND(IFERROR(VALUE(TRIM(SUBSTITUTE(BH49,CHAR(160),""))),0),2)&gt;
ROUND(IFERROR(VALUE(TRIM(SUBSTITUTE(Y49,CHAR(160),""))),0),2),
"KO : Le montant retenu TTC est supérieur au montant présenté TTC. Merci de revoir la ligne de dépense ou plafonner son montant.",
ROUND(IFERROR(VALUE(TRIM(SUBSTITUTE(BF49,CHAR(160),""))),0),2)&gt;
ROUND(IFERROR(VALUE(TRIM(SUBSTITUTE(W49,CHAR(160),""))),0),2),
"Attention : Le montant retenu HT est supérieur au montant HT présenté. Merci de revoir la ligne de dépense, plafonner son montant, ou justifier la reventillation HT / TVA.",
ROUND(IFERROR(VALUE(TRIM(SUBSTITUTE(BG49,CHAR(160),""))),0),2)&gt;
ROUND(IFERROR(VALUE(TRIM(SUBSTITUTE(X49,CHAR(160),""))),0),2),
"Attention : Le montant TVA retenu est supérieur au montant TVA présenté. Merci de revoir la ligne de dépense, plafonner son montant, ou justifier la reventillation HT / TVA.",
ROUND(IFERROR(VALUE(TRIM(SUBSTITUTE(Y49,CHAR(160),""))),0),2)=0,
"",
ROUND(IFERROR(VALUE(TRIM(SUBSTITUTE(BH49,CHAR(160),""))),0),2)=
ROUND(IFERROR(VALUE(TRIM(SUBSTITUTE(Y49,CHAR(160),""))),0),2),
"OK",
ROUND(IFERROR(VALUE(TRIM(SUBSTITUTE(BH49,CHAR(160),""))),0),2)=0,
"Attention : Montant présenté entièrement rejeté.",
ROUND(IFERROR(VALUE(TRIM(SUBSTITUTE(BH49,CHAR(160),""))),0),2)&lt;
ROUND(IFERROR(VALUE(TRIM(SUBSTITUTE(Y49,CHAR(160),""))),0),2),
"Attention : Montant présenté partiellement rejeté.",
TRUE,""
))</f>
        <v/>
      </c>
      <c r="BS49" s="1358" t="str" cm="1">
        <f t="array" ref="BS49">IF(OR(BN49="",AE49=""),"",_xlfn.IFS(
ROUND(IFERROR(VALUE(TRIM(SUBSTITUTE(BN49,CHAR(160),""))),0),2)&gt;
ROUND(IFERROR(VALUE(TRIM(SUBSTITUTE(AE49,CHAR(160),""))),0),2),
"KO : Le montant retenu est supérieur au montant présenté. Merci de revoir la ligne de contributions ou plafonner son montant.",
ROUND(IFERROR(VALUE(TRIM(SUBSTITUTE(AE49,CHAR(160),""))),0),2)=0,
"",
ROUND(IFERROR(VALUE(TRIM(SUBSTITUTE(BN49,CHAR(160),""))),0),2)=
ROUND(IFERROR(VALUE(TRIM(SUBSTITUTE(AE49,CHAR(160),""))),0),2),
"OK",
ROUND(IFERROR(VALUE(TRIM(SUBSTITUTE(BN49,CHAR(160),""))),0),2)=0,
"Attention : Montant présenté entièrement rejeté.",
ROUND(IFERROR(VALUE(TRIM(SUBSTITUTE(BN49,CHAR(160),""))),0),2)&lt;
ROUND(IFERROR(VALUE(TRIM(SUBSTITUTE(AE49,CHAR(160),""))),0),2),
"Attention : Montant présenté partiellement rejeté.",
TRUE,""
))</f>
        <v/>
      </c>
      <c r="BT49" s="675" t="str">
        <f t="shared" si="18"/>
        <v/>
      </c>
      <c r="BU49" s="1359" t="str">
        <f t="shared" si="19"/>
        <v/>
      </c>
      <c r="BV49" s="1360" t="str">
        <f t="shared" si="20"/>
        <v/>
      </c>
    </row>
    <row r="50" spans="2:74" ht="17.100000000000001" thickBot="1">
      <c r="C50" s="74"/>
      <c r="D50" s="117"/>
      <c r="E50" s="95"/>
      <c r="F50" s="95"/>
      <c r="G50" s="95"/>
      <c r="H50" s="95"/>
      <c r="I50" s="95"/>
      <c r="J50" s="95"/>
      <c r="K50" s="95"/>
      <c r="P50" s="95"/>
      <c r="Q50" s="95"/>
      <c r="R50" s="95"/>
      <c r="S50" s="95"/>
      <c r="T50" s="95"/>
      <c r="V50" s="96" t="s">
        <v>146</v>
      </c>
      <c r="W50" s="97">
        <f>SUM(W10:W49)</f>
        <v>0</v>
      </c>
      <c r="X50" s="97">
        <f t="shared" ref="X50" si="36">SUM(X10:X49)</f>
        <v>0</v>
      </c>
      <c r="Y50" s="97">
        <f>SUM(Y10:Y49)</f>
        <v>0</v>
      </c>
      <c r="Z50" s="118"/>
      <c r="AA50" s="118"/>
      <c r="AB50" s="118"/>
      <c r="AC50" s="118"/>
      <c r="AD50" s="628" t="s">
        <v>361</v>
      </c>
      <c r="AE50" s="629">
        <f>SUM(AE10:AE49)</f>
        <v>0</v>
      </c>
      <c r="AF50" s="630">
        <f>SUM(AF10:AF49)</f>
        <v>0</v>
      </c>
      <c r="AG50" s="95"/>
      <c r="AH50" s="74"/>
      <c r="AI50" s="117"/>
      <c r="AJ50" s="95"/>
      <c r="AK50" s="95"/>
      <c r="AL50" s="95"/>
      <c r="AM50" s="95"/>
      <c r="AQ50" s="84"/>
      <c r="AR50" s="442"/>
      <c r="AS50" s="442"/>
      <c r="AT50" s="442"/>
      <c r="BE50" s="451" t="s">
        <v>147</v>
      </c>
      <c r="BF50" s="443">
        <f>SUM(BF10:BF49)</f>
        <v>0</v>
      </c>
      <c r="BG50" s="443">
        <f>SUM(BG10:BG49)</f>
        <v>0</v>
      </c>
      <c r="BH50" s="444">
        <f>SUM(BH10:BH49)</f>
        <v>0</v>
      </c>
      <c r="BI50" s="824"/>
      <c r="BK50" s="442"/>
      <c r="BL50" s="442"/>
      <c r="BM50" s="654" t="s">
        <v>147</v>
      </c>
      <c r="BN50" s="655">
        <f>SUM(BN10:BN49)</f>
        <v>0</v>
      </c>
      <c r="BO50" s="656">
        <f>SUM(BO10:BO49)</f>
        <v>0</v>
      </c>
      <c r="BS50" s="96" t="s">
        <v>148</v>
      </c>
      <c r="BT50" s="97">
        <f>SUM(BT10:BT49)</f>
        <v>0</v>
      </c>
      <c r="BU50" s="97">
        <f>SUM(BU10:BU49)</f>
        <v>0</v>
      </c>
      <c r="BV50" s="301">
        <f>SUM(BV10:BV49)</f>
        <v>0</v>
      </c>
    </row>
    <row r="51" spans="2:74" ht="15.95" thickBot="1"/>
    <row r="52" spans="2:74">
      <c r="D52" s="100" t="s">
        <v>149</v>
      </c>
      <c r="E52" s="101"/>
      <c r="F52" s="101"/>
      <c r="G52" s="102"/>
      <c r="H52" s="99"/>
    </row>
    <row r="53" spans="2:74">
      <c r="D53" s="65"/>
      <c r="E53" s="103"/>
      <c r="F53" s="103"/>
      <c r="G53" s="104"/>
      <c r="H53" s="99"/>
    </row>
    <row r="54" spans="2:74">
      <c r="D54" s="65" t="s">
        <v>150</v>
      </c>
      <c r="E54" s="103"/>
      <c r="F54" s="103"/>
      <c r="G54" s="104"/>
      <c r="H54" s="99"/>
    </row>
    <row r="55" spans="2:74">
      <c r="D55" s="65"/>
      <c r="E55" s="103"/>
      <c r="F55" s="103"/>
      <c r="G55" s="104"/>
      <c r="H55" s="99"/>
    </row>
    <row r="56" spans="2:74">
      <c r="D56" s="65"/>
      <c r="E56" s="103"/>
      <c r="F56" s="103"/>
      <c r="G56" s="104"/>
      <c r="H56" s="99"/>
    </row>
    <row r="57" spans="2:74">
      <c r="D57" s="65" t="s">
        <v>151</v>
      </c>
      <c r="E57" s="103"/>
      <c r="F57" s="103"/>
      <c r="G57" s="104"/>
      <c r="H57" s="99"/>
    </row>
    <row r="58" spans="2:74">
      <c r="D58" s="105"/>
      <c r="E58" s="103"/>
      <c r="F58" s="103"/>
      <c r="G58" s="106"/>
      <c r="H58" s="98"/>
    </row>
    <row r="59" spans="2:74">
      <c r="D59" s="105"/>
      <c r="E59" s="103"/>
      <c r="F59" s="103"/>
      <c r="G59" s="106"/>
      <c r="H59" s="98"/>
    </row>
    <row r="60" spans="2:74">
      <c r="D60" s="105"/>
      <c r="E60" s="103"/>
      <c r="F60" s="103"/>
      <c r="G60" s="106"/>
      <c r="H60" s="98"/>
    </row>
    <row r="61" spans="2:74">
      <c r="D61" s="105"/>
      <c r="E61" s="103"/>
      <c r="F61" s="103"/>
      <c r="G61" s="106"/>
      <c r="H61" s="98"/>
    </row>
    <row r="62" spans="2:74" ht="15.95" thickBot="1">
      <c r="D62" s="107"/>
      <c r="E62" s="108"/>
      <c r="F62" s="108"/>
      <c r="G62" s="109"/>
      <c r="H62" s="98"/>
    </row>
  </sheetData>
  <sheetProtection algorithmName="SHA-512" hashValue="/Vac5T6Pn4yPassfdzVjJiEvfNH5sSNEFryPYyZKiI0hwqhzGZRko49iN5ZbJJ7lDWG9Jedjp2nNOZ9FFPA5xw==" saltValue="ABb8Sj/mLB1gIOK94zzxHw==" spinCount="100000" sheet="1" formatCells="0" formatColumns="0" formatRows="0" insertColumns="0" insertRows="0" insertHyperlinks="0" deleteColumns="0" deleteRows="0" sort="0" autoFilter="0" pivotTables="0"/>
  <mergeCells count="16">
    <mergeCell ref="AL6:BH6"/>
    <mergeCell ref="AH5:BV5"/>
    <mergeCell ref="B7:B8"/>
    <mergeCell ref="B5:AG5"/>
    <mergeCell ref="AF7:AF8"/>
    <mergeCell ref="AG7:AG8"/>
    <mergeCell ref="AH6:AK6"/>
    <mergeCell ref="BO7:BO8"/>
    <mergeCell ref="BI6:BN6"/>
    <mergeCell ref="Z6:AE6"/>
    <mergeCell ref="D2:K2"/>
    <mergeCell ref="D3:K3"/>
    <mergeCell ref="M2:S2"/>
    <mergeCell ref="M3:S3"/>
    <mergeCell ref="C6:F6"/>
    <mergeCell ref="G6:Y6"/>
  </mergeCells>
  <phoneticPr fontId="31" type="noConversion"/>
  <conditionalFormatting sqref="AE9:AE49">
    <cfRule type="expression" dxfId="29" priority="4">
      <formula>AE9=0</formula>
    </cfRule>
  </conditionalFormatting>
  <conditionalFormatting sqref="AH10:AS49 AU10:AV49 AX10:AY49">
    <cfRule type="expression" dxfId="28" priority="19" stopIfTrue="1">
      <formula>AH10&lt;&gt;C10</formula>
    </cfRule>
  </conditionalFormatting>
  <conditionalFormatting sqref="BB10:BB49">
    <cfRule type="containsText" dxfId="27" priority="16" operator="containsText" text="Non">
      <formula>NOT(ISERROR(SEARCH("Non",BB10)))</formula>
    </cfRule>
  </conditionalFormatting>
  <conditionalFormatting sqref="BN10:BN49">
    <cfRule type="expression" dxfId="26" priority="2">
      <formula>BN10=0</formula>
    </cfRule>
  </conditionalFormatting>
  <conditionalFormatting sqref="BQ9:BS49">
    <cfRule type="containsText" dxfId="25" priority="13" stopIfTrue="1" operator="containsText" text="Attention">
      <formula>NOT(ISERROR(SEARCH("Attention",BQ9)))</formula>
    </cfRule>
    <cfRule type="containsText" dxfId="24" priority="14" operator="containsText" text="KO">
      <formula>NOT(ISERROR(SEARCH("KO",BQ9)))</formula>
    </cfRule>
    <cfRule type="containsText" dxfId="23" priority="15" operator="containsText" text="OK">
      <formula>NOT(ISERROR(SEARCH("OK",BQ9)))</formula>
    </cfRule>
  </conditionalFormatting>
  <dataValidations count="8">
    <dataValidation type="list" allowBlank="1" showInputMessage="1" showErrorMessage="1" sqref="D9:D49 AI9:AI49" xr:uid="{59151DBE-A353-482C-9BBC-30F1EDE93DEB}">
      <formula1>"Création groupes opérationnels, Projets groupes opérationnels, Diffusion résultats"</formula1>
    </dataValidation>
    <dataValidation type="list" allowBlank="1" showInputMessage="1" showErrorMessage="1" sqref="BB9:BB49" xr:uid="{3ED47CDB-D025-4403-A6D8-B19B1D1AF012}">
      <formula1>"Oui,Non,Sans objet"</formula1>
    </dataValidation>
    <dataValidation type="list" allowBlank="1" showInputMessage="1" showErrorMessage="1" sqref="H9:H49 AM9" xr:uid="{97861157-12A2-4608-B806-3864FF946208}">
      <formula1>"Oui,Non,Non Concerné"</formula1>
    </dataValidation>
    <dataValidation type="list" allowBlank="1" showInputMessage="1" showErrorMessage="1" sqref="G9:G49 AL9" xr:uid="{957CFED4-2133-42E0-983C-720D5DDCBCA8}">
      <formula1>"Pas de marché public , Marché à procédure adaptée (MAPA) , Marché innovant , Marché à procédure formalisée"</formula1>
    </dataValidation>
    <dataValidation type="list" allowBlank="1" showInputMessage="1" showErrorMessage="1" sqref="C9:C49 AH9" xr:uid="{A2F5AFB0-5C6A-42CF-9AAE-C54438D9E358}">
      <formula1>"Chef de file,Partenaire 1,Partenaire 2, Partenaire 3,Partenaire 4, Partenaire 5,Partenaire 6,Partenaire 7"</formula1>
    </dataValidation>
    <dataValidation type="list" allowBlank="1" showInputMessage="1" showErrorMessage="1" sqref="V10:V49" xr:uid="{067F2712-2C58-A245-98C1-FBFBE3AEB163}">
      <formula1>"Devis 1,Devis 2,Devis 3"</formula1>
    </dataValidation>
    <dataValidation type="list" allowBlank="1" showInputMessage="1" showErrorMessage="1" sqref="F10:F49 AK10:AK49" xr:uid="{C87730C3-F955-A84B-A3E3-ADB813F054E3}">
      <formula1>"Oui,Non"</formula1>
    </dataValidation>
    <dataValidation type="list" allowBlank="1" showInputMessage="1" showErrorMessage="1" sqref="Z9:Z49" xr:uid="{D8FD21A4-7D14-4143-A343-E97F6FCBF625}">
      <formula1>$BZ$5:$BZ$9</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B209F-C340-491D-9352-91A4B0FDA342}">
  <sheetPr codeName="Feuil9">
    <tabColor theme="8" tint="0.59999389629810485"/>
  </sheetPr>
  <dimension ref="B2:AD61"/>
  <sheetViews>
    <sheetView showGridLines="0" topLeftCell="E1" zoomScale="70" zoomScaleNormal="59" workbookViewId="0">
      <selection activeCell="AE18" sqref="AE18"/>
    </sheetView>
  </sheetViews>
  <sheetFormatPr defaultColWidth="11.42578125" defaultRowHeight="15" outlineLevelCol="1"/>
  <cols>
    <col min="1" max="1" width="5.42578125" customWidth="1"/>
    <col min="3" max="5" width="20.42578125" customWidth="1"/>
    <col min="6" max="10" width="21.42578125" customWidth="1"/>
    <col min="11" max="11" width="21.42578125" style="1044" customWidth="1"/>
    <col min="12" max="13" width="21.42578125" customWidth="1"/>
    <col min="14" max="14" width="19.42578125" customWidth="1"/>
    <col min="15" max="17" width="20.42578125" hidden="1" customWidth="1" outlineLevel="1"/>
    <col min="18" max="18" width="23.42578125" hidden="1" customWidth="1" outlineLevel="1"/>
    <col min="19" max="25" width="19.42578125" hidden="1" customWidth="1" outlineLevel="1"/>
    <col min="26" max="26" width="20.42578125" hidden="1" customWidth="1" outlineLevel="1"/>
    <col min="27" max="27" width="42.42578125" hidden="1" customWidth="1" outlineLevel="1"/>
    <col min="28" max="28" width="43.42578125" hidden="1" customWidth="1" outlineLevel="1"/>
    <col min="29" max="29" width="16" hidden="1" customWidth="1" outlineLevel="1"/>
    <col min="30" max="30" width="16" customWidth="1" collapsed="1"/>
  </cols>
  <sheetData>
    <row r="2" spans="2:30" ht="18.75" customHeight="1">
      <c r="D2" s="111"/>
      <c r="E2" s="111"/>
      <c r="F2" s="110"/>
      <c r="G2" s="110"/>
      <c r="H2" s="110"/>
      <c r="I2" s="110"/>
      <c r="J2" s="110"/>
      <c r="K2" s="1459"/>
      <c r="L2" s="110"/>
      <c r="M2" s="110"/>
      <c r="N2" s="110"/>
    </row>
    <row r="3" spans="2:30">
      <c r="D3" s="111"/>
      <c r="E3" s="111"/>
      <c r="F3" s="111"/>
      <c r="G3" s="111"/>
      <c r="H3" s="111"/>
      <c r="I3" s="111"/>
      <c r="J3" s="111"/>
      <c r="K3" s="1460"/>
      <c r="L3" s="111"/>
      <c r="M3" s="111"/>
      <c r="N3" s="111"/>
    </row>
    <row r="4" spans="2:30" ht="20.100000000000001" thickBot="1">
      <c r="C4" s="112"/>
      <c r="D4" s="112"/>
    </row>
    <row r="5" spans="2:30" ht="26.45" customHeight="1" thickBot="1">
      <c r="B5" s="1915" t="s">
        <v>362</v>
      </c>
      <c r="C5" s="1916"/>
      <c r="D5" s="1916"/>
      <c r="E5" s="1916"/>
      <c r="F5" s="1916"/>
      <c r="G5" s="1916"/>
      <c r="H5" s="1916"/>
      <c r="I5" s="1916"/>
      <c r="J5" s="1916"/>
      <c r="K5" s="1916"/>
      <c r="L5" s="1916"/>
      <c r="M5" s="1916"/>
      <c r="N5" s="1916"/>
      <c r="O5" s="1917" t="s">
        <v>363</v>
      </c>
      <c r="P5" s="1918"/>
      <c r="Q5" s="1918"/>
      <c r="R5" s="1918"/>
      <c r="S5" s="1918"/>
      <c r="T5" s="1918"/>
      <c r="U5" s="1918"/>
      <c r="V5" s="1918"/>
      <c r="W5" s="1918"/>
      <c r="X5" s="1918"/>
      <c r="Y5" s="1918"/>
      <c r="Z5" s="1918"/>
      <c r="AA5" s="1918"/>
      <c r="AB5" s="1918"/>
      <c r="AC5" s="1919"/>
      <c r="AD5" s="491"/>
    </row>
    <row r="6" spans="2:30" s="1" customFormat="1" ht="55.5" customHeight="1">
      <c r="B6" s="1913" t="s">
        <v>97</v>
      </c>
      <c r="C6" s="155" t="s">
        <v>98</v>
      </c>
      <c r="D6" s="113" t="s">
        <v>364</v>
      </c>
      <c r="E6" s="114" t="s">
        <v>365</v>
      </c>
      <c r="F6" s="1223" t="s">
        <v>366</v>
      </c>
      <c r="G6" s="1223" t="s">
        <v>367</v>
      </c>
      <c r="H6" s="1450" t="s">
        <v>368</v>
      </c>
      <c r="I6" s="1450" t="s">
        <v>369</v>
      </c>
      <c r="J6" s="1450" t="s">
        <v>370</v>
      </c>
      <c r="K6" s="1461" t="s">
        <v>371</v>
      </c>
      <c r="L6" s="1223" t="s">
        <v>372</v>
      </c>
      <c r="M6" s="85" t="s">
        <v>373</v>
      </c>
      <c r="N6" s="85" t="s">
        <v>34</v>
      </c>
      <c r="O6" s="495" t="s">
        <v>98</v>
      </c>
      <c r="P6" s="115" t="s">
        <v>364</v>
      </c>
      <c r="Q6" s="86" t="s">
        <v>365</v>
      </c>
      <c r="R6" s="1223" t="s">
        <v>366</v>
      </c>
      <c r="S6" s="1223" t="s">
        <v>367</v>
      </c>
      <c r="T6" s="1450" t="s">
        <v>368</v>
      </c>
      <c r="U6" s="1450" t="s">
        <v>369</v>
      </c>
      <c r="V6" s="1450" t="s">
        <v>370</v>
      </c>
      <c r="W6" s="1461" t="s">
        <v>371</v>
      </c>
      <c r="X6" s="1223" t="s">
        <v>372</v>
      </c>
      <c r="Y6" s="52" t="s">
        <v>114</v>
      </c>
      <c r="Z6" s="88" t="s">
        <v>115</v>
      </c>
      <c r="AA6" s="88" t="s">
        <v>116</v>
      </c>
      <c r="AB6" s="88" t="s">
        <v>52</v>
      </c>
      <c r="AC6" s="419" t="s">
        <v>53</v>
      </c>
    </row>
    <row r="7" spans="2:30" ht="134.44999999999999" customHeight="1" thickBot="1">
      <c r="B7" s="1914"/>
      <c r="C7" s="156" t="s">
        <v>117</v>
      </c>
      <c r="D7" s="53" t="s">
        <v>118</v>
      </c>
      <c r="E7" s="53" t="s">
        <v>374</v>
      </c>
      <c r="F7" s="1455" t="s">
        <v>375</v>
      </c>
      <c r="G7" s="122" t="s">
        <v>376</v>
      </c>
      <c r="H7" s="1451" t="s">
        <v>377</v>
      </c>
      <c r="I7" s="1451" t="s">
        <v>378</v>
      </c>
      <c r="J7" s="1451" t="s">
        <v>379</v>
      </c>
      <c r="K7" s="1462" t="s">
        <v>380</v>
      </c>
      <c r="L7" s="1455" t="s">
        <v>381</v>
      </c>
      <c r="M7" s="123" t="s">
        <v>382</v>
      </c>
      <c r="N7" s="122" t="s">
        <v>39</v>
      </c>
      <c r="O7" s="464" t="s">
        <v>57</v>
      </c>
      <c r="P7" s="55" t="s">
        <v>57</v>
      </c>
      <c r="Q7" s="90" t="s">
        <v>54</v>
      </c>
      <c r="R7" s="1455" t="s">
        <v>375</v>
      </c>
      <c r="S7" s="90" t="s">
        <v>54</v>
      </c>
      <c r="T7" s="1451" t="s">
        <v>377</v>
      </c>
      <c r="U7" s="1451" t="s">
        <v>378</v>
      </c>
      <c r="V7" s="1451" t="s">
        <v>379</v>
      </c>
      <c r="W7" s="1462" t="s">
        <v>380</v>
      </c>
      <c r="X7" s="1455" t="s">
        <v>381</v>
      </c>
      <c r="Y7" s="89" t="s">
        <v>136</v>
      </c>
      <c r="Z7" s="90" t="s">
        <v>54</v>
      </c>
      <c r="AA7" s="55" t="s">
        <v>55</v>
      </c>
      <c r="AB7" s="55" t="s">
        <v>56</v>
      </c>
      <c r="AC7" s="420" t="s">
        <v>57</v>
      </c>
    </row>
    <row r="8" spans="2:30" s="116" customFormat="1" ht="65.099999999999994" thickBot="1">
      <c r="B8" s="456" t="s">
        <v>84</v>
      </c>
      <c r="C8" s="369" t="s">
        <v>13</v>
      </c>
      <c r="D8" s="446" t="s">
        <v>88</v>
      </c>
      <c r="E8" s="446" t="s">
        <v>383</v>
      </c>
      <c r="F8" s="500">
        <v>1</v>
      </c>
      <c r="G8" s="447" t="s">
        <v>384</v>
      </c>
      <c r="H8" s="1452" t="s">
        <v>139</v>
      </c>
      <c r="I8" s="1471">
        <v>0</v>
      </c>
      <c r="J8" s="501">
        <v>50</v>
      </c>
      <c r="K8" s="501" t="s">
        <v>385</v>
      </c>
      <c r="L8" s="1472" t="s">
        <v>386</v>
      </c>
      <c r="M8" s="503">
        <f>F8*J8</f>
        <v>50</v>
      </c>
      <c r="N8" s="504"/>
      <c r="O8" s="465" t="s">
        <v>13</v>
      </c>
      <c r="P8" s="446" t="s">
        <v>88</v>
      </c>
      <c r="Q8" s="446" t="s">
        <v>383</v>
      </c>
      <c r="R8" s="500">
        <v>1</v>
      </c>
      <c r="S8" s="447" t="s">
        <v>384</v>
      </c>
      <c r="T8" s="1452" t="s">
        <v>139</v>
      </c>
      <c r="U8" s="1471">
        <v>0</v>
      </c>
      <c r="V8" s="1468">
        <v>50</v>
      </c>
      <c r="W8" s="501">
        <v>50</v>
      </c>
      <c r="X8" s="502" t="s">
        <v>385</v>
      </c>
      <c r="Y8" s="446" t="s">
        <v>141</v>
      </c>
      <c r="Z8" s="450">
        <v>50</v>
      </c>
      <c r="AA8" s="505"/>
      <c r="AB8" s="490" t="str" cm="1">
        <f t="array" ref="AB8">IF(OR(Z8="",M8=""),"",_xlfn.IFS((IFERROR(VALUE(TRIM(SUBSTITUTE(Z8,CHAR(160),""))),0))&gt;(IFERROR(VALUE(TRIM(SUBSTITUTE(M8,CHAR(160),""))),0)),"KO : Le montant retenu est supérieur au montant présenté. Merci de revoir la ligne de contribution ou plafonner son montant.",(IFERROR(VALUE(TRIM(SUBSTITUTE(M8,CHAR(160),""))),0))=0,"",(IFERROR(VALUE(TRIM(SUBSTITUTE(Z8,CHAR(160),""))),0))=(IFERROR(VALUE(TRIM(SUBSTITUTE(M8,CHAR(160),""))),0)),"OK",(IFERROR(VALUE(TRIM(SUBSTITUTE(Z8,CHAR(160),""))),0))&lt;(IFERROR(VALUE(TRIM(SUBSTITUTE(M8,CHAR(160),""))),0)),"Montant instruit inférieur au montant présenté.",TRUE,""))</f>
        <v>OK</v>
      </c>
      <c r="AC8" s="493">
        <v>0</v>
      </c>
    </row>
    <row r="9" spans="2:30" ht="15.95">
      <c r="B9" s="497">
        <v>1</v>
      </c>
      <c r="C9" s="1367"/>
      <c r="D9" s="10"/>
      <c r="E9" s="1368"/>
      <c r="F9" s="1473"/>
      <c r="G9" s="10"/>
      <c r="H9" s="1474"/>
      <c r="I9" s="1475"/>
      <c r="J9" s="1476" t="str">
        <f t="shared" ref="J9:J48" si="0">IF(H9="Oui",12.02*I9,IF(H9="Non",0,""))</f>
        <v/>
      </c>
      <c r="K9" s="1477"/>
      <c r="L9" s="1478"/>
      <c r="M9" s="1479" t="str">
        <f t="shared" ref="M9:M48" si="1">IF(H9="Oui",J9,IF(OR(K9="",F9=""),"",IF((IFERROR(VALUE(TRIM(SUBSTITUTE(K9,CHAR(160),""))),0))*(IFERROR(VALUE(TRIM(SUBSTITUTE(F9,CHAR(160),""))),0))=0,"",(IFERROR(VALUE(TRIM(SUBSTITUTE(K9,CHAR(160),""))),0))*(IFERROR(VALUE(TRIM(SUBSTITUTE(F9,CHAR(160),""))),0)))))</f>
        <v/>
      </c>
      <c r="N9" s="1272"/>
      <c r="O9" s="297" t="str">
        <f t="shared" ref="O9:O48" si="2">IF(C9="","",C9)</f>
        <v/>
      </c>
      <c r="P9" s="94" t="str">
        <f t="shared" ref="P9:P48" si="3">IF(D9="","",D9)</f>
        <v/>
      </c>
      <c r="Q9" s="94" t="str">
        <f t="shared" ref="Q9:Q48" si="4">IF(E9="","",E9)</f>
        <v/>
      </c>
      <c r="R9" s="94" t="str">
        <f t="shared" ref="R9:R48" si="5">IF(F9="","",F9)</f>
        <v/>
      </c>
      <c r="S9" s="94" t="str">
        <f t="shared" ref="S9:S48" si="6">IF(G9="","",G9)</f>
        <v/>
      </c>
      <c r="T9" s="94" t="str">
        <f t="shared" ref="T9:T48" si="7">IF(H9="","",H9)</f>
        <v/>
      </c>
      <c r="U9" s="94" t="str">
        <f t="shared" ref="U9:U48" si="8">IF(I9="","",I9)</f>
        <v/>
      </c>
      <c r="V9" s="1476" t="str">
        <f t="shared" ref="V9:V48" si="9">IF(T9="Oui",12.02*U9,IF(T9="Non",0,""))</f>
        <v/>
      </c>
      <c r="W9" s="1484" t="str">
        <f t="shared" ref="W9:W48" si="10">IF(K9="","",K9)</f>
        <v/>
      </c>
      <c r="X9" s="94" t="str">
        <f t="shared" ref="X9:X48" si="11">IF(L9="","",L9)</f>
        <v/>
      </c>
      <c r="Y9" s="1277"/>
      <c r="Z9" s="1479" t="str">
        <f t="shared" ref="Z9:Z48" si="12">IF(T9="Oui",V9,IF(OR(W9="",R9=""),"",IF((IFERROR(VALUE(TRIM(SUBSTITUTE(W9,CHAR(160),""))),0))*(IFERROR(VALUE(TRIM(SUBSTITUTE(R9,CHAR(160),""))),0))=0,"",(IFERROR(VALUE(TRIM(SUBSTITUTE(W9,CHAR(160),""))),0))*(IFERROR(VALUE(TRIM(SUBSTITUTE(R9,CHAR(160),""))),0)))))</f>
        <v/>
      </c>
      <c r="AA9" s="1485"/>
      <c r="AB9" s="94" t="str" cm="1">
        <f t="array" ref="AB9">IF(OR(Z9="",M9=""),"",_xlfn.IFS((IFERROR(VALUE(TRIM(SUBSTITUTE(Z9,CHAR(160),""))),0))&gt;(IFERROR(VALUE(TRIM(SUBSTITUTE(M9,CHAR(160),""))),0)),"KO : Le montant retenu est supérieur au montant présenté. Merci de revoir la ligne de contribution ou plafonner son montant.",(IFERROR(VALUE(TRIM(SUBSTITUTE(M9,CHAR(160),""))),0))=0,"",(IFERROR(VALUE(TRIM(SUBSTITUTE(Z9,CHAR(160),""))),0))=(IFERROR(VALUE(TRIM(SUBSTITUTE(M9,CHAR(160),""))),0)),"OK",(IFERROR(VALUE(TRIM(SUBSTITUTE(Z9,CHAR(160),""))),0))&lt;(IFERROR(VALUE(TRIM(SUBSTITUTE(M9,CHAR(160),""))),0)),"Montant instruit inférieur au montant présenté.",TRUE,""))</f>
        <v/>
      </c>
      <c r="AC9" s="1486" t="str">
        <f t="shared" ref="AC9:AC48" si="13">IF(OR(M9="",Z9=""),"",(IFERROR(VALUE(TRIM(SUBSTITUTE(M9,CHAR(160),""))),0))-(IFERROR(VALUE(TRIM(SUBSTITUTE(Z9,CHAR(160),""))),0)))</f>
        <v/>
      </c>
    </row>
    <row r="10" spans="2:30" ht="15.95" customHeight="1">
      <c r="B10" s="498">
        <v>2</v>
      </c>
      <c r="C10" s="119"/>
      <c r="D10" s="11"/>
      <c r="E10" s="6"/>
      <c r="F10" s="29"/>
      <c r="G10" s="11"/>
      <c r="H10" s="1201"/>
      <c r="I10" s="509"/>
      <c r="J10" s="1456" t="str">
        <f t="shared" si="0"/>
        <v/>
      </c>
      <c r="K10" s="1463"/>
      <c r="L10" s="1458"/>
      <c r="M10" s="1203" t="str">
        <f t="shared" si="1"/>
        <v/>
      </c>
      <c r="N10" s="473"/>
      <c r="O10" s="215" t="str">
        <f t="shared" si="2"/>
        <v/>
      </c>
      <c r="P10" s="57" t="str">
        <f t="shared" si="3"/>
        <v/>
      </c>
      <c r="Q10" s="57" t="str">
        <f t="shared" si="4"/>
        <v/>
      </c>
      <c r="R10" s="57" t="str">
        <f t="shared" si="5"/>
        <v/>
      </c>
      <c r="S10" s="57" t="str">
        <f t="shared" si="6"/>
        <v/>
      </c>
      <c r="T10" s="57" t="str">
        <f t="shared" si="7"/>
        <v/>
      </c>
      <c r="U10" s="57" t="str">
        <f t="shared" si="8"/>
        <v/>
      </c>
      <c r="V10" s="1456" t="str">
        <f t="shared" si="9"/>
        <v/>
      </c>
      <c r="W10" s="379" t="str">
        <f t="shared" si="10"/>
        <v/>
      </c>
      <c r="X10" s="57" t="str">
        <f t="shared" si="11"/>
        <v/>
      </c>
      <c r="Y10" s="1243"/>
      <c r="Z10" s="1203" t="str">
        <f t="shared" si="12"/>
        <v/>
      </c>
      <c r="AA10" s="1469"/>
      <c r="AB10" s="57" t="str" cm="1">
        <f t="array" ref="AB10">IF(OR(Z10="",M10=""),"",_xlfn.IFS((IFERROR(VALUE(TRIM(SUBSTITUTE(Z10,CHAR(160),""))),0))&gt;(IFERROR(VALUE(TRIM(SUBSTITUTE(M10,CHAR(160),""))),0)),"KO : Le montant retenu est supérieur au montant présenté. Merci de revoir la ligne de contribution ou plafonner son montant.",(IFERROR(VALUE(TRIM(SUBSTITUTE(M10,CHAR(160),""))),0))=0,"",(IFERROR(VALUE(TRIM(SUBSTITUTE(Z10,CHAR(160),""))),0))=(IFERROR(VALUE(TRIM(SUBSTITUTE(M10,CHAR(160),""))),0)),"OK",(IFERROR(VALUE(TRIM(SUBSTITUTE(Z10,CHAR(160),""))),0))&lt;(IFERROR(VALUE(TRIM(SUBSTITUTE(M10,CHAR(160),""))),0)),"Montant instruit inférieur au montant présenté.",TRUE,""))</f>
        <v/>
      </c>
      <c r="AC10" s="1487" t="str">
        <f t="shared" si="13"/>
        <v/>
      </c>
    </row>
    <row r="11" spans="2:30" ht="15.95" customHeight="1">
      <c r="B11" s="498">
        <v>3</v>
      </c>
      <c r="C11" s="119"/>
      <c r="D11" s="11"/>
      <c r="E11" s="6"/>
      <c r="F11" s="29"/>
      <c r="G11" s="11"/>
      <c r="H11" s="1201"/>
      <c r="I11" s="25"/>
      <c r="J11" s="1456" t="str">
        <f t="shared" si="0"/>
        <v/>
      </c>
      <c r="K11" s="1463"/>
      <c r="L11" s="11"/>
      <c r="M11" s="1467" t="str">
        <f t="shared" si="1"/>
        <v/>
      </c>
      <c r="N11" s="488"/>
      <c r="O11" s="215" t="str">
        <f t="shared" si="2"/>
        <v/>
      </c>
      <c r="P11" s="57" t="str">
        <f t="shared" si="3"/>
        <v/>
      </c>
      <c r="Q11" s="57" t="str">
        <f t="shared" si="4"/>
        <v/>
      </c>
      <c r="R11" s="57" t="str">
        <f t="shared" si="5"/>
        <v/>
      </c>
      <c r="S11" s="57" t="str">
        <f t="shared" si="6"/>
        <v/>
      </c>
      <c r="T11" s="57" t="str">
        <f t="shared" si="7"/>
        <v/>
      </c>
      <c r="U11" s="57" t="str">
        <f t="shared" si="8"/>
        <v/>
      </c>
      <c r="V11" s="1456" t="str">
        <f t="shared" si="9"/>
        <v/>
      </c>
      <c r="W11" s="379" t="str">
        <f t="shared" si="10"/>
        <v/>
      </c>
      <c r="X11" s="57" t="str">
        <f t="shared" si="11"/>
        <v/>
      </c>
      <c r="Y11" s="1243"/>
      <c r="Z11" s="1203" t="str">
        <f t="shared" si="12"/>
        <v/>
      </c>
      <c r="AA11" s="1469"/>
      <c r="AB11" s="57" t="str" cm="1">
        <f t="array" ref="AB11">IF(OR(Z11="",M11=""),"",_xlfn.IFS((IFERROR(VALUE(TRIM(SUBSTITUTE(Z11,CHAR(160),""))),0))&gt;(IFERROR(VALUE(TRIM(SUBSTITUTE(M11,CHAR(160),""))),0)),"KO : Le montant retenu est supérieur au montant présenté. Merci de revoir la ligne de contribution ou plafonner son montant.",(IFERROR(VALUE(TRIM(SUBSTITUTE(M11,CHAR(160),""))),0))=0,"",(IFERROR(VALUE(TRIM(SUBSTITUTE(Z11,CHAR(160),""))),0))=(IFERROR(VALUE(TRIM(SUBSTITUTE(M11,CHAR(160),""))),0)),"OK",(IFERROR(VALUE(TRIM(SUBSTITUTE(Z11,CHAR(160),""))),0))&lt;(IFERROR(VALUE(TRIM(SUBSTITUTE(M11,CHAR(160),""))),0)),"Montant instruit inférieur au montant présenté.",TRUE,""))</f>
        <v/>
      </c>
      <c r="AC11" s="1487" t="str">
        <f t="shared" si="13"/>
        <v/>
      </c>
    </row>
    <row r="12" spans="2:30" ht="15.95" customHeight="1">
      <c r="B12" s="498">
        <v>4</v>
      </c>
      <c r="C12" s="119"/>
      <c r="D12" s="11"/>
      <c r="E12" s="6"/>
      <c r="F12" s="29"/>
      <c r="G12" s="11"/>
      <c r="H12" s="1201"/>
      <c r="I12" s="25"/>
      <c r="J12" s="1456" t="str">
        <f t="shared" si="0"/>
        <v/>
      </c>
      <c r="K12" s="1463"/>
      <c r="L12" s="11"/>
      <c r="M12" s="1467" t="str">
        <f t="shared" si="1"/>
        <v/>
      </c>
      <c r="N12" s="488"/>
      <c r="O12" s="215" t="str">
        <f t="shared" si="2"/>
        <v/>
      </c>
      <c r="P12" s="57" t="str">
        <f t="shared" si="3"/>
        <v/>
      </c>
      <c r="Q12" s="57" t="str">
        <f t="shared" si="4"/>
        <v/>
      </c>
      <c r="R12" s="57" t="str">
        <f t="shared" si="5"/>
        <v/>
      </c>
      <c r="S12" s="57" t="str">
        <f t="shared" si="6"/>
        <v/>
      </c>
      <c r="T12" s="57" t="str">
        <f t="shared" si="7"/>
        <v/>
      </c>
      <c r="U12" s="57" t="str">
        <f t="shared" si="8"/>
        <v/>
      </c>
      <c r="V12" s="1456" t="str">
        <f t="shared" si="9"/>
        <v/>
      </c>
      <c r="W12" s="379" t="str">
        <f t="shared" si="10"/>
        <v/>
      </c>
      <c r="X12" s="57" t="str">
        <f t="shared" si="11"/>
        <v/>
      </c>
      <c r="Y12" s="1243"/>
      <c r="Z12" s="1203" t="str">
        <f t="shared" si="12"/>
        <v/>
      </c>
      <c r="AA12" s="1469"/>
      <c r="AB12" s="57" t="str" cm="1">
        <f t="array" ref="AB12">IF(OR(Z12="",M12=""),"",_xlfn.IFS((IFERROR(VALUE(TRIM(SUBSTITUTE(Z12,CHAR(160),""))),0))&gt;(IFERROR(VALUE(TRIM(SUBSTITUTE(M12,CHAR(160),""))),0)),"KO : Le montant retenu est supérieur au montant présenté. Merci de revoir la ligne de contribution ou plafonner son montant.",(IFERROR(VALUE(TRIM(SUBSTITUTE(M12,CHAR(160),""))),0))=0,"",(IFERROR(VALUE(TRIM(SUBSTITUTE(Z12,CHAR(160),""))),0))=(IFERROR(VALUE(TRIM(SUBSTITUTE(M12,CHAR(160),""))),0)),"OK",(IFERROR(VALUE(TRIM(SUBSTITUTE(Z12,CHAR(160),""))),0))&lt;(IFERROR(VALUE(TRIM(SUBSTITUTE(M12,CHAR(160),""))),0)),"Montant instruit inférieur au montant présenté.",TRUE,""))</f>
        <v/>
      </c>
      <c r="AC12" s="1487" t="str">
        <f t="shared" si="13"/>
        <v/>
      </c>
    </row>
    <row r="13" spans="2:30" ht="15.95" customHeight="1">
      <c r="B13" s="498">
        <v>5</v>
      </c>
      <c r="C13" s="119"/>
      <c r="D13" s="11"/>
      <c r="E13" s="6"/>
      <c r="F13" s="29"/>
      <c r="G13" s="11"/>
      <c r="H13" s="1201"/>
      <c r="I13" s="25"/>
      <c r="J13" s="1456" t="str">
        <f t="shared" si="0"/>
        <v/>
      </c>
      <c r="K13" s="1463"/>
      <c r="L13" s="11"/>
      <c r="M13" s="1467" t="str">
        <f t="shared" si="1"/>
        <v/>
      </c>
      <c r="N13" s="25"/>
      <c r="O13" s="215" t="str">
        <f t="shared" si="2"/>
        <v/>
      </c>
      <c r="P13" s="57" t="str">
        <f t="shared" si="3"/>
        <v/>
      </c>
      <c r="Q13" s="57" t="str">
        <f t="shared" si="4"/>
        <v/>
      </c>
      <c r="R13" s="57" t="str">
        <f t="shared" si="5"/>
        <v/>
      </c>
      <c r="S13" s="57" t="str">
        <f t="shared" si="6"/>
        <v/>
      </c>
      <c r="T13" s="57" t="str">
        <f t="shared" si="7"/>
        <v/>
      </c>
      <c r="U13" s="57" t="str">
        <f t="shared" si="8"/>
        <v/>
      </c>
      <c r="V13" s="1456" t="str">
        <f t="shared" si="9"/>
        <v/>
      </c>
      <c r="W13" s="379" t="str">
        <f t="shared" si="10"/>
        <v/>
      </c>
      <c r="X13" s="57" t="str">
        <f t="shared" si="11"/>
        <v/>
      </c>
      <c r="Y13" s="1243"/>
      <c r="Z13" s="1203" t="str">
        <f t="shared" si="12"/>
        <v/>
      </c>
      <c r="AA13" s="1469"/>
      <c r="AB13" s="57" t="str" cm="1">
        <f t="array" ref="AB13">IF(OR(Z13="",M13=""),"",_xlfn.IFS((IFERROR(VALUE(TRIM(SUBSTITUTE(Z13,CHAR(160),""))),0))&gt;(IFERROR(VALUE(TRIM(SUBSTITUTE(M13,CHAR(160),""))),0)),"KO : Le montant retenu est supérieur au montant présenté. Merci de revoir la ligne de contribution ou plafonner son montant.",(IFERROR(VALUE(TRIM(SUBSTITUTE(M13,CHAR(160),""))),0))=0,"",(IFERROR(VALUE(TRIM(SUBSTITUTE(Z13,CHAR(160),""))),0))=(IFERROR(VALUE(TRIM(SUBSTITUTE(M13,CHAR(160),""))),0)),"OK",(IFERROR(VALUE(TRIM(SUBSTITUTE(Z13,CHAR(160),""))),0))&lt;(IFERROR(VALUE(TRIM(SUBSTITUTE(M13,CHAR(160),""))),0)),"Montant instruit inférieur au montant présenté.",TRUE,""))</f>
        <v/>
      </c>
      <c r="AC13" s="1487" t="str">
        <f t="shared" si="13"/>
        <v/>
      </c>
    </row>
    <row r="14" spans="2:30" ht="15.95" customHeight="1">
      <c r="B14" s="498">
        <v>6</v>
      </c>
      <c r="C14" s="119"/>
      <c r="D14" s="11"/>
      <c r="E14" s="6"/>
      <c r="F14" s="29"/>
      <c r="G14" s="11"/>
      <c r="H14" s="1201"/>
      <c r="I14" s="25"/>
      <c r="J14" s="1456" t="str">
        <f t="shared" si="0"/>
        <v/>
      </c>
      <c r="K14" s="1463"/>
      <c r="L14" s="11"/>
      <c r="M14" s="1467" t="str">
        <f t="shared" si="1"/>
        <v/>
      </c>
      <c r="N14" s="25"/>
      <c r="O14" s="215" t="str">
        <f t="shared" si="2"/>
        <v/>
      </c>
      <c r="P14" s="57" t="str">
        <f t="shared" si="3"/>
        <v/>
      </c>
      <c r="Q14" s="57" t="str">
        <f t="shared" si="4"/>
        <v/>
      </c>
      <c r="R14" s="57" t="str">
        <f t="shared" si="5"/>
        <v/>
      </c>
      <c r="S14" s="57" t="str">
        <f t="shared" si="6"/>
        <v/>
      </c>
      <c r="T14" s="57" t="str">
        <f t="shared" si="7"/>
        <v/>
      </c>
      <c r="U14" s="57" t="str">
        <f t="shared" si="8"/>
        <v/>
      </c>
      <c r="V14" s="1456" t="str">
        <f t="shared" si="9"/>
        <v/>
      </c>
      <c r="W14" s="379" t="str">
        <f t="shared" si="10"/>
        <v/>
      </c>
      <c r="X14" s="57" t="str">
        <f t="shared" si="11"/>
        <v/>
      </c>
      <c r="Y14" s="1243"/>
      <c r="Z14" s="1203" t="str">
        <f t="shared" si="12"/>
        <v/>
      </c>
      <c r="AA14" s="1469"/>
      <c r="AB14" s="57" t="str" cm="1">
        <f t="array" ref="AB14">IF(OR(Z14="",M14=""),"",_xlfn.IFS((IFERROR(VALUE(TRIM(SUBSTITUTE(Z14,CHAR(160),""))),0))&gt;(IFERROR(VALUE(TRIM(SUBSTITUTE(M14,CHAR(160),""))),0)),"KO : Le montant retenu est supérieur au montant présenté. Merci de revoir la ligne de contribution ou plafonner son montant.",(IFERROR(VALUE(TRIM(SUBSTITUTE(M14,CHAR(160),""))),0))=0,"",(IFERROR(VALUE(TRIM(SUBSTITUTE(Z14,CHAR(160),""))),0))=(IFERROR(VALUE(TRIM(SUBSTITUTE(M14,CHAR(160),""))),0)),"OK",(IFERROR(VALUE(TRIM(SUBSTITUTE(Z14,CHAR(160),""))),0))&lt;(IFERROR(VALUE(TRIM(SUBSTITUTE(M14,CHAR(160),""))),0)),"Montant instruit inférieur au montant présenté.",TRUE,""))</f>
        <v/>
      </c>
      <c r="AC14" s="1487" t="str">
        <f t="shared" si="13"/>
        <v/>
      </c>
    </row>
    <row r="15" spans="2:30" ht="15.95" customHeight="1">
      <c r="B15" s="498">
        <v>7</v>
      </c>
      <c r="C15" s="119"/>
      <c r="D15" s="11"/>
      <c r="E15" s="6"/>
      <c r="F15" s="29"/>
      <c r="G15" s="11"/>
      <c r="H15" s="1201"/>
      <c r="I15" s="25"/>
      <c r="J15" s="1456" t="str">
        <f t="shared" si="0"/>
        <v/>
      </c>
      <c r="K15" s="1463"/>
      <c r="L15" s="11"/>
      <c r="M15" s="1467" t="str">
        <f t="shared" si="1"/>
        <v/>
      </c>
      <c r="N15" s="25"/>
      <c r="O15" s="215" t="str">
        <f t="shared" si="2"/>
        <v/>
      </c>
      <c r="P15" s="57" t="str">
        <f t="shared" si="3"/>
        <v/>
      </c>
      <c r="Q15" s="57" t="str">
        <f t="shared" si="4"/>
        <v/>
      </c>
      <c r="R15" s="57" t="str">
        <f t="shared" si="5"/>
        <v/>
      </c>
      <c r="S15" s="57" t="str">
        <f t="shared" si="6"/>
        <v/>
      </c>
      <c r="T15" s="57" t="str">
        <f t="shared" si="7"/>
        <v/>
      </c>
      <c r="U15" s="57" t="str">
        <f t="shared" si="8"/>
        <v/>
      </c>
      <c r="V15" s="1456" t="str">
        <f t="shared" si="9"/>
        <v/>
      </c>
      <c r="W15" s="379" t="str">
        <f t="shared" si="10"/>
        <v/>
      </c>
      <c r="X15" s="57" t="str">
        <f t="shared" si="11"/>
        <v/>
      </c>
      <c r="Y15" s="1243"/>
      <c r="Z15" s="1203" t="str">
        <f t="shared" si="12"/>
        <v/>
      </c>
      <c r="AA15" s="1469"/>
      <c r="AB15" s="57" t="str" cm="1">
        <f t="array" ref="AB15">IF(OR(Z15="",M15=""),"",_xlfn.IFS((IFERROR(VALUE(TRIM(SUBSTITUTE(Z15,CHAR(160),""))),0))&gt;(IFERROR(VALUE(TRIM(SUBSTITUTE(M15,CHAR(160),""))),0)),"KO : Le montant retenu est supérieur au montant présenté. Merci de revoir la ligne de contribution ou plafonner son montant.",(IFERROR(VALUE(TRIM(SUBSTITUTE(M15,CHAR(160),""))),0))=0,"",(IFERROR(VALUE(TRIM(SUBSTITUTE(Z15,CHAR(160),""))),0))=(IFERROR(VALUE(TRIM(SUBSTITUTE(M15,CHAR(160),""))),0)),"OK",(IFERROR(VALUE(TRIM(SUBSTITUTE(Z15,CHAR(160),""))),0))&lt;(IFERROR(VALUE(TRIM(SUBSTITUTE(M15,CHAR(160),""))),0)),"Montant instruit inférieur au montant présenté.",TRUE,""))</f>
        <v/>
      </c>
      <c r="AC15" s="1487" t="str">
        <f t="shared" si="13"/>
        <v/>
      </c>
    </row>
    <row r="16" spans="2:30" ht="15.95" customHeight="1">
      <c r="B16" s="498">
        <v>8</v>
      </c>
      <c r="C16" s="119"/>
      <c r="D16" s="11"/>
      <c r="E16" s="6"/>
      <c r="F16" s="29"/>
      <c r="G16" s="11"/>
      <c r="H16" s="1201"/>
      <c r="I16" s="25"/>
      <c r="J16" s="1456" t="str">
        <f t="shared" si="0"/>
        <v/>
      </c>
      <c r="K16" s="1463"/>
      <c r="L16" s="11"/>
      <c r="M16" s="1467" t="str">
        <f t="shared" si="1"/>
        <v/>
      </c>
      <c r="N16" s="25"/>
      <c r="O16" s="215" t="str">
        <f t="shared" si="2"/>
        <v/>
      </c>
      <c r="P16" s="57" t="str">
        <f t="shared" si="3"/>
        <v/>
      </c>
      <c r="Q16" s="57" t="str">
        <f t="shared" si="4"/>
        <v/>
      </c>
      <c r="R16" s="57" t="str">
        <f t="shared" si="5"/>
        <v/>
      </c>
      <c r="S16" s="57" t="str">
        <f t="shared" si="6"/>
        <v/>
      </c>
      <c r="T16" s="57" t="str">
        <f t="shared" si="7"/>
        <v/>
      </c>
      <c r="U16" s="57" t="str">
        <f t="shared" si="8"/>
        <v/>
      </c>
      <c r="V16" s="1456" t="str">
        <f t="shared" si="9"/>
        <v/>
      </c>
      <c r="W16" s="379" t="str">
        <f t="shared" si="10"/>
        <v/>
      </c>
      <c r="X16" s="57" t="str">
        <f t="shared" si="11"/>
        <v/>
      </c>
      <c r="Y16" s="1243"/>
      <c r="Z16" s="1203" t="str">
        <f t="shared" si="12"/>
        <v/>
      </c>
      <c r="AA16" s="1469"/>
      <c r="AB16" s="57" t="str" cm="1">
        <f t="array" ref="AB16">IF(OR(Z16="",M16=""),"",_xlfn.IFS((IFERROR(VALUE(TRIM(SUBSTITUTE(Z16,CHAR(160),""))),0))&gt;(IFERROR(VALUE(TRIM(SUBSTITUTE(M16,CHAR(160),""))),0)),"KO : Le montant retenu est supérieur au montant présenté. Merci de revoir la ligne de contribution ou plafonner son montant.",(IFERROR(VALUE(TRIM(SUBSTITUTE(M16,CHAR(160),""))),0))=0,"",(IFERROR(VALUE(TRIM(SUBSTITUTE(Z16,CHAR(160),""))),0))=(IFERROR(VALUE(TRIM(SUBSTITUTE(M16,CHAR(160),""))),0)),"OK",(IFERROR(VALUE(TRIM(SUBSTITUTE(Z16,CHAR(160),""))),0))&lt;(IFERROR(VALUE(TRIM(SUBSTITUTE(M16,CHAR(160),""))),0)),"Montant instruit inférieur au montant présenté.",TRUE,""))</f>
        <v/>
      </c>
      <c r="AC16" s="1487" t="str">
        <f t="shared" si="13"/>
        <v/>
      </c>
    </row>
    <row r="17" spans="2:29" ht="15.95" customHeight="1">
      <c r="B17" s="498">
        <v>9</v>
      </c>
      <c r="C17" s="119"/>
      <c r="D17" s="11"/>
      <c r="E17" s="6"/>
      <c r="F17" s="29"/>
      <c r="G17" s="11"/>
      <c r="H17" s="1201"/>
      <c r="I17" s="25"/>
      <c r="J17" s="1456" t="str">
        <f t="shared" si="0"/>
        <v/>
      </c>
      <c r="K17" s="1463"/>
      <c r="L17" s="11"/>
      <c r="M17" s="1467" t="str">
        <f t="shared" si="1"/>
        <v/>
      </c>
      <c r="N17" s="25"/>
      <c r="O17" s="215" t="str">
        <f t="shared" si="2"/>
        <v/>
      </c>
      <c r="P17" s="57" t="str">
        <f t="shared" si="3"/>
        <v/>
      </c>
      <c r="Q17" s="57" t="str">
        <f t="shared" si="4"/>
        <v/>
      </c>
      <c r="R17" s="57" t="str">
        <f t="shared" si="5"/>
        <v/>
      </c>
      <c r="S17" s="57" t="str">
        <f t="shared" si="6"/>
        <v/>
      </c>
      <c r="T17" s="57" t="str">
        <f t="shared" si="7"/>
        <v/>
      </c>
      <c r="U17" s="57" t="str">
        <f t="shared" si="8"/>
        <v/>
      </c>
      <c r="V17" s="1456" t="str">
        <f t="shared" si="9"/>
        <v/>
      </c>
      <c r="W17" s="379" t="str">
        <f t="shared" si="10"/>
        <v/>
      </c>
      <c r="X17" s="57" t="str">
        <f t="shared" si="11"/>
        <v/>
      </c>
      <c r="Y17" s="1243"/>
      <c r="Z17" s="1203" t="str">
        <f t="shared" si="12"/>
        <v/>
      </c>
      <c r="AA17" s="1469"/>
      <c r="AB17" s="57" t="str" cm="1">
        <f t="array" ref="AB17">IF(OR(Z17="",M17=""),"",_xlfn.IFS((IFERROR(VALUE(TRIM(SUBSTITUTE(Z17,CHAR(160),""))),0))&gt;(IFERROR(VALUE(TRIM(SUBSTITUTE(M17,CHAR(160),""))),0)),"KO : Le montant retenu est supérieur au montant présenté. Merci de revoir la ligne de contribution ou plafonner son montant.",(IFERROR(VALUE(TRIM(SUBSTITUTE(M17,CHAR(160),""))),0))=0,"",(IFERROR(VALUE(TRIM(SUBSTITUTE(Z17,CHAR(160),""))),0))=(IFERROR(VALUE(TRIM(SUBSTITUTE(M17,CHAR(160),""))),0)),"OK",(IFERROR(VALUE(TRIM(SUBSTITUTE(Z17,CHAR(160),""))),0))&lt;(IFERROR(VALUE(TRIM(SUBSTITUTE(M17,CHAR(160),""))),0)),"Montant instruit inférieur au montant présenté.",TRUE,""))</f>
        <v/>
      </c>
      <c r="AC17" s="1487" t="str">
        <f t="shared" si="13"/>
        <v/>
      </c>
    </row>
    <row r="18" spans="2:29" ht="15.95" customHeight="1">
      <c r="B18" s="498">
        <v>10</v>
      </c>
      <c r="C18" s="119"/>
      <c r="D18" s="11"/>
      <c r="E18" s="6"/>
      <c r="F18" s="29"/>
      <c r="G18" s="11"/>
      <c r="H18" s="1201"/>
      <c r="I18" s="25"/>
      <c r="J18" s="1456" t="str">
        <f t="shared" si="0"/>
        <v/>
      </c>
      <c r="K18" s="1463"/>
      <c r="L18" s="11"/>
      <c r="M18" s="1467" t="str">
        <f t="shared" si="1"/>
        <v/>
      </c>
      <c r="N18" s="25"/>
      <c r="O18" s="215" t="str">
        <f t="shared" si="2"/>
        <v/>
      </c>
      <c r="P18" s="57" t="str">
        <f t="shared" si="3"/>
        <v/>
      </c>
      <c r="Q18" s="57" t="str">
        <f t="shared" si="4"/>
        <v/>
      </c>
      <c r="R18" s="57" t="str">
        <f t="shared" si="5"/>
        <v/>
      </c>
      <c r="S18" s="57" t="str">
        <f t="shared" si="6"/>
        <v/>
      </c>
      <c r="T18" s="57" t="str">
        <f t="shared" si="7"/>
        <v/>
      </c>
      <c r="U18" s="57" t="str">
        <f t="shared" si="8"/>
        <v/>
      </c>
      <c r="V18" s="1456" t="str">
        <f t="shared" si="9"/>
        <v/>
      </c>
      <c r="W18" s="379" t="str">
        <f t="shared" si="10"/>
        <v/>
      </c>
      <c r="X18" s="57" t="str">
        <f t="shared" si="11"/>
        <v/>
      </c>
      <c r="Y18" s="1243"/>
      <c r="Z18" s="1203" t="str">
        <f t="shared" si="12"/>
        <v/>
      </c>
      <c r="AA18" s="1469"/>
      <c r="AB18" s="57" t="str" cm="1">
        <f t="array" ref="AB18">IF(OR(Z18="",M18=""),"",_xlfn.IFS((IFERROR(VALUE(TRIM(SUBSTITUTE(Z18,CHAR(160),""))),0))&gt;(IFERROR(VALUE(TRIM(SUBSTITUTE(M18,CHAR(160),""))),0)),"KO : Le montant retenu est supérieur au montant présenté. Merci de revoir la ligne de contribution ou plafonner son montant.",(IFERROR(VALUE(TRIM(SUBSTITUTE(M18,CHAR(160),""))),0))=0,"",(IFERROR(VALUE(TRIM(SUBSTITUTE(Z18,CHAR(160),""))),0))=(IFERROR(VALUE(TRIM(SUBSTITUTE(M18,CHAR(160),""))),0)),"OK",(IFERROR(VALUE(TRIM(SUBSTITUTE(Z18,CHAR(160),""))),0))&lt;(IFERROR(VALUE(TRIM(SUBSTITUTE(M18,CHAR(160),""))),0)),"Montant instruit inférieur au montant présenté.",TRUE,""))</f>
        <v/>
      </c>
      <c r="AC18" s="1487" t="str">
        <f t="shared" si="13"/>
        <v/>
      </c>
    </row>
    <row r="19" spans="2:29" ht="15.95" customHeight="1">
      <c r="B19" s="498">
        <v>11</v>
      </c>
      <c r="C19" s="119"/>
      <c r="D19" s="11"/>
      <c r="E19" s="6"/>
      <c r="F19" s="29"/>
      <c r="G19" s="11"/>
      <c r="H19" s="1201"/>
      <c r="I19" s="25"/>
      <c r="J19" s="1456" t="str">
        <f t="shared" si="0"/>
        <v/>
      </c>
      <c r="K19" s="1463"/>
      <c r="L19" s="11"/>
      <c r="M19" s="1467" t="str">
        <f t="shared" si="1"/>
        <v/>
      </c>
      <c r="N19" s="25"/>
      <c r="O19" s="215" t="str">
        <f t="shared" si="2"/>
        <v/>
      </c>
      <c r="P19" s="57" t="str">
        <f t="shared" si="3"/>
        <v/>
      </c>
      <c r="Q19" s="57" t="str">
        <f t="shared" si="4"/>
        <v/>
      </c>
      <c r="R19" s="57" t="str">
        <f t="shared" si="5"/>
        <v/>
      </c>
      <c r="S19" s="57" t="str">
        <f t="shared" si="6"/>
        <v/>
      </c>
      <c r="T19" s="57" t="str">
        <f t="shared" si="7"/>
        <v/>
      </c>
      <c r="U19" s="57" t="str">
        <f t="shared" si="8"/>
        <v/>
      </c>
      <c r="V19" s="1456" t="str">
        <f t="shared" si="9"/>
        <v/>
      </c>
      <c r="W19" s="379" t="str">
        <f t="shared" si="10"/>
        <v/>
      </c>
      <c r="X19" s="57" t="str">
        <f t="shared" si="11"/>
        <v/>
      </c>
      <c r="Y19" s="1243"/>
      <c r="Z19" s="1203" t="str">
        <f t="shared" si="12"/>
        <v/>
      </c>
      <c r="AA19" s="1469"/>
      <c r="AB19" s="57" t="str" cm="1">
        <f t="array" ref="AB19">IF(OR(Z19="",M19=""),"",_xlfn.IFS((IFERROR(VALUE(TRIM(SUBSTITUTE(Z19,CHAR(160),""))),0))&gt;(IFERROR(VALUE(TRIM(SUBSTITUTE(M19,CHAR(160),""))),0)),"KO : Le montant retenu est supérieur au montant présenté. Merci de revoir la ligne de contribution ou plafonner son montant.",(IFERROR(VALUE(TRIM(SUBSTITUTE(M19,CHAR(160),""))),0))=0,"",(IFERROR(VALUE(TRIM(SUBSTITUTE(Z19,CHAR(160),""))),0))=(IFERROR(VALUE(TRIM(SUBSTITUTE(M19,CHAR(160),""))),0)),"OK",(IFERROR(VALUE(TRIM(SUBSTITUTE(Z19,CHAR(160),""))),0))&lt;(IFERROR(VALUE(TRIM(SUBSTITUTE(M19,CHAR(160),""))),0)),"Montant instruit inférieur au montant présenté.",TRUE,""))</f>
        <v/>
      </c>
      <c r="AC19" s="1487" t="str">
        <f t="shared" si="13"/>
        <v/>
      </c>
    </row>
    <row r="20" spans="2:29" ht="15.95" customHeight="1">
      <c r="B20" s="498">
        <v>12</v>
      </c>
      <c r="C20" s="119"/>
      <c r="D20" s="11"/>
      <c r="E20" s="6"/>
      <c r="F20" s="29"/>
      <c r="G20" s="11"/>
      <c r="H20" s="1201"/>
      <c r="I20" s="25"/>
      <c r="J20" s="1456" t="str">
        <f t="shared" si="0"/>
        <v/>
      </c>
      <c r="K20" s="1463"/>
      <c r="L20" s="11"/>
      <c r="M20" s="1467" t="str">
        <f t="shared" si="1"/>
        <v/>
      </c>
      <c r="N20" s="25"/>
      <c r="O20" s="215" t="str">
        <f t="shared" si="2"/>
        <v/>
      </c>
      <c r="P20" s="57" t="str">
        <f t="shared" si="3"/>
        <v/>
      </c>
      <c r="Q20" s="57" t="str">
        <f t="shared" si="4"/>
        <v/>
      </c>
      <c r="R20" s="57" t="str">
        <f t="shared" si="5"/>
        <v/>
      </c>
      <c r="S20" s="57" t="str">
        <f t="shared" si="6"/>
        <v/>
      </c>
      <c r="T20" s="57" t="str">
        <f t="shared" si="7"/>
        <v/>
      </c>
      <c r="U20" s="57" t="str">
        <f t="shared" si="8"/>
        <v/>
      </c>
      <c r="V20" s="1456" t="str">
        <f t="shared" si="9"/>
        <v/>
      </c>
      <c r="W20" s="379" t="str">
        <f t="shared" si="10"/>
        <v/>
      </c>
      <c r="X20" s="57" t="str">
        <f t="shared" si="11"/>
        <v/>
      </c>
      <c r="Y20" s="1243"/>
      <c r="Z20" s="1203" t="str">
        <f t="shared" si="12"/>
        <v/>
      </c>
      <c r="AA20" s="1469"/>
      <c r="AB20" s="57" t="str" cm="1">
        <f t="array" ref="AB20">IF(OR(Z20="",M20=""),"",_xlfn.IFS((IFERROR(VALUE(TRIM(SUBSTITUTE(Z20,CHAR(160),""))),0))&gt;(IFERROR(VALUE(TRIM(SUBSTITUTE(M20,CHAR(160),""))),0)),"KO : Le montant retenu est supérieur au montant présenté. Merci de revoir la ligne de contribution ou plafonner son montant.",(IFERROR(VALUE(TRIM(SUBSTITUTE(M20,CHAR(160),""))),0))=0,"",(IFERROR(VALUE(TRIM(SUBSTITUTE(Z20,CHAR(160),""))),0))=(IFERROR(VALUE(TRIM(SUBSTITUTE(M20,CHAR(160),""))),0)),"OK",(IFERROR(VALUE(TRIM(SUBSTITUTE(Z20,CHAR(160),""))),0))&lt;(IFERROR(VALUE(TRIM(SUBSTITUTE(M20,CHAR(160),""))),0)),"Montant instruit inférieur au montant présenté.",TRUE,""))</f>
        <v/>
      </c>
      <c r="AC20" s="1487" t="str">
        <f t="shared" si="13"/>
        <v/>
      </c>
    </row>
    <row r="21" spans="2:29" ht="15.95" customHeight="1">
      <c r="B21" s="498">
        <v>13</v>
      </c>
      <c r="C21" s="119"/>
      <c r="D21" s="11"/>
      <c r="E21" s="6"/>
      <c r="F21" s="29"/>
      <c r="G21" s="11"/>
      <c r="H21" s="1201"/>
      <c r="I21" s="25"/>
      <c r="J21" s="1456" t="str">
        <f t="shared" si="0"/>
        <v/>
      </c>
      <c r="K21" s="1463"/>
      <c r="L21" s="11"/>
      <c r="M21" s="1467" t="str">
        <f t="shared" si="1"/>
        <v/>
      </c>
      <c r="N21" s="25"/>
      <c r="O21" s="215" t="str">
        <f t="shared" si="2"/>
        <v/>
      </c>
      <c r="P21" s="57" t="str">
        <f t="shared" si="3"/>
        <v/>
      </c>
      <c r="Q21" s="57" t="str">
        <f t="shared" si="4"/>
        <v/>
      </c>
      <c r="R21" s="57" t="str">
        <f t="shared" si="5"/>
        <v/>
      </c>
      <c r="S21" s="57" t="str">
        <f t="shared" si="6"/>
        <v/>
      </c>
      <c r="T21" s="57" t="str">
        <f t="shared" si="7"/>
        <v/>
      </c>
      <c r="U21" s="57" t="str">
        <f t="shared" si="8"/>
        <v/>
      </c>
      <c r="V21" s="1456" t="str">
        <f t="shared" si="9"/>
        <v/>
      </c>
      <c r="W21" s="379" t="str">
        <f t="shared" si="10"/>
        <v/>
      </c>
      <c r="X21" s="57" t="str">
        <f t="shared" si="11"/>
        <v/>
      </c>
      <c r="Y21" s="1243"/>
      <c r="Z21" s="1203" t="str">
        <f t="shared" si="12"/>
        <v/>
      </c>
      <c r="AA21" s="1469"/>
      <c r="AB21" s="57" t="str" cm="1">
        <f t="array" ref="AB21">IF(OR(Z21="",M21=""),"",_xlfn.IFS((IFERROR(VALUE(TRIM(SUBSTITUTE(Z21,CHAR(160),""))),0))&gt;(IFERROR(VALUE(TRIM(SUBSTITUTE(M21,CHAR(160),""))),0)),"KO : Le montant retenu est supérieur au montant présenté. Merci de revoir la ligne de contribution ou plafonner son montant.",(IFERROR(VALUE(TRIM(SUBSTITUTE(M21,CHAR(160),""))),0))=0,"",(IFERROR(VALUE(TRIM(SUBSTITUTE(Z21,CHAR(160),""))),0))=(IFERROR(VALUE(TRIM(SUBSTITUTE(M21,CHAR(160),""))),0)),"OK",(IFERROR(VALUE(TRIM(SUBSTITUTE(Z21,CHAR(160),""))),0))&lt;(IFERROR(VALUE(TRIM(SUBSTITUTE(M21,CHAR(160),""))),0)),"Montant instruit inférieur au montant présenté.",TRUE,""))</f>
        <v/>
      </c>
      <c r="AC21" s="1487" t="str">
        <f t="shared" si="13"/>
        <v/>
      </c>
    </row>
    <row r="22" spans="2:29" ht="15.95" customHeight="1">
      <c r="B22" s="498">
        <v>14</v>
      </c>
      <c r="C22" s="119"/>
      <c r="D22" s="11"/>
      <c r="E22" s="6"/>
      <c r="F22" s="29"/>
      <c r="G22" s="11"/>
      <c r="H22" s="1201"/>
      <c r="I22" s="25"/>
      <c r="J22" s="1456" t="str">
        <f t="shared" si="0"/>
        <v/>
      </c>
      <c r="K22" s="1463"/>
      <c r="L22" s="11"/>
      <c r="M22" s="1467" t="str">
        <f t="shared" si="1"/>
        <v/>
      </c>
      <c r="N22" s="25"/>
      <c r="O22" s="215" t="str">
        <f t="shared" si="2"/>
        <v/>
      </c>
      <c r="P22" s="57" t="str">
        <f t="shared" si="3"/>
        <v/>
      </c>
      <c r="Q22" s="57" t="str">
        <f t="shared" si="4"/>
        <v/>
      </c>
      <c r="R22" s="57" t="str">
        <f t="shared" si="5"/>
        <v/>
      </c>
      <c r="S22" s="57" t="str">
        <f t="shared" si="6"/>
        <v/>
      </c>
      <c r="T22" s="57" t="str">
        <f t="shared" si="7"/>
        <v/>
      </c>
      <c r="U22" s="57" t="str">
        <f t="shared" si="8"/>
        <v/>
      </c>
      <c r="V22" s="1456" t="str">
        <f t="shared" si="9"/>
        <v/>
      </c>
      <c r="W22" s="379" t="str">
        <f t="shared" si="10"/>
        <v/>
      </c>
      <c r="X22" s="57" t="str">
        <f t="shared" si="11"/>
        <v/>
      </c>
      <c r="Y22" s="1243"/>
      <c r="Z22" s="1203" t="str">
        <f t="shared" si="12"/>
        <v/>
      </c>
      <c r="AA22" s="1469"/>
      <c r="AB22" s="57" t="str" cm="1">
        <f t="array" ref="AB22">IF(OR(Z22="",M22=""),"",_xlfn.IFS((IFERROR(VALUE(TRIM(SUBSTITUTE(Z22,CHAR(160),""))),0))&gt;(IFERROR(VALUE(TRIM(SUBSTITUTE(M22,CHAR(160),""))),0)),"KO : Le montant retenu est supérieur au montant présenté. Merci de revoir la ligne de contribution ou plafonner son montant.",(IFERROR(VALUE(TRIM(SUBSTITUTE(M22,CHAR(160),""))),0))=0,"",(IFERROR(VALUE(TRIM(SUBSTITUTE(Z22,CHAR(160),""))),0))=(IFERROR(VALUE(TRIM(SUBSTITUTE(M22,CHAR(160),""))),0)),"OK",(IFERROR(VALUE(TRIM(SUBSTITUTE(Z22,CHAR(160),""))),0))&lt;(IFERROR(VALUE(TRIM(SUBSTITUTE(M22,CHAR(160),""))),0)),"Montant instruit inférieur au montant présenté.",TRUE,""))</f>
        <v/>
      </c>
      <c r="AC22" s="1487" t="str">
        <f t="shared" si="13"/>
        <v/>
      </c>
    </row>
    <row r="23" spans="2:29" ht="15.95" customHeight="1">
      <c r="B23" s="498">
        <v>15</v>
      </c>
      <c r="C23" s="119"/>
      <c r="D23" s="11"/>
      <c r="E23" s="6"/>
      <c r="F23" s="29"/>
      <c r="G23" s="11"/>
      <c r="H23" s="1201"/>
      <c r="I23" s="25"/>
      <c r="J23" s="1456" t="str">
        <f t="shared" si="0"/>
        <v/>
      </c>
      <c r="K23" s="1463"/>
      <c r="L23" s="11"/>
      <c r="M23" s="1467" t="str">
        <f t="shared" si="1"/>
        <v/>
      </c>
      <c r="N23" s="25"/>
      <c r="O23" s="215" t="str">
        <f t="shared" si="2"/>
        <v/>
      </c>
      <c r="P23" s="57" t="str">
        <f t="shared" si="3"/>
        <v/>
      </c>
      <c r="Q23" s="57" t="str">
        <f t="shared" si="4"/>
        <v/>
      </c>
      <c r="R23" s="57" t="str">
        <f t="shared" si="5"/>
        <v/>
      </c>
      <c r="S23" s="57" t="str">
        <f t="shared" si="6"/>
        <v/>
      </c>
      <c r="T23" s="57" t="str">
        <f t="shared" si="7"/>
        <v/>
      </c>
      <c r="U23" s="57" t="str">
        <f t="shared" si="8"/>
        <v/>
      </c>
      <c r="V23" s="1456" t="str">
        <f t="shared" si="9"/>
        <v/>
      </c>
      <c r="W23" s="379" t="str">
        <f t="shared" si="10"/>
        <v/>
      </c>
      <c r="X23" s="57" t="str">
        <f t="shared" si="11"/>
        <v/>
      </c>
      <c r="Y23" s="1243"/>
      <c r="Z23" s="1203" t="str">
        <f t="shared" si="12"/>
        <v/>
      </c>
      <c r="AA23" s="1469"/>
      <c r="AB23" s="57" t="str" cm="1">
        <f t="array" ref="AB23">IF(OR(Z23="",M23=""),"",_xlfn.IFS((IFERROR(VALUE(TRIM(SUBSTITUTE(Z23,CHAR(160),""))),0))&gt;(IFERROR(VALUE(TRIM(SUBSTITUTE(M23,CHAR(160),""))),0)),"KO : Le montant retenu est supérieur au montant présenté. Merci de revoir la ligne de contribution ou plafonner son montant.",(IFERROR(VALUE(TRIM(SUBSTITUTE(M23,CHAR(160),""))),0))=0,"",(IFERROR(VALUE(TRIM(SUBSTITUTE(Z23,CHAR(160),""))),0))=(IFERROR(VALUE(TRIM(SUBSTITUTE(M23,CHAR(160),""))),0)),"OK",(IFERROR(VALUE(TRIM(SUBSTITUTE(Z23,CHAR(160),""))),0))&lt;(IFERROR(VALUE(TRIM(SUBSTITUTE(M23,CHAR(160),""))),0)),"Montant instruit inférieur au montant présenté.",TRUE,""))</f>
        <v/>
      </c>
      <c r="AC23" s="1487" t="str">
        <f t="shared" si="13"/>
        <v/>
      </c>
    </row>
    <row r="24" spans="2:29" ht="15.95" customHeight="1">
      <c r="B24" s="498">
        <v>16</v>
      </c>
      <c r="C24" s="119"/>
      <c r="D24" s="11"/>
      <c r="E24" s="6"/>
      <c r="F24" s="29"/>
      <c r="G24" s="11"/>
      <c r="H24" s="1201"/>
      <c r="I24" s="25"/>
      <c r="J24" s="1456" t="str">
        <f t="shared" si="0"/>
        <v/>
      </c>
      <c r="K24" s="1463"/>
      <c r="L24" s="11"/>
      <c r="M24" s="1467" t="str">
        <f t="shared" si="1"/>
        <v/>
      </c>
      <c r="N24" s="25"/>
      <c r="O24" s="215" t="str">
        <f t="shared" si="2"/>
        <v/>
      </c>
      <c r="P24" s="57" t="str">
        <f t="shared" si="3"/>
        <v/>
      </c>
      <c r="Q24" s="57" t="str">
        <f t="shared" si="4"/>
        <v/>
      </c>
      <c r="R24" s="57" t="str">
        <f t="shared" si="5"/>
        <v/>
      </c>
      <c r="S24" s="57" t="str">
        <f t="shared" si="6"/>
        <v/>
      </c>
      <c r="T24" s="57" t="str">
        <f t="shared" si="7"/>
        <v/>
      </c>
      <c r="U24" s="57" t="str">
        <f t="shared" si="8"/>
        <v/>
      </c>
      <c r="V24" s="1456" t="str">
        <f t="shared" si="9"/>
        <v/>
      </c>
      <c r="W24" s="379" t="str">
        <f t="shared" si="10"/>
        <v/>
      </c>
      <c r="X24" s="57" t="str">
        <f t="shared" si="11"/>
        <v/>
      </c>
      <c r="Y24" s="1243"/>
      <c r="Z24" s="1203" t="str">
        <f t="shared" si="12"/>
        <v/>
      </c>
      <c r="AA24" s="1469"/>
      <c r="AB24" s="57" t="str" cm="1">
        <f t="array" ref="AB24">IF(OR(Z24="",M24=""),"",_xlfn.IFS((IFERROR(VALUE(TRIM(SUBSTITUTE(Z24,CHAR(160),""))),0))&gt;(IFERROR(VALUE(TRIM(SUBSTITUTE(M24,CHAR(160),""))),0)),"KO : Le montant retenu est supérieur au montant présenté. Merci de revoir la ligne de contribution ou plafonner son montant.",(IFERROR(VALUE(TRIM(SUBSTITUTE(M24,CHAR(160),""))),0))=0,"",(IFERROR(VALUE(TRIM(SUBSTITUTE(Z24,CHAR(160),""))),0))=(IFERROR(VALUE(TRIM(SUBSTITUTE(M24,CHAR(160),""))),0)),"OK",(IFERROR(VALUE(TRIM(SUBSTITUTE(Z24,CHAR(160),""))),0))&lt;(IFERROR(VALUE(TRIM(SUBSTITUTE(M24,CHAR(160),""))),0)),"Montant instruit inférieur au montant présenté.",TRUE,""))</f>
        <v/>
      </c>
      <c r="AC24" s="1487" t="str">
        <f t="shared" si="13"/>
        <v/>
      </c>
    </row>
    <row r="25" spans="2:29" ht="15.95" customHeight="1">
      <c r="B25" s="498">
        <v>17</v>
      </c>
      <c r="C25" s="119"/>
      <c r="D25" s="11"/>
      <c r="E25" s="6"/>
      <c r="F25" s="29"/>
      <c r="G25" s="11"/>
      <c r="H25" s="1201"/>
      <c r="I25" s="25"/>
      <c r="J25" s="1456" t="str">
        <f t="shared" si="0"/>
        <v/>
      </c>
      <c r="K25" s="1463"/>
      <c r="L25" s="11"/>
      <c r="M25" s="1467" t="str">
        <f t="shared" si="1"/>
        <v/>
      </c>
      <c r="N25" s="25"/>
      <c r="O25" s="215" t="str">
        <f t="shared" si="2"/>
        <v/>
      </c>
      <c r="P25" s="57" t="str">
        <f t="shared" si="3"/>
        <v/>
      </c>
      <c r="Q25" s="57" t="str">
        <f t="shared" si="4"/>
        <v/>
      </c>
      <c r="R25" s="57" t="str">
        <f t="shared" si="5"/>
        <v/>
      </c>
      <c r="S25" s="57" t="str">
        <f t="shared" si="6"/>
        <v/>
      </c>
      <c r="T25" s="57" t="str">
        <f t="shared" si="7"/>
        <v/>
      </c>
      <c r="U25" s="57" t="str">
        <f t="shared" si="8"/>
        <v/>
      </c>
      <c r="V25" s="1456" t="str">
        <f t="shared" si="9"/>
        <v/>
      </c>
      <c r="W25" s="379" t="str">
        <f t="shared" si="10"/>
        <v/>
      </c>
      <c r="X25" s="57" t="str">
        <f t="shared" si="11"/>
        <v/>
      </c>
      <c r="Y25" s="1243"/>
      <c r="Z25" s="1203" t="str">
        <f t="shared" si="12"/>
        <v/>
      </c>
      <c r="AA25" s="1469"/>
      <c r="AB25" s="57" t="str" cm="1">
        <f t="array" ref="AB25">IF(OR(Z25="",M25=""),"",_xlfn.IFS((IFERROR(VALUE(TRIM(SUBSTITUTE(Z25,CHAR(160),""))),0))&gt;(IFERROR(VALUE(TRIM(SUBSTITUTE(M25,CHAR(160),""))),0)),"KO : Le montant retenu est supérieur au montant présenté. Merci de revoir la ligne de contribution ou plafonner son montant.",(IFERROR(VALUE(TRIM(SUBSTITUTE(M25,CHAR(160),""))),0))=0,"",(IFERROR(VALUE(TRIM(SUBSTITUTE(Z25,CHAR(160),""))),0))=(IFERROR(VALUE(TRIM(SUBSTITUTE(M25,CHAR(160),""))),0)),"OK",(IFERROR(VALUE(TRIM(SUBSTITUTE(Z25,CHAR(160),""))),0))&lt;(IFERROR(VALUE(TRIM(SUBSTITUTE(M25,CHAR(160),""))),0)),"Montant instruit inférieur au montant présenté.",TRUE,""))</f>
        <v/>
      </c>
      <c r="AC25" s="1487" t="str">
        <f t="shared" si="13"/>
        <v/>
      </c>
    </row>
    <row r="26" spans="2:29" ht="15.95" customHeight="1">
      <c r="B26" s="498">
        <v>18</v>
      </c>
      <c r="C26" s="119"/>
      <c r="D26" s="11"/>
      <c r="E26" s="6"/>
      <c r="F26" s="29"/>
      <c r="G26" s="11"/>
      <c r="H26" s="1201"/>
      <c r="I26" s="25"/>
      <c r="J26" s="1456" t="str">
        <f t="shared" si="0"/>
        <v/>
      </c>
      <c r="K26" s="1463"/>
      <c r="L26" s="11"/>
      <c r="M26" s="1467" t="str">
        <f t="shared" si="1"/>
        <v/>
      </c>
      <c r="N26" s="25"/>
      <c r="O26" s="215" t="str">
        <f t="shared" si="2"/>
        <v/>
      </c>
      <c r="P26" s="57" t="str">
        <f t="shared" si="3"/>
        <v/>
      </c>
      <c r="Q26" s="57" t="str">
        <f t="shared" si="4"/>
        <v/>
      </c>
      <c r="R26" s="57" t="str">
        <f t="shared" si="5"/>
        <v/>
      </c>
      <c r="S26" s="57" t="str">
        <f t="shared" si="6"/>
        <v/>
      </c>
      <c r="T26" s="57" t="str">
        <f t="shared" si="7"/>
        <v/>
      </c>
      <c r="U26" s="57" t="str">
        <f t="shared" si="8"/>
        <v/>
      </c>
      <c r="V26" s="1456" t="str">
        <f t="shared" si="9"/>
        <v/>
      </c>
      <c r="W26" s="379" t="str">
        <f t="shared" si="10"/>
        <v/>
      </c>
      <c r="X26" s="57" t="str">
        <f t="shared" si="11"/>
        <v/>
      </c>
      <c r="Y26" s="1243"/>
      <c r="Z26" s="1203" t="str">
        <f t="shared" si="12"/>
        <v/>
      </c>
      <c r="AA26" s="1469"/>
      <c r="AB26" s="57" t="str" cm="1">
        <f t="array" ref="AB26">IF(OR(Z26="",M26=""),"",_xlfn.IFS((IFERROR(VALUE(TRIM(SUBSTITUTE(Z26,CHAR(160),""))),0))&gt;(IFERROR(VALUE(TRIM(SUBSTITUTE(M26,CHAR(160),""))),0)),"KO : Le montant retenu est supérieur au montant présenté. Merci de revoir la ligne de contribution ou plafonner son montant.",(IFERROR(VALUE(TRIM(SUBSTITUTE(M26,CHAR(160),""))),0))=0,"",(IFERROR(VALUE(TRIM(SUBSTITUTE(Z26,CHAR(160),""))),0))=(IFERROR(VALUE(TRIM(SUBSTITUTE(M26,CHAR(160),""))),0)),"OK",(IFERROR(VALUE(TRIM(SUBSTITUTE(Z26,CHAR(160),""))),0))&lt;(IFERROR(VALUE(TRIM(SUBSTITUTE(M26,CHAR(160),""))),0)),"Montant instruit inférieur au montant présenté.",TRUE,""))</f>
        <v/>
      </c>
      <c r="AC26" s="1487" t="str">
        <f t="shared" si="13"/>
        <v/>
      </c>
    </row>
    <row r="27" spans="2:29" ht="15.95" customHeight="1">
      <c r="B27" s="498">
        <v>19</v>
      </c>
      <c r="C27" s="119"/>
      <c r="D27" s="11"/>
      <c r="E27" s="6"/>
      <c r="F27" s="29"/>
      <c r="G27" s="11"/>
      <c r="H27" s="1201"/>
      <c r="I27" s="25"/>
      <c r="J27" s="1456" t="str">
        <f t="shared" si="0"/>
        <v/>
      </c>
      <c r="K27" s="1463"/>
      <c r="L27" s="11"/>
      <c r="M27" s="1467" t="str">
        <f t="shared" si="1"/>
        <v/>
      </c>
      <c r="N27" s="25"/>
      <c r="O27" s="215" t="str">
        <f t="shared" si="2"/>
        <v/>
      </c>
      <c r="P27" s="57" t="str">
        <f t="shared" si="3"/>
        <v/>
      </c>
      <c r="Q27" s="57" t="str">
        <f t="shared" si="4"/>
        <v/>
      </c>
      <c r="R27" s="57" t="str">
        <f t="shared" si="5"/>
        <v/>
      </c>
      <c r="S27" s="57" t="str">
        <f t="shared" si="6"/>
        <v/>
      </c>
      <c r="T27" s="57" t="str">
        <f t="shared" si="7"/>
        <v/>
      </c>
      <c r="U27" s="57" t="str">
        <f t="shared" si="8"/>
        <v/>
      </c>
      <c r="V27" s="1456" t="str">
        <f t="shared" si="9"/>
        <v/>
      </c>
      <c r="W27" s="379" t="str">
        <f t="shared" si="10"/>
        <v/>
      </c>
      <c r="X27" s="57" t="str">
        <f t="shared" si="11"/>
        <v/>
      </c>
      <c r="Y27" s="1243"/>
      <c r="Z27" s="1203" t="str">
        <f t="shared" si="12"/>
        <v/>
      </c>
      <c r="AA27" s="1469"/>
      <c r="AB27" s="57" t="str" cm="1">
        <f t="array" ref="AB27">IF(OR(Z27="",M27=""),"",_xlfn.IFS((IFERROR(VALUE(TRIM(SUBSTITUTE(Z27,CHAR(160),""))),0))&gt;(IFERROR(VALUE(TRIM(SUBSTITUTE(M27,CHAR(160),""))),0)),"KO : Le montant retenu est supérieur au montant présenté. Merci de revoir la ligne de contribution ou plafonner son montant.",(IFERROR(VALUE(TRIM(SUBSTITUTE(M27,CHAR(160),""))),0))=0,"",(IFERROR(VALUE(TRIM(SUBSTITUTE(Z27,CHAR(160),""))),0))=(IFERROR(VALUE(TRIM(SUBSTITUTE(M27,CHAR(160),""))),0)),"OK",(IFERROR(VALUE(TRIM(SUBSTITUTE(Z27,CHAR(160),""))),0))&lt;(IFERROR(VALUE(TRIM(SUBSTITUTE(M27,CHAR(160),""))),0)),"Montant instruit inférieur au montant présenté.",TRUE,""))</f>
        <v/>
      </c>
      <c r="AC27" s="1487" t="str">
        <f t="shared" si="13"/>
        <v/>
      </c>
    </row>
    <row r="28" spans="2:29" ht="15.95" customHeight="1">
      <c r="B28" s="498">
        <v>20</v>
      </c>
      <c r="C28" s="119"/>
      <c r="D28" s="11"/>
      <c r="E28" s="6"/>
      <c r="F28" s="29"/>
      <c r="G28" s="11"/>
      <c r="H28" s="1201"/>
      <c r="I28" s="25"/>
      <c r="J28" s="1456" t="str">
        <f t="shared" si="0"/>
        <v/>
      </c>
      <c r="K28" s="1463"/>
      <c r="L28" s="11"/>
      <c r="M28" s="1467" t="str">
        <f t="shared" si="1"/>
        <v/>
      </c>
      <c r="N28" s="25"/>
      <c r="O28" s="215" t="str">
        <f t="shared" si="2"/>
        <v/>
      </c>
      <c r="P28" s="57" t="str">
        <f t="shared" si="3"/>
        <v/>
      </c>
      <c r="Q28" s="57" t="str">
        <f t="shared" si="4"/>
        <v/>
      </c>
      <c r="R28" s="57" t="str">
        <f t="shared" si="5"/>
        <v/>
      </c>
      <c r="S28" s="57" t="str">
        <f t="shared" si="6"/>
        <v/>
      </c>
      <c r="T28" s="57" t="str">
        <f t="shared" si="7"/>
        <v/>
      </c>
      <c r="U28" s="57" t="str">
        <f t="shared" si="8"/>
        <v/>
      </c>
      <c r="V28" s="1456" t="str">
        <f t="shared" si="9"/>
        <v/>
      </c>
      <c r="W28" s="379" t="str">
        <f t="shared" si="10"/>
        <v/>
      </c>
      <c r="X28" s="57" t="str">
        <f t="shared" si="11"/>
        <v/>
      </c>
      <c r="Y28" s="1243"/>
      <c r="Z28" s="1203" t="str">
        <f t="shared" si="12"/>
        <v/>
      </c>
      <c r="AA28" s="1469"/>
      <c r="AB28" s="57" t="str" cm="1">
        <f t="array" ref="AB28">IF(OR(Z28="",M28=""),"",_xlfn.IFS((IFERROR(VALUE(TRIM(SUBSTITUTE(Z28,CHAR(160),""))),0))&gt;(IFERROR(VALUE(TRIM(SUBSTITUTE(M28,CHAR(160),""))),0)),"KO : Le montant retenu est supérieur au montant présenté. Merci de revoir la ligne de contribution ou plafonner son montant.",(IFERROR(VALUE(TRIM(SUBSTITUTE(M28,CHAR(160),""))),0))=0,"",(IFERROR(VALUE(TRIM(SUBSTITUTE(Z28,CHAR(160),""))),0))=(IFERROR(VALUE(TRIM(SUBSTITUTE(M28,CHAR(160),""))),0)),"OK",(IFERROR(VALUE(TRIM(SUBSTITUTE(Z28,CHAR(160),""))),0))&lt;(IFERROR(VALUE(TRIM(SUBSTITUTE(M28,CHAR(160),""))),0)),"Montant instruit inférieur au montant présenté.",TRUE,""))</f>
        <v/>
      </c>
      <c r="AC28" s="1487" t="str">
        <f t="shared" si="13"/>
        <v/>
      </c>
    </row>
    <row r="29" spans="2:29" ht="15.95" customHeight="1">
      <c r="B29" s="498">
        <v>21</v>
      </c>
      <c r="C29" s="119"/>
      <c r="D29" s="11"/>
      <c r="E29" s="6"/>
      <c r="F29" s="29"/>
      <c r="G29" s="11"/>
      <c r="H29" s="1201"/>
      <c r="I29" s="25"/>
      <c r="J29" s="1456" t="str">
        <f t="shared" si="0"/>
        <v/>
      </c>
      <c r="K29" s="1463"/>
      <c r="L29" s="11"/>
      <c r="M29" s="1467" t="str">
        <f t="shared" si="1"/>
        <v/>
      </c>
      <c r="N29" s="25"/>
      <c r="O29" s="215" t="str">
        <f t="shared" si="2"/>
        <v/>
      </c>
      <c r="P29" s="57" t="str">
        <f t="shared" si="3"/>
        <v/>
      </c>
      <c r="Q29" s="57" t="str">
        <f t="shared" si="4"/>
        <v/>
      </c>
      <c r="R29" s="57" t="str">
        <f t="shared" si="5"/>
        <v/>
      </c>
      <c r="S29" s="57" t="str">
        <f t="shared" si="6"/>
        <v/>
      </c>
      <c r="T29" s="57" t="str">
        <f t="shared" si="7"/>
        <v/>
      </c>
      <c r="U29" s="57" t="str">
        <f t="shared" si="8"/>
        <v/>
      </c>
      <c r="V29" s="1456" t="str">
        <f t="shared" si="9"/>
        <v/>
      </c>
      <c r="W29" s="379" t="str">
        <f t="shared" si="10"/>
        <v/>
      </c>
      <c r="X29" s="57" t="str">
        <f t="shared" si="11"/>
        <v/>
      </c>
      <c r="Y29" s="1243"/>
      <c r="Z29" s="1203" t="str">
        <f t="shared" si="12"/>
        <v/>
      </c>
      <c r="AA29" s="1469"/>
      <c r="AB29" s="57" t="str" cm="1">
        <f t="array" ref="AB29">IF(OR(Z29="",M29=""),"",_xlfn.IFS((IFERROR(VALUE(TRIM(SUBSTITUTE(Z29,CHAR(160),""))),0))&gt;(IFERROR(VALUE(TRIM(SUBSTITUTE(M29,CHAR(160),""))),0)),"KO : Le montant retenu est supérieur au montant présenté. Merci de revoir la ligne de contribution ou plafonner son montant.",(IFERROR(VALUE(TRIM(SUBSTITUTE(M29,CHAR(160),""))),0))=0,"",(IFERROR(VALUE(TRIM(SUBSTITUTE(Z29,CHAR(160),""))),0))=(IFERROR(VALUE(TRIM(SUBSTITUTE(M29,CHAR(160),""))),0)),"OK",(IFERROR(VALUE(TRIM(SUBSTITUTE(Z29,CHAR(160),""))),0))&lt;(IFERROR(VALUE(TRIM(SUBSTITUTE(M29,CHAR(160),""))),0)),"Montant instruit inférieur au montant présenté.",TRUE,""))</f>
        <v/>
      </c>
      <c r="AC29" s="1487" t="str">
        <f t="shared" si="13"/>
        <v/>
      </c>
    </row>
    <row r="30" spans="2:29" ht="15.95" customHeight="1">
      <c r="B30" s="498">
        <v>22</v>
      </c>
      <c r="C30" s="119"/>
      <c r="D30" s="11"/>
      <c r="E30" s="6"/>
      <c r="F30" s="29"/>
      <c r="G30" s="11"/>
      <c r="H30" s="1201"/>
      <c r="I30" s="25"/>
      <c r="J30" s="1456" t="str">
        <f t="shared" si="0"/>
        <v/>
      </c>
      <c r="K30" s="1463"/>
      <c r="L30" s="11"/>
      <c r="M30" s="1467" t="str">
        <f t="shared" si="1"/>
        <v/>
      </c>
      <c r="N30" s="25"/>
      <c r="O30" s="215" t="str">
        <f t="shared" si="2"/>
        <v/>
      </c>
      <c r="P30" s="57" t="str">
        <f t="shared" si="3"/>
        <v/>
      </c>
      <c r="Q30" s="57" t="str">
        <f t="shared" si="4"/>
        <v/>
      </c>
      <c r="R30" s="57" t="str">
        <f t="shared" si="5"/>
        <v/>
      </c>
      <c r="S30" s="57" t="str">
        <f t="shared" si="6"/>
        <v/>
      </c>
      <c r="T30" s="57" t="str">
        <f t="shared" si="7"/>
        <v/>
      </c>
      <c r="U30" s="57" t="str">
        <f t="shared" si="8"/>
        <v/>
      </c>
      <c r="V30" s="1456" t="str">
        <f t="shared" si="9"/>
        <v/>
      </c>
      <c r="W30" s="379" t="str">
        <f t="shared" si="10"/>
        <v/>
      </c>
      <c r="X30" s="57" t="str">
        <f t="shared" si="11"/>
        <v/>
      </c>
      <c r="Y30" s="1243"/>
      <c r="Z30" s="1203" t="str">
        <f t="shared" si="12"/>
        <v/>
      </c>
      <c r="AA30" s="1469"/>
      <c r="AB30" s="57" t="str" cm="1">
        <f t="array" ref="AB30">IF(OR(Z30="",M30=""),"",_xlfn.IFS((IFERROR(VALUE(TRIM(SUBSTITUTE(Z30,CHAR(160),""))),0))&gt;(IFERROR(VALUE(TRIM(SUBSTITUTE(M30,CHAR(160),""))),0)),"KO : Le montant retenu est supérieur au montant présenté. Merci de revoir la ligne de contribution ou plafonner son montant.",(IFERROR(VALUE(TRIM(SUBSTITUTE(M30,CHAR(160),""))),0))=0,"",(IFERROR(VALUE(TRIM(SUBSTITUTE(Z30,CHAR(160),""))),0))=(IFERROR(VALUE(TRIM(SUBSTITUTE(M30,CHAR(160),""))),0)),"OK",(IFERROR(VALUE(TRIM(SUBSTITUTE(Z30,CHAR(160),""))),0))&lt;(IFERROR(VALUE(TRIM(SUBSTITUTE(M30,CHAR(160),""))),0)),"Montant instruit inférieur au montant présenté.",TRUE,""))</f>
        <v/>
      </c>
      <c r="AC30" s="1487" t="str">
        <f t="shared" si="13"/>
        <v/>
      </c>
    </row>
    <row r="31" spans="2:29" ht="15.95" customHeight="1">
      <c r="B31" s="498">
        <v>23</v>
      </c>
      <c r="C31" s="119"/>
      <c r="D31" s="11"/>
      <c r="E31" s="6"/>
      <c r="F31" s="29"/>
      <c r="G31" s="11"/>
      <c r="H31" s="1201"/>
      <c r="I31" s="25"/>
      <c r="J31" s="1456" t="str">
        <f t="shared" si="0"/>
        <v/>
      </c>
      <c r="K31" s="1463"/>
      <c r="L31" s="11"/>
      <c r="M31" s="1467" t="str">
        <f t="shared" si="1"/>
        <v/>
      </c>
      <c r="N31" s="25"/>
      <c r="O31" s="215" t="str">
        <f t="shared" si="2"/>
        <v/>
      </c>
      <c r="P31" s="57" t="str">
        <f t="shared" si="3"/>
        <v/>
      </c>
      <c r="Q31" s="57" t="str">
        <f t="shared" si="4"/>
        <v/>
      </c>
      <c r="R31" s="57" t="str">
        <f t="shared" si="5"/>
        <v/>
      </c>
      <c r="S31" s="57" t="str">
        <f t="shared" si="6"/>
        <v/>
      </c>
      <c r="T31" s="57" t="str">
        <f t="shared" si="7"/>
        <v/>
      </c>
      <c r="U31" s="57" t="str">
        <f t="shared" si="8"/>
        <v/>
      </c>
      <c r="V31" s="1456" t="str">
        <f t="shared" si="9"/>
        <v/>
      </c>
      <c r="W31" s="379" t="str">
        <f t="shared" si="10"/>
        <v/>
      </c>
      <c r="X31" s="57" t="str">
        <f t="shared" si="11"/>
        <v/>
      </c>
      <c r="Y31" s="1243"/>
      <c r="Z31" s="1203" t="str">
        <f t="shared" si="12"/>
        <v/>
      </c>
      <c r="AA31" s="1469"/>
      <c r="AB31" s="57" t="str" cm="1">
        <f t="array" ref="AB31">IF(OR(Z31="",M31=""),"",_xlfn.IFS((IFERROR(VALUE(TRIM(SUBSTITUTE(Z31,CHAR(160),""))),0))&gt;(IFERROR(VALUE(TRIM(SUBSTITUTE(M31,CHAR(160),""))),0)),"KO : Le montant retenu est supérieur au montant présenté. Merci de revoir la ligne de contribution ou plafonner son montant.",(IFERROR(VALUE(TRIM(SUBSTITUTE(M31,CHAR(160),""))),0))=0,"",(IFERROR(VALUE(TRIM(SUBSTITUTE(Z31,CHAR(160),""))),0))=(IFERROR(VALUE(TRIM(SUBSTITUTE(M31,CHAR(160),""))),0)),"OK",(IFERROR(VALUE(TRIM(SUBSTITUTE(Z31,CHAR(160),""))),0))&lt;(IFERROR(VALUE(TRIM(SUBSTITUTE(M31,CHAR(160),""))),0)),"Montant instruit inférieur au montant présenté.",TRUE,""))</f>
        <v/>
      </c>
      <c r="AC31" s="1487" t="str">
        <f t="shared" si="13"/>
        <v/>
      </c>
    </row>
    <row r="32" spans="2:29" ht="15.95" customHeight="1">
      <c r="B32" s="498">
        <v>24</v>
      </c>
      <c r="C32" s="119"/>
      <c r="D32" s="11"/>
      <c r="E32" s="6"/>
      <c r="F32" s="29"/>
      <c r="G32" s="11"/>
      <c r="H32" s="1201"/>
      <c r="I32" s="25"/>
      <c r="J32" s="1456" t="str">
        <f t="shared" si="0"/>
        <v/>
      </c>
      <c r="K32" s="1463"/>
      <c r="L32" s="11"/>
      <c r="M32" s="1467" t="str">
        <f t="shared" si="1"/>
        <v/>
      </c>
      <c r="N32" s="25"/>
      <c r="O32" s="215" t="str">
        <f t="shared" si="2"/>
        <v/>
      </c>
      <c r="P32" s="57" t="str">
        <f t="shared" si="3"/>
        <v/>
      </c>
      <c r="Q32" s="57" t="str">
        <f t="shared" si="4"/>
        <v/>
      </c>
      <c r="R32" s="57" t="str">
        <f t="shared" si="5"/>
        <v/>
      </c>
      <c r="S32" s="57" t="str">
        <f t="shared" si="6"/>
        <v/>
      </c>
      <c r="T32" s="57" t="str">
        <f t="shared" si="7"/>
        <v/>
      </c>
      <c r="U32" s="57" t="str">
        <f t="shared" si="8"/>
        <v/>
      </c>
      <c r="V32" s="1456" t="str">
        <f t="shared" si="9"/>
        <v/>
      </c>
      <c r="W32" s="379" t="str">
        <f t="shared" si="10"/>
        <v/>
      </c>
      <c r="X32" s="57" t="str">
        <f t="shared" si="11"/>
        <v/>
      </c>
      <c r="Y32" s="1243"/>
      <c r="Z32" s="1203" t="str">
        <f t="shared" si="12"/>
        <v/>
      </c>
      <c r="AA32" s="1469"/>
      <c r="AB32" s="57" t="str" cm="1">
        <f t="array" ref="AB32">IF(OR(Z32="",M32=""),"",_xlfn.IFS((IFERROR(VALUE(TRIM(SUBSTITUTE(Z32,CHAR(160),""))),0))&gt;(IFERROR(VALUE(TRIM(SUBSTITUTE(M32,CHAR(160),""))),0)),"KO : Le montant retenu est supérieur au montant présenté. Merci de revoir la ligne de contribution ou plafonner son montant.",(IFERROR(VALUE(TRIM(SUBSTITUTE(M32,CHAR(160),""))),0))=0,"",(IFERROR(VALUE(TRIM(SUBSTITUTE(Z32,CHAR(160),""))),0))=(IFERROR(VALUE(TRIM(SUBSTITUTE(M32,CHAR(160),""))),0)),"OK",(IFERROR(VALUE(TRIM(SUBSTITUTE(Z32,CHAR(160),""))),0))&lt;(IFERROR(VALUE(TRIM(SUBSTITUTE(M32,CHAR(160),""))),0)),"Montant instruit inférieur au montant présenté.",TRUE,""))</f>
        <v/>
      </c>
      <c r="AC32" s="1487" t="str">
        <f t="shared" si="13"/>
        <v/>
      </c>
    </row>
    <row r="33" spans="2:29" ht="15.95" customHeight="1">
      <c r="B33" s="498">
        <v>25</v>
      </c>
      <c r="C33" s="119"/>
      <c r="D33" s="11"/>
      <c r="E33" s="6"/>
      <c r="F33" s="29"/>
      <c r="G33" s="11"/>
      <c r="H33" s="1201"/>
      <c r="I33" s="25"/>
      <c r="J33" s="1456" t="str">
        <f t="shared" si="0"/>
        <v/>
      </c>
      <c r="K33" s="1463"/>
      <c r="L33" s="11"/>
      <c r="M33" s="1467" t="str">
        <f t="shared" si="1"/>
        <v/>
      </c>
      <c r="N33" s="25"/>
      <c r="O33" s="215" t="str">
        <f t="shared" si="2"/>
        <v/>
      </c>
      <c r="P33" s="57" t="str">
        <f t="shared" si="3"/>
        <v/>
      </c>
      <c r="Q33" s="57" t="str">
        <f t="shared" si="4"/>
        <v/>
      </c>
      <c r="R33" s="57" t="str">
        <f t="shared" si="5"/>
        <v/>
      </c>
      <c r="S33" s="57" t="str">
        <f t="shared" si="6"/>
        <v/>
      </c>
      <c r="T33" s="57" t="str">
        <f t="shared" si="7"/>
        <v/>
      </c>
      <c r="U33" s="57" t="str">
        <f t="shared" si="8"/>
        <v/>
      </c>
      <c r="V33" s="1456" t="str">
        <f t="shared" si="9"/>
        <v/>
      </c>
      <c r="W33" s="379" t="str">
        <f t="shared" si="10"/>
        <v/>
      </c>
      <c r="X33" s="57" t="str">
        <f t="shared" si="11"/>
        <v/>
      </c>
      <c r="Y33" s="1243"/>
      <c r="Z33" s="1203" t="str">
        <f t="shared" si="12"/>
        <v/>
      </c>
      <c r="AA33" s="1469"/>
      <c r="AB33" s="57" t="str" cm="1">
        <f t="array" ref="AB33">IF(OR(Z33="",M33=""),"",_xlfn.IFS((IFERROR(VALUE(TRIM(SUBSTITUTE(Z33,CHAR(160),""))),0))&gt;(IFERROR(VALUE(TRIM(SUBSTITUTE(M33,CHAR(160),""))),0)),"KO : Le montant retenu est supérieur au montant présenté. Merci de revoir la ligne de contribution ou plafonner son montant.",(IFERROR(VALUE(TRIM(SUBSTITUTE(M33,CHAR(160),""))),0))=0,"",(IFERROR(VALUE(TRIM(SUBSTITUTE(Z33,CHAR(160),""))),0))=(IFERROR(VALUE(TRIM(SUBSTITUTE(M33,CHAR(160),""))),0)),"OK",(IFERROR(VALUE(TRIM(SUBSTITUTE(Z33,CHAR(160),""))),0))&lt;(IFERROR(VALUE(TRIM(SUBSTITUTE(M33,CHAR(160),""))),0)),"Montant instruit inférieur au montant présenté.",TRUE,""))</f>
        <v/>
      </c>
      <c r="AC33" s="1487" t="str">
        <f t="shared" si="13"/>
        <v/>
      </c>
    </row>
    <row r="34" spans="2:29" ht="15.95" customHeight="1">
      <c r="B34" s="498">
        <v>26</v>
      </c>
      <c r="C34" s="119"/>
      <c r="D34" s="11"/>
      <c r="E34" s="6"/>
      <c r="F34" s="29"/>
      <c r="G34" s="11"/>
      <c r="H34" s="1201"/>
      <c r="I34" s="25"/>
      <c r="J34" s="1456" t="str">
        <f t="shared" si="0"/>
        <v/>
      </c>
      <c r="K34" s="1463"/>
      <c r="L34" s="11"/>
      <c r="M34" s="1467" t="str">
        <f t="shared" si="1"/>
        <v/>
      </c>
      <c r="N34" s="25"/>
      <c r="O34" s="215" t="str">
        <f t="shared" si="2"/>
        <v/>
      </c>
      <c r="P34" s="57" t="str">
        <f t="shared" si="3"/>
        <v/>
      </c>
      <c r="Q34" s="57" t="str">
        <f t="shared" si="4"/>
        <v/>
      </c>
      <c r="R34" s="57" t="str">
        <f t="shared" si="5"/>
        <v/>
      </c>
      <c r="S34" s="57" t="str">
        <f t="shared" si="6"/>
        <v/>
      </c>
      <c r="T34" s="57" t="str">
        <f t="shared" si="7"/>
        <v/>
      </c>
      <c r="U34" s="57" t="str">
        <f t="shared" si="8"/>
        <v/>
      </c>
      <c r="V34" s="1456" t="str">
        <f t="shared" si="9"/>
        <v/>
      </c>
      <c r="W34" s="379" t="str">
        <f t="shared" si="10"/>
        <v/>
      </c>
      <c r="X34" s="57" t="str">
        <f t="shared" si="11"/>
        <v/>
      </c>
      <c r="Y34" s="1243"/>
      <c r="Z34" s="1203" t="str">
        <f t="shared" si="12"/>
        <v/>
      </c>
      <c r="AA34" s="1469"/>
      <c r="AB34" s="57" t="str" cm="1">
        <f t="array" ref="AB34">IF(OR(Z34="",M34=""),"",_xlfn.IFS((IFERROR(VALUE(TRIM(SUBSTITUTE(Z34,CHAR(160),""))),0))&gt;(IFERROR(VALUE(TRIM(SUBSTITUTE(M34,CHAR(160),""))),0)),"KO : Le montant retenu est supérieur au montant présenté. Merci de revoir la ligne de contribution ou plafonner son montant.",(IFERROR(VALUE(TRIM(SUBSTITUTE(M34,CHAR(160),""))),0))=0,"",(IFERROR(VALUE(TRIM(SUBSTITUTE(Z34,CHAR(160),""))),0))=(IFERROR(VALUE(TRIM(SUBSTITUTE(M34,CHAR(160),""))),0)),"OK",(IFERROR(VALUE(TRIM(SUBSTITUTE(Z34,CHAR(160),""))),0))&lt;(IFERROR(VALUE(TRIM(SUBSTITUTE(M34,CHAR(160),""))),0)),"Montant instruit inférieur au montant présenté.",TRUE,""))</f>
        <v/>
      </c>
      <c r="AC34" s="1487" t="str">
        <f t="shared" si="13"/>
        <v/>
      </c>
    </row>
    <row r="35" spans="2:29" ht="15.95" customHeight="1">
      <c r="B35" s="498">
        <v>27</v>
      </c>
      <c r="C35" s="119"/>
      <c r="D35" s="11"/>
      <c r="E35" s="6"/>
      <c r="F35" s="29"/>
      <c r="G35" s="11"/>
      <c r="H35" s="1201"/>
      <c r="I35" s="25"/>
      <c r="J35" s="1456" t="str">
        <f t="shared" si="0"/>
        <v/>
      </c>
      <c r="K35" s="1463"/>
      <c r="L35" s="11"/>
      <c r="M35" s="1467" t="str">
        <f t="shared" si="1"/>
        <v/>
      </c>
      <c r="N35" s="25"/>
      <c r="O35" s="215" t="str">
        <f t="shared" si="2"/>
        <v/>
      </c>
      <c r="P35" s="57" t="str">
        <f t="shared" si="3"/>
        <v/>
      </c>
      <c r="Q35" s="57" t="str">
        <f t="shared" si="4"/>
        <v/>
      </c>
      <c r="R35" s="57" t="str">
        <f t="shared" si="5"/>
        <v/>
      </c>
      <c r="S35" s="57" t="str">
        <f t="shared" si="6"/>
        <v/>
      </c>
      <c r="T35" s="57" t="str">
        <f t="shared" si="7"/>
        <v/>
      </c>
      <c r="U35" s="57" t="str">
        <f t="shared" si="8"/>
        <v/>
      </c>
      <c r="V35" s="1456" t="str">
        <f t="shared" si="9"/>
        <v/>
      </c>
      <c r="W35" s="379" t="str">
        <f t="shared" si="10"/>
        <v/>
      </c>
      <c r="X35" s="57" t="str">
        <f t="shared" si="11"/>
        <v/>
      </c>
      <c r="Y35" s="1243"/>
      <c r="Z35" s="1203" t="str">
        <f t="shared" si="12"/>
        <v/>
      </c>
      <c r="AA35" s="1469"/>
      <c r="AB35" s="57" t="str" cm="1">
        <f t="array" ref="AB35">IF(OR(Z35="",M35=""),"",_xlfn.IFS((IFERROR(VALUE(TRIM(SUBSTITUTE(Z35,CHAR(160),""))),0))&gt;(IFERROR(VALUE(TRIM(SUBSTITUTE(M35,CHAR(160),""))),0)),"KO : Le montant retenu est supérieur au montant présenté. Merci de revoir la ligne de contribution ou plafonner son montant.",(IFERROR(VALUE(TRIM(SUBSTITUTE(M35,CHAR(160),""))),0))=0,"",(IFERROR(VALUE(TRIM(SUBSTITUTE(Z35,CHAR(160),""))),0))=(IFERROR(VALUE(TRIM(SUBSTITUTE(M35,CHAR(160),""))),0)),"OK",(IFERROR(VALUE(TRIM(SUBSTITUTE(Z35,CHAR(160),""))),0))&lt;(IFERROR(VALUE(TRIM(SUBSTITUTE(M35,CHAR(160),""))),0)),"Montant instruit inférieur au montant présenté.",TRUE,""))</f>
        <v/>
      </c>
      <c r="AC35" s="1487" t="str">
        <f t="shared" si="13"/>
        <v/>
      </c>
    </row>
    <row r="36" spans="2:29" ht="15.95" customHeight="1">
      <c r="B36" s="498">
        <v>28</v>
      </c>
      <c r="C36" s="119"/>
      <c r="D36" s="11"/>
      <c r="E36" s="6"/>
      <c r="F36" s="29"/>
      <c r="G36" s="11"/>
      <c r="H36" s="1201"/>
      <c r="I36" s="25"/>
      <c r="J36" s="1456" t="str">
        <f t="shared" si="0"/>
        <v/>
      </c>
      <c r="K36" s="1463"/>
      <c r="L36" s="11"/>
      <c r="M36" s="1467" t="str">
        <f t="shared" si="1"/>
        <v/>
      </c>
      <c r="N36" s="25"/>
      <c r="O36" s="215" t="str">
        <f t="shared" si="2"/>
        <v/>
      </c>
      <c r="P36" s="57" t="str">
        <f t="shared" si="3"/>
        <v/>
      </c>
      <c r="Q36" s="57" t="str">
        <f t="shared" si="4"/>
        <v/>
      </c>
      <c r="R36" s="57" t="str">
        <f t="shared" si="5"/>
        <v/>
      </c>
      <c r="S36" s="57" t="str">
        <f t="shared" si="6"/>
        <v/>
      </c>
      <c r="T36" s="57" t="str">
        <f t="shared" si="7"/>
        <v/>
      </c>
      <c r="U36" s="57" t="str">
        <f t="shared" si="8"/>
        <v/>
      </c>
      <c r="V36" s="1456" t="str">
        <f t="shared" si="9"/>
        <v/>
      </c>
      <c r="W36" s="379" t="str">
        <f t="shared" si="10"/>
        <v/>
      </c>
      <c r="X36" s="57" t="str">
        <f t="shared" si="11"/>
        <v/>
      </c>
      <c r="Y36" s="1243"/>
      <c r="Z36" s="1203" t="str">
        <f t="shared" si="12"/>
        <v/>
      </c>
      <c r="AA36" s="1469"/>
      <c r="AB36" s="57" t="str" cm="1">
        <f t="array" ref="AB36">IF(OR(Z36="",M36=""),"",_xlfn.IFS((IFERROR(VALUE(TRIM(SUBSTITUTE(Z36,CHAR(160),""))),0))&gt;(IFERROR(VALUE(TRIM(SUBSTITUTE(M36,CHAR(160),""))),0)),"KO : Le montant retenu est supérieur au montant présenté. Merci de revoir la ligne de contribution ou plafonner son montant.",(IFERROR(VALUE(TRIM(SUBSTITUTE(M36,CHAR(160),""))),0))=0,"",(IFERROR(VALUE(TRIM(SUBSTITUTE(Z36,CHAR(160),""))),0))=(IFERROR(VALUE(TRIM(SUBSTITUTE(M36,CHAR(160),""))),0)),"OK",(IFERROR(VALUE(TRIM(SUBSTITUTE(Z36,CHAR(160),""))),0))&lt;(IFERROR(VALUE(TRIM(SUBSTITUTE(M36,CHAR(160),""))),0)),"Montant instruit inférieur au montant présenté.",TRUE,""))</f>
        <v/>
      </c>
      <c r="AC36" s="1487" t="str">
        <f t="shared" si="13"/>
        <v/>
      </c>
    </row>
    <row r="37" spans="2:29" ht="15.95" customHeight="1">
      <c r="B37" s="498">
        <v>29</v>
      </c>
      <c r="C37" s="119"/>
      <c r="D37" s="11"/>
      <c r="E37" s="6"/>
      <c r="F37" s="29"/>
      <c r="G37" s="11"/>
      <c r="H37" s="1201"/>
      <c r="I37" s="25"/>
      <c r="J37" s="1456" t="str">
        <f t="shared" si="0"/>
        <v/>
      </c>
      <c r="K37" s="1463"/>
      <c r="L37" s="11"/>
      <c r="M37" s="1467" t="str">
        <f t="shared" si="1"/>
        <v/>
      </c>
      <c r="N37" s="25"/>
      <c r="O37" s="215" t="str">
        <f t="shared" si="2"/>
        <v/>
      </c>
      <c r="P37" s="57" t="str">
        <f t="shared" si="3"/>
        <v/>
      </c>
      <c r="Q37" s="57" t="str">
        <f t="shared" si="4"/>
        <v/>
      </c>
      <c r="R37" s="57" t="str">
        <f t="shared" si="5"/>
        <v/>
      </c>
      <c r="S37" s="57" t="str">
        <f t="shared" si="6"/>
        <v/>
      </c>
      <c r="T37" s="57" t="str">
        <f t="shared" si="7"/>
        <v/>
      </c>
      <c r="U37" s="57" t="str">
        <f t="shared" si="8"/>
        <v/>
      </c>
      <c r="V37" s="1456" t="str">
        <f t="shared" si="9"/>
        <v/>
      </c>
      <c r="W37" s="379" t="str">
        <f t="shared" si="10"/>
        <v/>
      </c>
      <c r="X37" s="57" t="str">
        <f t="shared" si="11"/>
        <v/>
      </c>
      <c r="Y37" s="1243"/>
      <c r="Z37" s="1203" t="str">
        <f t="shared" si="12"/>
        <v/>
      </c>
      <c r="AA37" s="1469"/>
      <c r="AB37" s="57" t="str" cm="1">
        <f t="array" ref="AB37">IF(OR(Z37="",M37=""),"",_xlfn.IFS((IFERROR(VALUE(TRIM(SUBSTITUTE(Z37,CHAR(160),""))),0))&gt;(IFERROR(VALUE(TRIM(SUBSTITUTE(M37,CHAR(160),""))),0)),"KO : Le montant retenu est supérieur au montant présenté. Merci de revoir la ligne de contribution ou plafonner son montant.",(IFERROR(VALUE(TRIM(SUBSTITUTE(M37,CHAR(160),""))),0))=0,"",(IFERROR(VALUE(TRIM(SUBSTITUTE(Z37,CHAR(160),""))),0))=(IFERROR(VALUE(TRIM(SUBSTITUTE(M37,CHAR(160),""))),0)),"OK",(IFERROR(VALUE(TRIM(SUBSTITUTE(Z37,CHAR(160),""))),0))&lt;(IFERROR(VALUE(TRIM(SUBSTITUTE(M37,CHAR(160),""))),0)),"Montant instruit inférieur au montant présenté.",TRUE,""))</f>
        <v/>
      </c>
      <c r="AC37" s="1487" t="str">
        <f t="shared" si="13"/>
        <v/>
      </c>
    </row>
    <row r="38" spans="2:29" ht="15.95" customHeight="1">
      <c r="B38" s="498">
        <v>30</v>
      </c>
      <c r="C38" s="119"/>
      <c r="D38" s="11"/>
      <c r="E38" s="6"/>
      <c r="F38" s="29"/>
      <c r="G38" s="11"/>
      <c r="H38" s="1201"/>
      <c r="I38" s="25"/>
      <c r="J38" s="1456" t="str">
        <f t="shared" si="0"/>
        <v/>
      </c>
      <c r="K38" s="1463"/>
      <c r="L38" s="11"/>
      <c r="M38" s="1467" t="str">
        <f t="shared" si="1"/>
        <v/>
      </c>
      <c r="N38" s="25"/>
      <c r="O38" s="215" t="str">
        <f t="shared" si="2"/>
        <v/>
      </c>
      <c r="P38" s="57" t="str">
        <f t="shared" si="3"/>
        <v/>
      </c>
      <c r="Q38" s="57" t="str">
        <f t="shared" si="4"/>
        <v/>
      </c>
      <c r="R38" s="57" t="str">
        <f t="shared" si="5"/>
        <v/>
      </c>
      <c r="S38" s="57" t="str">
        <f t="shared" si="6"/>
        <v/>
      </c>
      <c r="T38" s="57" t="str">
        <f t="shared" si="7"/>
        <v/>
      </c>
      <c r="U38" s="57" t="str">
        <f t="shared" si="8"/>
        <v/>
      </c>
      <c r="V38" s="1456" t="str">
        <f t="shared" si="9"/>
        <v/>
      </c>
      <c r="W38" s="379" t="str">
        <f t="shared" si="10"/>
        <v/>
      </c>
      <c r="X38" s="57" t="str">
        <f t="shared" si="11"/>
        <v/>
      </c>
      <c r="Y38" s="1243"/>
      <c r="Z38" s="1203" t="str">
        <f t="shared" si="12"/>
        <v/>
      </c>
      <c r="AA38" s="1469"/>
      <c r="AB38" s="57" t="str" cm="1">
        <f t="array" ref="AB38">IF(OR(Z38="",M38=""),"",_xlfn.IFS((IFERROR(VALUE(TRIM(SUBSTITUTE(Z38,CHAR(160),""))),0))&gt;(IFERROR(VALUE(TRIM(SUBSTITUTE(M38,CHAR(160),""))),0)),"KO : Le montant retenu est supérieur au montant présenté. Merci de revoir la ligne de contribution ou plafonner son montant.",(IFERROR(VALUE(TRIM(SUBSTITUTE(M38,CHAR(160),""))),0))=0,"",(IFERROR(VALUE(TRIM(SUBSTITUTE(Z38,CHAR(160),""))),0))=(IFERROR(VALUE(TRIM(SUBSTITUTE(M38,CHAR(160),""))),0)),"OK",(IFERROR(VALUE(TRIM(SUBSTITUTE(Z38,CHAR(160),""))),0))&lt;(IFERROR(VALUE(TRIM(SUBSTITUTE(M38,CHAR(160),""))),0)),"Montant instruit inférieur au montant présenté.",TRUE,""))</f>
        <v/>
      </c>
      <c r="AC38" s="1487" t="str">
        <f t="shared" si="13"/>
        <v/>
      </c>
    </row>
    <row r="39" spans="2:29" ht="15.95" customHeight="1">
      <c r="B39" s="498">
        <v>31</v>
      </c>
      <c r="C39" s="119"/>
      <c r="D39" s="11"/>
      <c r="E39" s="6"/>
      <c r="F39" s="29"/>
      <c r="G39" s="11"/>
      <c r="H39" s="1201"/>
      <c r="I39" s="25"/>
      <c r="J39" s="1456" t="str">
        <f t="shared" si="0"/>
        <v/>
      </c>
      <c r="K39" s="1463"/>
      <c r="L39" s="11"/>
      <c r="M39" s="1467" t="str">
        <f t="shared" si="1"/>
        <v/>
      </c>
      <c r="N39" s="25"/>
      <c r="O39" s="215" t="str">
        <f t="shared" si="2"/>
        <v/>
      </c>
      <c r="P39" s="57" t="str">
        <f t="shared" si="3"/>
        <v/>
      </c>
      <c r="Q39" s="57" t="str">
        <f t="shared" si="4"/>
        <v/>
      </c>
      <c r="R39" s="57" t="str">
        <f t="shared" si="5"/>
        <v/>
      </c>
      <c r="S39" s="57" t="str">
        <f t="shared" si="6"/>
        <v/>
      </c>
      <c r="T39" s="57" t="str">
        <f t="shared" si="7"/>
        <v/>
      </c>
      <c r="U39" s="57" t="str">
        <f t="shared" si="8"/>
        <v/>
      </c>
      <c r="V39" s="1456" t="str">
        <f t="shared" si="9"/>
        <v/>
      </c>
      <c r="W39" s="379" t="str">
        <f t="shared" si="10"/>
        <v/>
      </c>
      <c r="X39" s="57" t="str">
        <f t="shared" si="11"/>
        <v/>
      </c>
      <c r="Y39" s="1243"/>
      <c r="Z39" s="1203" t="str">
        <f t="shared" si="12"/>
        <v/>
      </c>
      <c r="AA39" s="1469"/>
      <c r="AB39" s="57" t="str" cm="1">
        <f t="array" ref="AB39">IF(OR(Z39="",M39=""),"",_xlfn.IFS((IFERROR(VALUE(TRIM(SUBSTITUTE(Z39,CHAR(160),""))),0))&gt;(IFERROR(VALUE(TRIM(SUBSTITUTE(M39,CHAR(160),""))),0)),"KO : Le montant retenu est supérieur au montant présenté. Merci de revoir la ligne de contribution ou plafonner son montant.",(IFERROR(VALUE(TRIM(SUBSTITUTE(M39,CHAR(160),""))),0))=0,"",(IFERROR(VALUE(TRIM(SUBSTITUTE(Z39,CHAR(160),""))),0))=(IFERROR(VALUE(TRIM(SUBSTITUTE(M39,CHAR(160),""))),0)),"OK",(IFERROR(VALUE(TRIM(SUBSTITUTE(Z39,CHAR(160),""))),0))&lt;(IFERROR(VALUE(TRIM(SUBSTITUTE(M39,CHAR(160),""))),0)),"Montant instruit inférieur au montant présenté.",TRUE,""))</f>
        <v/>
      </c>
      <c r="AC39" s="1487" t="str">
        <f t="shared" si="13"/>
        <v/>
      </c>
    </row>
    <row r="40" spans="2:29" ht="15.95" customHeight="1">
      <c r="B40" s="498">
        <v>32</v>
      </c>
      <c r="C40" s="119"/>
      <c r="D40" s="11"/>
      <c r="E40" s="6"/>
      <c r="F40" s="29"/>
      <c r="G40" s="11"/>
      <c r="H40" s="1201"/>
      <c r="I40" s="25"/>
      <c r="J40" s="1456" t="str">
        <f t="shared" si="0"/>
        <v/>
      </c>
      <c r="K40" s="1463"/>
      <c r="L40" s="11"/>
      <c r="M40" s="1467" t="str">
        <f t="shared" si="1"/>
        <v/>
      </c>
      <c r="N40" s="25"/>
      <c r="O40" s="215" t="str">
        <f t="shared" si="2"/>
        <v/>
      </c>
      <c r="P40" s="57" t="str">
        <f t="shared" si="3"/>
        <v/>
      </c>
      <c r="Q40" s="57" t="str">
        <f t="shared" si="4"/>
        <v/>
      </c>
      <c r="R40" s="57" t="str">
        <f t="shared" si="5"/>
        <v/>
      </c>
      <c r="S40" s="57" t="str">
        <f t="shared" si="6"/>
        <v/>
      </c>
      <c r="T40" s="57" t="str">
        <f t="shared" si="7"/>
        <v/>
      </c>
      <c r="U40" s="57" t="str">
        <f t="shared" si="8"/>
        <v/>
      </c>
      <c r="V40" s="1456" t="str">
        <f t="shared" si="9"/>
        <v/>
      </c>
      <c r="W40" s="379" t="str">
        <f t="shared" si="10"/>
        <v/>
      </c>
      <c r="X40" s="57" t="str">
        <f t="shared" si="11"/>
        <v/>
      </c>
      <c r="Y40" s="1243"/>
      <c r="Z40" s="1203" t="str">
        <f t="shared" si="12"/>
        <v/>
      </c>
      <c r="AA40" s="1469"/>
      <c r="AB40" s="57" t="str" cm="1">
        <f t="array" ref="AB40">IF(OR(Z40="",M40=""),"",_xlfn.IFS((IFERROR(VALUE(TRIM(SUBSTITUTE(Z40,CHAR(160),""))),0))&gt;(IFERROR(VALUE(TRIM(SUBSTITUTE(M40,CHAR(160),""))),0)),"KO : Le montant retenu est supérieur au montant présenté. Merci de revoir la ligne de contribution ou plafonner son montant.",(IFERROR(VALUE(TRIM(SUBSTITUTE(M40,CHAR(160),""))),0))=0,"",(IFERROR(VALUE(TRIM(SUBSTITUTE(Z40,CHAR(160),""))),0))=(IFERROR(VALUE(TRIM(SUBSTITUTE(M40,CHAR(160),""))),0)),"OK",(IFERROR(VALUE(TRIM(SUBSTITUTE(Z40,CHAR(160),""))),0))&lt;(IFERROR(VALUE(TRIM(SUBSTITUTE(M40,CHAR(160),""))),0)),"Montant instruit inférieur au montant présenté.",TRUE,""))</f>
        <v/>
      </c>
      <c r="AC40" s="1487" t="str">
        <f t="shared" si="13"/>
        <v/>
      </c>
    </row>
    <row r="41" spans="2:29" ht="15.95" customHeight="1">
      <c r="B41" s="498">
        <v>33</v>
      </c>
      <c r="C41" s="119"/>
      <c r="D41" s="11"/>
      <c r="E41" s="6"/>
      <c r="F41" s="29"/>
      <c r="G41" s="11"/>
      <c r="H41" s="1201"/>
      <c r="I41" s="25"/>
      <c r="J41" s="1456" t="str">
        <f t="shared" si="0"/>
        <v/>
      </c>
      <c r="K41" s="1463"/>
      <c r="L41" s="11"/>
      <c r="M41" s="1467" t="str">
        <f t="shared" si="1"/>
        <v/>
      </c>
      <c r="N41" s="25"/>
      <c r="O41" s="215" t="str">
        <f t="shared" si="2"/>
        <v/>
      </c>
      <c r="P41" s="57" t="str">
        <f t="shared" si="3"/>
        <v/>
      </c>
      <c r="Q41" s="57" t="str">
        <f t="shared" si="4"/>
        <v/>
      </c>
      <c r="R41" s="57" t="str">
        <f t="shared" si="5"/>
        <v/>
      </c>
      <c r="S41" s="57" t="str">
        <f t="shared" si="6"/>
        <v/>
      </c>
      <c r="T41" s="57" t="str">
        <f t="shared" si="7"/>
        <v/>
      </c>
      <c r="U41" s="57" t="str">
        <f t="shared" si="8"/>
        <v/>
      </c>
      <c r="V41" s="1456" t="str">
        <f t="shared" si="9"/>
        <v/>
      </c>
      <c r="W41" s="379" t="str">
        <f t="shared" si="10"/>
        <v/>
      </c>
      <c r="X41" s="57" t="str">
        <f t="shared" si="11"/>
        <v/>
      </c>
      <c r="Y41" s="1243"/>
      <c r="Z41" s="1203" t="str">
        <f t="shared" si="12"/>
        <v/>
      </c>
      <c r="AA41" s="1469"/>
      <c r="AB41" s="57" t="str" cm="1">
        <f t="array" ref="AB41">IF(OR(Z41="",M41=""),"",_xlfn.IFS((IFERROR(VALUE(TRIM(SUBSTITUTE(Z41,CHAR(160),""))),0))&gt;(IFERROR(VALUE(TRIM(SUBSTITUTE(M41,CHAR(160),""))),0)),"KO : Le montant retenu est supérieur au montant présenté. Merci de revoir la ligne de contribution ou plafonner son montant.",(IFERROR(VALUE(TRIM(SUBSTITUTE(M41,CHAR(160),""))),0))=0,"",(IFERROR(VALUE(TRIM(SUBSTITUTE(Z41,CHAR(160),""))),0))=(IFERROR(VALUE(TRIM(SUBSTITUTE(M41,CHAR(160),""))),0)),"OK",(IFERROR(VALUE(TRIM(SUBSTITUTE(Z41,CHAR(160),""))),0))&lt;(IFERROR(VALUE(TRIM(SUBSTITUTE(M41,CHAR(160),""))),0)),"Montant instruit inférieur au montant présenté.",TRUE,""))</f>
        <v/>
      </c>
      <c r="AC41" s="1487" t="str">
        <f t="shared" si="13"/>
        <v/>
      </c>
    </row>
    <row r="42" spans="2:29" ht="15.95" customHeight="1">
      <c r="B42" s="498">
        <v>34</v>
      </c>
      <c r="C42" s="119"/>
      <c r="D42" s="11"/>
      <c r="E42" s="6"/>
      <c r="F42" s="29"/>
      <c r="G42" s="11"/>
      <c r="H42" s="1201"/>
      <c r="I42" s="25"/>
      <c r="J42" s="1456" t="str">
        <f t="shared" si="0"/>
        <v/>
      </c>
      <c r="K42" s="1463"/>
      <c r="L42" s="11"/>
      <c r="M42" s="1467" t="str">
        <f t="shared" si="1"/>
        <v/>
      </c>
      <c r="N42" s="25"/>
      <c r="O42" s="215" t="str">
        <f t="shared" si="2"/>
        <v/>
      </c>
      <c r="P42" s="57" t="str">
        <f t="shared" si="3"/>
        <v/>
      </c>
      <c r="Q42" s="57" t="str">
        <f t="shared" si="4"/>
        <v/>
      </c>
      <c r="R42" s="57" t="str">
        <f t="shared" si="5"/>
        <v/>
      </c>
      <c r="S42" s="57" t="str">
        <f t="shared" si="6"/>
        <v/>
      </c>
      <c r="T42" s="57" t="str">
        <f t="shared" si="7"/>
        <v/>
      </c>
      <c r="U42" s="57" t="str">
        <f t="shared" si="8"/>
        <v/>
      </c>
      <c r="V42" s="1456" t="str">
        <f t="shared" si="9"/>
        <v/>
      </c>
      <c r="W42" s="379" t="str">
        <f t="shared" si="10"/>
        <v/>
      </c>
      <c r="X42" s="57" t="str">
        <f t="shared" si="11"/>
        <v/>
      </c>
      <c r="Y42" s="1243"/>
      <c r="Z42" s="1203" t="str">
        <f t="shared" si="12"/>
        <v/>
      </c>
      <c r="AA42" s="1469"/>
      <c r="AB42" s="57" t="str" cm="1">
        <f t="array" ref="AB42">IF(OR(Z42="",M42=""),"",_xlfn.IFS((IFERROR(VALUE(TRIM(SUBSTITUTE(Z42,CHAR(160),""))),0))&gt;(IFERROR(VALUE(TRIM(SUBSTITUTE(M42,CHAR(160),""))),0)),"KO : Le montant retenu est supérieur au montant présenté. Merci de revoir la ligne de contribution ou plafonner son montant.",(IFERROR(VALUE(TRIM(SUBSTITUTE(M42,CHAR(160),""))),0))=0,"",(IFERROR(VALUE(TRIM(SUBSTITUTE(Z42,CHAR(160),""))),0))=(IFERROR(VALUE(TRIM(SUBSTITUTE(M42,CHAR(160),""))),0)),"OK",(IFERROR(VALUE(TRIM(SUBSTITUTE(Z42,CHAR(160),""))),0))&lt;(IFERROR(VALUE(TRIM(SUBSTITUTE(M42,CHAR(160),""))),0)),"Montant instruit inférieur au montant présenté.",TRUE,""))</f>
        <v/>
      </c>
      <c r="AC42" s="1487" t="str">
        <f t="shared" si="13"/>
        <v/>
      </c>
    </row>
    <row r="43" spans="2:29" ht="15.95" customHeight="1">
      <c r="B43" s="498">
        <v>35</v>
      </c>
      <c r="C43" s="119"/>
      <c r="D43" s="11"/>
      <c r="E43" s="6"/>
      <c r="F43" s="29"/>
      <c r="G43" s="11"/>
      <c r="H43" s="1201"/>
      <c r="I43" s="25"/>
      <c r="J43" s="1456" t="str">
        <f t="shared" si="0"/>
        <v/>
      </c>
      <c r="K43" s="1463"/>
      <c r="L43" s="11"/>
      <c r="M43" s="1467" t="str">
        <f t="shared" si="1"/>
        <v/>
      </c>
      <c r="N43" s="25"/>
      <c r="O43" s="215" t="str">
        <f t="shared" si="2"/>
        <v/>
      </c>
      <c r="P43" s="57" t="str">
        <f t="shared" si="3"/>
        <v/>
      </c>
      <c r="Q43" s="57" t="str">
        <f t="shared" si="4"/>
        <v/>
      </c>
      <c r="R43" s="57" t="str">
        <f t="shared" si="5"/>
        <v/>
      </c>
      <c r="S43" s="57" t="str">
        <f t="shared" si="6"/>
        <v/>
      </c>
      <c r="T43" s="57" t="str">
        <f t="shared" si="7"/>
        <v/>
      </c>
      <c r="U43" s="57" t="str">
        <f t="shared" si="8"/>
        <v/>
      </c>
      <c r="V43" s="1456" t="str">
        <f t="shared" si="9"/>
        <v/>
      </c>
      <c r="W43" s="379" t="str">
        <f t="shared" si="10"/>
        <v/>
      </c>
      <c r="X43" s="57" t="str">
        <f t="shared" si="11"/>
        <v/>
      </c>
      <c r="Y43" s="1243"/>
      <c r="Z43" s="1203" t="str">
        <f t="shared" si="12"/>
        <v/>
      </c>
      <c r="AA43" s="1469"/>
      <c r="AB43" s="57" t="str" cm="1">
        <f t="array" ref="AB43">IF(OR(Z43="",M43=""),"",_xlfn.IFS((IFERROR(VALUE(TRIM(SUBSTITUTE(Z43,CHAR(160),""))),0))&gt;(IFERROR(VALUE(TRIM(SUBSTITUTE(M43,CHAR(160),""))),0)),"KO : Le montant retenu est supérieur au montant présenté. Merci de revoir la ligne de contribution ou plafonner son montant.",(IFERROR(VALUE(TRIM(SUBSTITUTE(M43,CHAR(160),""))),0))=0,"",(IFERROR(VALUE(TRIM(SUBSTITUTE(Z43,CHAR(160),""))),0))=(IFERROR(VALUE(TRIM(SUBSTITUTE(M43,CHAR(160),""))),0)),"OK",(IFERROR(VALUE(TRIM(SUBSTITUTE(Z43,CHAR(160),""))),0))&lt;(IFERROR(VALUE(TRIM(SUBSTITUTE(M43,CHAR(160),""))),0)),"Montant instruit inférieur au montant présenté.",TRUE,""))</f>
        <v/>
      </c>
      <c r="AC43" s="1487" t="str">
        <f t="shared" si="13"/>
        <v/>
      </c>
    </row>
    <row r="44" spans="2:29" ht="15.95" customHeight="1">
      <c r="B44" s="498">
        <v>36</v>
      </c>
      <c r="C44" s="119"/>
      <c r="D44" s="11"/>
      <c r="E44" s="6"/>
      <c r="F44" s="29"/>
      <c r="G44" s="11"/>
      <c r="H44" s="1201"/>
      <c r="I44" s="25"/>
      <c r="J44" s="1456" t="str">
        <f t="shared" si="0"/>
        <v/>
      </c>
      <c r="K44" s="1463"/>
      <c r="L44" s="11"/>
      <c r="M44" s="1467" t="str">
        <f t="shared" si="1"/>
        <v/>
      </c>
      <c r="N44" s="25"/>
      <c r="O44" s="215" t="str">
        <f t="shared" si="2"/>
        <v/>
      </c>
      <c r="P44" s="57" t="str">
        <f t="shared" si="3"/>
        <v/>
      </c>
      <c r="Q44" s="57" t="str">
        <f t="shared" si="4"/>
        <v/>
      </c>
      <c r="R44" s="57" t="str">
        <f t="shared" si="5"/>
        <v/>
      </c>
      <c r="S44" s="57" t="str">
        <f t="shared" si="6"/>
        <v/>
      </c>
      <c r="T44" s="57" t="str">
        <f t="shared" si="7"/>
        <v/>
      </c>
      <c r="U44" s="57" t="str">
        <f t="shared" si="8"/>
        <v/>
      </c>
      <c r="V44" s="1456" t="str">
        <f t="shared" si="9"/>
        <v/>
      </c>
      <c r="W44" s="379" t="str">
        <f t="shared" si="10"/>
        <v/>
      </c>
      <c r="X44" s="57" t="str">
        <f t="shared" si="11"/>
        <v/>
      </c>
      <c r="Y44" s="1243"/>
      <c r="Z44" s="1203" t="str">
        <f t="shared" si="12"/>
        <v/>
      </c>
      <c r="AA44" s="1469"/>
      <c r="AB44" s="57" t="str" cm="1">
        <f t="array" ref="AB44">IF(OR(Z44="",M44=""),"",_xlfn.IFS((IFERROR(VALUE(TRIM(SUBSTITUTE(Z44,CHAR(160),""))),0))&gt;(IFERROR(VALUE(TRIM(SUBSTITUTE(M44,CHAR(160),""))),0)),"KO : Le montant retenu est supérieur au montant présenté. Merci de revoir la ligne de contribution ou plafonner son montant.",(IFERROR(VALUE(TRIM(SUBSTITUTE(M44,CHAR(160),""))),0))=0,"",(IFERROR(VALUE(TRIM(SUBSTITUTE(Z44,CHAR(160),""))),0))=(IFERROR(VALUE(TRIM(SUBSTITUTE(M44,CHAR(160),""))),0)),"OK",(IFERROR(VALUE(TRIM(SUBSTITUTE(Z44,CHAR(160),""))),0))&lt;(IFERROR(VALUE(TRIM(SUBSTITUTE(M44,CHAR(160),""))),0)),"Montant instruit inférieur au montant présenté.",TRUE,""))</f>
        <v/>
      </c>
      <c r="AC44" s="1487" t="str">
        <f t="shared" si="13"/>
        <v/>
      </c>
    </row>
    <row r="45" spans="2:29" ht="15.95" customHeight="1">
      <c r="B45" s="498">
        <v>37</v>
      </c>
      <c r="C45" s="119"/>
      <c r="D45" s="11"/>
      <c r="E45" s="6"/>
      <c r="F45" s="29"/>
      <c r="G45" s="11"/>
      <c r="H45" s="1201"/>
      <c r="I45" s="25"/>
      <c r="J45" s="1456" t="str">
        <f t="shared" si="0"/>
        <v/>
      </c>
      <c r="K45" s="1463"/>
      <c r="L45" s="11"/>
      <c r="M45" s="1467" t="str">
        <f t="shared" si="1"/>
        <v/>
      </c>
      <c r="N45" s="25"/>
      <c r="O45" s="215" t="str">
        <f t="shared" si="2"/>
        <v/>
      </c>
      <c r="P45" s="57" t="str">
        <f t="shared" si="3"/>
        <v/>
      </c>
      <c r="Q45" s="57" t="str">
        <f t="shared" si="4"/>
        <v/>
      </c>
      <c r="R45" s="57" t="str">
        <f t="shared" si="5"/>
        <v/>
      </c>
      <c r="S45" s="57" t="str">
        <f t="shared" si="6"/>
        <v/>
      </c>
      <c r="T45" s="57" t="str">
        <f t="shared" si="7"/>
        <v/>
      </c>
      <c r="U45" s="57" t="str">
        <f t="shared" si="8"/>
        <v/>
      </c>
      <c r="V45" s="1456" t="str">
        <f t="shared" si="9"/>
        <v/>
      </c>
      <c r="W45" s="379" t="str">
        <f t="shared" si="10"/>
        <v/>
      </c>
      <c r="X45" s="57" t="str">
        <f t="shared" si="11"/>
        <v/>
      </c>
      <c r="Y45" s="1243"/>
      <c r="Z45" s="1203" t="str">
        <f t="shared" si="12"/>
        <v/>
      </c>
      <c r="AA45" s="1469"/>
      <c r="AB45" s="57" t="str" cm="1">
        <f t="array" ref="AB45">IF(OR(Z45="",M45=""),"",_xlfn.IFS((IFERROR(VALUE(TRIM(SUBSTITUTE(Z45,CHAR(160),""))),0))&gt;(IFERROR(VALUE(TRIM(SUBSTITUTE(M45,CHAR(160),""))),0)),"KO : Le montant retenu est supérieur au montant présenté. Merci de revoir la ligne de contribution ou plafonner son montant.",(IFERROR(VALUE(TRIM(SUBSTITUTE(M45,CHAR(160),""))),0))=0,"",(IFERROR(VALUE(TRIM(SUBSTITUTE(Z45,CHAR(160),""))),0))=(IFERROR(VALUE(TRIM(SUBSTITUTE(M45,CHAR(160),""))),0)),"OK",(IFERROR(VALUE(TRIM(SUBSTITUTE(Z45,CHAR(160),""))),0))&lt;(IFERROR(VALUE(TRIM(SUBSTITUTE(M45,CHAR(160),""))),0)),"Montant instruit inférieur au montant présenté.",TRUE,""))</f>
        <v/>
      </c>
      <c r="AC45" s="1487" t="str">
        <f t="shared" si="13"/>
        <v/>
      </c>
    </row>
    <row r="46" spans="2:29" ht="15.95" customHeight="1">
      <c r="B46" s="498">
        <v>38</v>
      </c>
      <c r="C46" s="119"/>
      <c r="D46" s="11"/>
      <c r="E46" s="6"/>
      <c r="F46" s="29"/>
      <c r="G46" s="11"/>
      <c r="H46" s="1201"/>
      <c r="I46" s="25"/>
      <c r="J46" s="1456" t="str">
        <f t="shared" si="0"/>
        <v/>
      </c>
      <c r="K46" s="1463"/>
      <c r="L46" s="11"/>
      <c r="M46" s="1467" t="str">
        <f t="shared" si="1"/>
        <v/>
      </c>
      <c r="N46" s="25"/>
      <c r="O46" s="215" t="str">
        <f t="shared" si="2"/>
        <v/>
      </c>
      <c r="P46" s="57" t="str">
        <f t="shared" si="3"/>
        <v/>
      </c>
      <c r="Q46" s="57" t="str">
        <f t="shared" si="4"/>
        <v/>
      </c>
      <c r="R46" s="57" t="str">
        <f t="shared" si="5"/>
        <v/>
      </c>
      <c r="S46" s="57" t="str">
        <f t="shared" si="6"/>
        <v/>
      </c>
      <c r="T46" s="57" t="str">
        <f t="shared" si="7"/>
        <v/>
      </c>
      <c r="U46" s="57" t="str">
        <f t="shared" si="8"/>
        <v/>
      </c>
      <c r="V46" s="1456" t="str">
        <f t="shared" si="9"/>
        <v/>
      </c>
      <c r="W46" s="379" t="str">
        <f t="shared" si="10"/>
        <v/>
      </c>
      <c r="X46" s="57" t="str">
        <f t="shared" si="11"/>
        <v/>
      </c>
      <c r="Y46" s="1243"/>
      <c r="Z46" s="1203" t="str">
        <f t="shared" si="12"/>
        <v/>
      </c>
      <c r="AA46" s="1469"/>
      <c r="AB46" s="57" t="str" cm="1">
        <f t="array" ref="AB46">IF(OR(Z46="",M46=""),"",_xlfn.IFS((IFERROR(VALUE(TRIM(SUBSTITUTE(Z46,CHAR(160),""))),0))&gt;(IFERROR(VALUE(TRIM(SUBSTITUTE(M46,CHAR(160),""))),0)),"KO : Le montant retenu est supérieur au montant présenté. Merci de revoir la ligne de contribution ou plafonner son montant.",(IFERROR(VALUE(TRIM(SUBSTITUTE(M46,CHAR(160),""))),0))=0,"",(IFERROR(VALUE(TRIM(SUBSTITUTE(Z46,CHAR(160),""))),0))=(IFERROR(VALUE(TRIM(SUBSTITUTE(M46,CHAR(160),""))),0)),"OK",(IFERROR(VALUE(TRIM(SUBSTITUTE(Z46,CHAR(160),""))),0))&lt;(IFERROR(VALUE(TRIM(SUBSTITUTE(M46,CHAR(160),""))),0)),"Montant instruit inférieur au montant présenté.",TRUE,""))</f>
        <v/>
      </c>
      <c r="AC46" s="1487" t="str">
        <f t="shared" si="13"/>
        <v/>
      </c>
    </row>
    <row r="47" spans="2:29" ht="15.95" customHeight="1">
      <c r="B47" s="498">
        <v>39</v>
      </c>
      <c r="C47" s="119"/>
      <c r="D47" s="11"/>
      <c r="E47" s="6"/>
      <c r="F47" s="29"/>
      <c r="G47" s="11"/>
      <c r="H47" s="1201"/>
      <c r="I47" s="25"/>
      <c r="J47" s="1456" t="str">
        <f t="shared" si="0"/>
        <v/>
      </c>
      <c r="K47" s="1463"/>
      <c r="L47" s="11"/>
      <c r="M47" s="1467" t="str">
        <f t="shared" si="1"/>
        <v/>
      </c>
      <c r="N47" s="25"/>
      <c r="O47" s="215" t="str">
        <f t="shared" si="2"/>
        <v/>
      </c>
      <c r="P47" s="57" t="str">
        <f t="shared" si="3"/>
        <v/>
      </c>
      <c r="Q47" s="57" t="str">
        <f t="shared" si="4"/>
        <v/>
      </c>
      <c r="R47" s="57" t="str">
        <f t="shared" si="5"/>
        <v/>
      </c>
      <c r="S47" s="57" t="str">
        <f t="shared" si="6"/>
        <v/>
      </c>
      <c r="T47" s="57" t="str">
        <f t="shared" si="7"/>
        <v/>
      </c>
      <c r="U47" s="57" t="str">
        <f t="shared" si="8"/>
        <v/>
      </c>
      <c r="V47" s="1456" t="str">
        <f t="shared" si="9"/>
        <v/>
      </c>
      <c r="W47" s="379" t="str">
        <f t="shared" si="10"/>
        <v/>
      </c>
      <c r="X47" s="57" t="str">
        <f t="shared" si="11"/>
        <v/>
      </c>
      <c r="Y47" s="1243"/>
      <c r="Z47" s="1203" t="str">
        <f t="shared" si="12"/>
        <v/>
      </c>
      <c r="AA47" s="1469"/>
      <c r="AB47" s="57" t="str" cm="1">
        <f t="array" ref="AB47">IF(OR(Z47="",M47=""),"",_xlfn.IFS((IFERROR(VALUE(TRIM(SUBSTITUTE(Z47,CHAR(160),""))),0))&gt;(IFERROR(VALUE(TRIM(SUBSTITUTE(M47,CHAR(160),""))),0)),"KO : Le montant retenu est supérieur au montant présenté. Merci de revoir la ligne de contribution ou plafonner son montant.",(IFERROR(VALUE(TRIM(SUBSTITUTE(M47,CHAR(160),""))),0))=0,"",(IFERROR(VALUE(TRIM(SUBSTITUTE(Z47,CHAR(160),""))),0))=(IFERROR(VALUE(TRIM(SUBSTITUTE(M47,CHAR(160),""))),0)),"OK",(IFERROR(VALUE(TRIM(SUBSTITUTE(Z47,CHAR(160),""))),0))&lt;(IFERROR(VALUE(TRIM(SUBSTITUTE(M47,CHAR(160),""))),0)),"Montant instruit inférieur au montant présenté.",TRUE,""))</f>
        <v/>
      </c>
      <c r="AC47" s="1487" t="str">
        <f t="shared" si="13"/>
        <v/>
      </c>
    </row>
    <row r="48" spans="2:29" ht="15.95" customHeight="1" thickBot="1">
      <c r="B48" s="499">
        <v>40</v>
      </c>
      <c r="C48" s="121"/>
      <c r="D48" s="12"/>
      <c r="E48" s="7"/>
      <c r="F48" s="1480"/>
      <c r="G48" s="12"/>
      <c r="H48" s="1208"/>
      <c r="I48" s="1333"/>
      <c r="J48" s="1481" t="str">
        <f t="shared" si="0"/>
        <v/>
      </c>
      <c r="K48" s="1482"/>
      <c r="L48" s="12"/>
      <c r="M48" s="1483" t="str">
        <f t="shared" si="1"/>
        <v/>
      </c>
      <c r="N48" s="1333"/>
      <c r="O48" s="683" t="str">
        <f t="shared" si="2"/>
        <v/>
      </c>
      <c r="P48" s="1217" t="str">
        <f t="shared" si="3"/>
        <v/>
      </c>
      <c r="Q48" s="1217" t="str">
        <f t="shared" si="4"/>
        <v/>
      </c>
      <c r="R48" s="1217" t="str">
        <f t="shared" si="5"/>
        <v/>
      </c>
      <c r="S48" s="1217" t="str">
        <f t="shared" si="6"/>
        <v/>
      </c>
      <c r="T48" s="1217" t="str">
        <f t="shared" si="7"/>
        <v/>
      </c>
      <c r="U48" s="1217" t="str">
        <f t="shared" si="8"/>
        <v/>
      </c>
      <c r="V48" s="1481" t="str">
        <f t="shared" si="9"/>
        <v/>
      </c>
      <c r="W48" s="1488" t="str">
        <f t="shared" si="10"/>
        <v/>
      </c>
      <c r="X48" s="1217" t="str">
        <f t="shared" si="11"/>
        <v/>
      </c>
      <c r="Y48" s="1259"/>
      <c r="Z48" s="1218" t="str">
        <f t="shared" si="12"/>
        <v/>
      </c>
      <c r="AA48" s="1489"/>
      <c r="AB48" s="1217" t="str" cm="1">
        <f t="array" ref="AB48">IF(OR(Z48="",M48=""),"",_xlfn.IFS((IFERROR(VALUE(TRIM(SUBSTITUTE(Z48,CHAR(160),""))),0))&gt;(IFERROR(VALUE(TRIM(SUBSTITUTE(M48,CHAR(160),""))),0)),"KO : Le montant retenu est supérieur au montant présenté. Merci de revoir la ligne de contribution ou plafonner son montant.",(IFERROR(VALUE(TRIM(SUBSTITUTE(M48,CHAR(160),""))),0))=0,"",(IFERROR(VALUE(TRIM(SUBSTITUTE(Z48,CHAR(160),""))),0))=(IFERROR(VALUE(TRIM(SUBSTITUTE(M48,CHAR(160),""))),0)),"OK",(IFERROR(VALUE(TRIM(SUBSTITUTE(Z48,CHAR(160),""))),0))&lt;(IFERROR(VALUE(TRIM(SUBSTITUTE(M48,CHAR(160),""))),0)),"Montant instruit inférieur au montant présenté.",TRUE,""))</f>
        <v/>
      </c>
      <c r="AC48" s="1490" t="str">
        <f t="shared" si="13"/>
        <v/>
      </c>
    </row>
    <row r="49" spans="3:29" ht="17.100000000000001" thickBot="1">
      <c r="C49" s="74"/>
      <c r="D49" s="117"/>
      <c r="E49" s="95"/>
      <c r="F49" s="95"/>
      <c r="G49" s="95"/>
      <c r="H49" s="95"/>
      <c r="I49" s="95"/>
      <c r="J49" s="95"/>
      <c r="K49" s="1464" t="s">
        <v>146</v>
      </c>
      <c r="L49" s="1457"/>
      <c r="M49" s="97">
        <f>SUM(M9:M48)</f>
        <v>0</v>
      </c>
      <c r="N49" s="95"/>
      <c r="O49" s="74"/>
      <c r="P49" s="117"/>
      <c r="Q49" s="95"/>
      <c r="R49" s="75"/>
      <c r="S49" s="75"/>
      <c r="T49" s="75"/>
      <c r="U49" s="75"/>
      <c r="V49" s="75"/>
      <c r="W49" s="75"/>
      <c r="X49" s="84"/>
      <c r="Y49" s="492" t="s">
        <v>147</v>
      </c>
      <c r="Z49" s="97">
        <f>SUM(Z9:Z48)</f>
        <v>0</v>
      </c>
      <c r="AA49" s="75"/>
      <c r="AB49" s="96" t="s">
        <v>148</v>
      </c>
      <c r="AC49" s="97">
        <f>SUM(AC9:AC48)</f>
        <v>0</v>
      </c>
    </row>
    <row r="50" spans="3:29" ht="15.95" thickBot="1"/>
    <row r="51" spans="3:29">
      <c r="D51" s="100" t="s">
        <v>149</v>
      </c>
      <c r="E51" s="101"/>
      <c r="F51" s="102"/>
      <c r="G51" s="99"/>
      <c r="H51" s="99"/>
      <c r="I51" s="99"/>
      <c r="J51" s="99"/>
      <c r="K51" s="1465"/>
      <c r="L51" s="99"/>
      <c r="M51" s="99"/>
    </row>
    <row r="52" spans="3:29">
      <c r="D52" s="65"/>
      <c r="E52" s="103"/>
      <c r="F52" s="104"/>
      <c r="G52" s="99"/>
      <c r="H52" s="99"/>
      <c r="I52" s="99"/>
      <c r="J52" s="99"/>
      <c r="K52" s="1465"/>
      <c r="L52" s="99"/>
      <c r="M52" s="99"/>
    </row>
    <row r="53" spans="3:29">
      <c r="D53" s="65" t="s">
        <v>150</v>
      </c>
      <c r="E53" s="103"/>
      <c r="F53" s="104"/>
      <c r="G53" s="99"/>
      <c r="H53" s="99"/>
      <c r="I53" s="99"/>
      <c r="J53" s="99"/>
      <c r="K53" s="1465"/>
      <c r="L53" s="99"/>
      <c r="M53" s="99"/>
    </row>
    <row r="54" spans="3:29">
      <c r="D54" s="65"/>
      <c r="E54" s="103"/>
      <c r="F54" s="104"/>
      <c r="G54" s="99"/>
      <c r="H54" s="99"/>
      <c r="I54" s="99"/>
      <c r="J54" s="99"/>
      <c r="K54" s="1465"/>
      <c r="L54" s="99"/>
      <c r="M54" s="99"/>
    </row>
    <row r="55" spans="3:29">
      <c r="D55" s="65"/>
      <c r="E55" s="103"/>
      <c r="F55" s="104"/>
      <c r="G55" s="99"/>
      <c r="H55" s="99"/>
      <c r="I55" s="99"/>
      <c r="J55" s="99"/>
      <c r="K55" s="1465"/>
      <c r="L55" s="99"/>
      <c r="M55" s="99"/>
    </row>
    <row r="56" spans="3:29">
      <c r="D56" s="65" t="s">
        <v>151</v>
      </c>
      <c r="E56" s="103"/>
      <c r="F56" s="104"/>
      <c r="G56" s="99"/>
      <c r="H56" s="99"/>
      <c r="I56" s="99"/>
      <c r="J56" s="99"/>
      <c r="K56" s="1465"/>
      <c r="L56" s="99"/>
      <c r="M56" s="99"/>
    </row>
    <row r="57" spans="3:29">
      <c r="D57" s="105"/>
      <c r="E57" s="103"/>
      <c r="F57" s="106"/>
      <c r="G57" s="98"/>
      <c r="H57" s="98"/>
      <c r="I57" s="98"/>
      <c r="J57" s="98"/>
      <c r="K57" s="1466"/>
      <c r="L57" s="98"/>
      <c r="M57" s="98"/>
    </row>
    <row r="58" spans="3:29">
      <c r="D58" s="105"/>
      <c r="E58" s="103"/>
      <c r="F58" s="106"/>
      <c r="G58" s="98"/>
      <c r="H58" s="98"/>
      <c r="I58" s="98"/>
      <c r="J58" s="98"/>
      <c r="K58" s="1466"/>
      <c r="L58" s="98"/>
      <c r="M58" s="98"/>
    </row>
    <row r="59" spans="3:29">
      <c r="D59" s="105"/>
      <c r="E59" s="103"/>
      <c r="F59" s="106"/>
      <c r="G59" s="98"/>
      <c r="H59" s="98"/>
      <c r="I59" s="98"/>
      <c r="J59" s="98"/>
      <c r="K59" s="1466"/>
      <c r="L59" s="98"/>
      <c r="M59" s="98"/>
    </row>
    <row r="60" spans="3:29">
      <c r="D60" s="105"/>
      <c r="E60" s="103"/>
      <c r="F60" s="106"/>
      <c r="G60" s="98"/>
      <c r="H60" s="98"/>
      <c r="I60" s="98"/>
      <c r="J60" s="98"/>
      <c r="K60" s="1466"/>
      <c r="L60" s="98"/>
      <c r="M60" s="98"/>
    </row>
    <row r="61" spans="3:29" ht="15.95" thickBot="1">
      <c r="D61" s="107"/>
      <c r="E61" s="108"/>
      <c r="F61" s="109"/>
      <c r="G61" s="98"/>
      <c r="H61" s="98"/>
      <c r="I61" s="98"/>
      <c r="J61" s="98"/>
      <c r="K61" s="1466"/>
      <c r="L61" s="98"/>
      <c r="M61" s="98"/>
    </row>
  </sheetData>
  <sheetProtection algorithmName="SHA-512" hashValue="ucdqH/eBTGMmW2xJzpeR2aFDJ7Z9xpETQbCwSFRB85n3SE/B/nneVxQfJv0QBLsoTZyqyVFC/C1CsZc830X0Pg==" saltValue="RrHgSq2bKlVguplcktR4nQ==" spinCount="100000" sheet="1" formatCells="0" formatColumns="0" formatRows="0" insertColumns="0" insertRows="0" insertHyperlinks="0" deleteColumns="0" deleteRows="0" sort="0" autoFilter="0" pivotTables="0"/>
  <mergeCells count="3">
    <mergeCell ref="B6:B7"/>
    <mergeCell ref="B5:N5"/>
    <mergeCell ref="O5:AC5"/>
  </mergeCells>
  <conditionalFormatting sqref="O9:X48">
    <cfRule type="expression" dxfId="22" priority="92">
      <formula>O9&lt;&gt;C9</formula>
    </cfRule>
  </conditionalFormatting>
  <conditionalFormatting sqref="AB8:AB48">
    <cfRule type="containsText" dxfId="21" priority="3" operator="containsText" text="KO">
      <formula>NOT(ISERROR(SEARCH("KO",AB8)))</formula>
    </cfRule>
    <cfRule type="containsText" dxfId="20" priority="4" operator="containsText" text="OK">
      <formula>NOT(ISERROR(SEARCH("OK",AB8)))</formula>
    </cfRule>
  </conditionalFormatting>
  <conditionalFormatting sqref="AB9:AB48">
    <cfRule type="containsText" dxfId="19" priority="1" operator="containsText" text="Attention">
      <formula>NOT(ISERROR(SEARCH("Attention",AB9)))</formula>
    </cfRule>
  </conditionalFormatting>
  <dataValidations count="4">
    <dataValidation type="list" allowBlank="1" showInputMessage="1" showErrorMessage="1" sqref="Y8:Y48" xr:uid="{7562952C-A6C6-4E3B-9934-2D418D3237B1}">
      <formula1>"Oui,Non,Sans objet"</formula1>
    </dataValidation>
    <dataValidation type="list" allowBlank="1" showInputMessage="1" showErrorMessage="1" sqref="D8:D48 P8" xr:uid="{8B35B83A-26CA-4BF0-BCA3-F5E7883365E3}">
      <formula1>"Création groupes opérationnels, Projets groupes opérationnels, Diffusion résultats"</formula1>
    </dataValidation>
    <dataValidation type="list" allowBlank="1" showInputMessage="1" showErrorMessage="1" sqref="C8:C48 O8" xr:uid="{755D6B7E-7328-4852-A522-A28A9B79BAE1}">
      <formula1>"Chef de file,Partenaire 1,Partenaire 2, Partenaire 3,Partenaire 4, Partenaire 5,Partenaire 6,Partenaire 7"</formula1>
    </dataValidation>
    <dataValidation type="list" allowBlank="1" showInputMessage="1" showErrorMessage="1" sqref="H8:H48 T8" xr:uid="{120553A2-EFA2-EF4A-BDB7-8D913DC6E6EA}">
      <formula1>"Oui,Non"</formula1>
    </dataValidation>
  </dataValidations>
  <pageMargins left="0.7" right="0.7" top="0.75" bottom="0.75" header="0.3" footer="0.3"/>
  <pageSetup paperSize="9" orientation="portrait" r:id="rId1"/>
  <ignoredErrors>
    <ignoredError sqref="V9:V48"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8b25a07-5ea1-42ac-a69b-bc679398b7c3" xsi:nil="true"/>
    <lcf76f155ced4ddcb4097134ff3c332f xmlns="ffe06a1a-c302-44a7-ab54-0587fe56ae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10" ma:contentTypeDescription="Create a new document." ma:contentTypeScope="" ma:versionID="b8014dc95521144746b384a1f24fb7bd">
  <xsd:schema xmlns:xsd="http://www.w3.org/2001/XMLSchema" xmlns:xs="http://www.w3.org/2001/XMLSchema" xmlns:p="http://schemas.microsoft.com/office/2006/metadata/properties" xmlns:ns2="ffe06a1a-c302-44a7-ab54-0587fe56ae8d" xmlns:ns3="d8b25a07-5ea1-42ac-a69b-bc679398b7c3" targetNamespace="http://schemas.microsoft.com/office/2006/metadata/properties" ma:root="true" ma:fieldsID="b8975676e5a0c54569b0a5a2c8e093e2" ns2:_="" ns3:_="">
    <xsd:import namespace="ffe06a1a-c302-44a7-ab54-0587fe56ae8d"/>
    <xsd:import namespace="d8b25a07-5ea1-42ac-a69b-bc679398b7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8b25a07-5ea1-42ac-a69b-bc679398b7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e324d94-3ef7-4870-b9ed-fad8de5bb3aa}" ma:internalName="TaxCatchAll" ma:showField="CatchAllData" ma:web="d8b25a07-5ea1-42ac-a69b-bc679398b7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C89EB7-497D-4EF4-A2C5-254D24C34B6B}"/>
</file>

<file path=customXml/itemProps2.xml><?xml version="1.0" encoding="utf-8"?>
<ds:datastoreItem xmlns:ds="http://schemas.openxmlformats.org/officeDocument/2006/customXml" ds:itemID="{D15C2F93-ACD4-4893-BB2C-5577DBC0946A}"/>
</file>

<file path=customXml/itemProps3.xml><?xml version="1.0" encoding="utf-8"?>
<ds:datastoreItem xmlns:ds="http://schemas.openxmlformats.org/officeDocument/2006/customXml" ds:itemID="{F37E6CC0-2502-421B-BC03-C713E891D19A}"/>
</file>

<file path=docProps/app.xml><?xml version="1.0" encoding="utf-8"?>
<Properties xmlns="http://schemas.openxmlformats.org/officeDocument/2006/extended-properties" xmlns:vt="http://schemas.openxmlformats.org/officeDocument/2006/docPropsVTypes">
  <Application>Microsoft Excel Online</Application>
  <Manager/>
  <Company>Region Limousin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Roselyne VINGLASSALON</dc:creator>
  <cp:keywords/>
  <dc:description/>
  <cp:lastModifiedBy/>
  <cp:revision/>
  <dcterms:created xsi:type="dcterms:W3CDTF">2017-03-07T14:42:16Z</dcterms:created>
  <dcterms:modified xsi:type="dcterms:W3CDTF">2026-05-05T19:32:45Z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ies>
</file>